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y Drive\PEMA\Business Development\FS Busdev\FS ICS\"/>
    </mc:Choice>
  </mc:AlternateContent>
  <xr:revisionPtr revIDLastSave="0" documentId="13_ncr:1_{A1353966-FDF2-40E2-961B-ACE1FC1EAEA7}" xr6:coauthVersionLast="47" xr6:coauthVersionMax="47" xr10:uidLastSave="{00000000-0000-0000-0000-000000000000}"/>
  <bookViews>
    <workbookView xWindow="-120" yWindow="-120" windowWidth="29040" windowHeight="15720" tabRatio="826" firstSheet="4" activeTab="5" xr2:uid="{00000000-000D-0000-FFFF-FFFF00000000}"/>
  </bookViews>
  <sheets>
    <sheet name="Assumption" sheetId="20" r:id="rId1"/>
    <sheet name="ProjectValuation(JO)" sheetId="38" r:id="rId2"/>
    <sheet name="Sensitivity" sheetId="65" r:id="rId3"/>
    <sheet name="IncomeStatement" sheetId="41" r:id="rId4"/>
    <sheet name="CashFlow" sheetId="46" r:id="rId5"/>
    <sheet name="Dividen" sheetId="75" r:id="rId6"/>
    <sheet name="EquityChange" sheetId="66" r:id="rId7"/>
    <sheet name="Revenue" sheetId="28" r:id="rId8"/>
    <sheet name="Cost of Services Sold" sheetId="64" r:id="rId9"/>
    <sheet name="Salary" sheetId="30" r:id="rId10"/>
    <sheet name="SG&amp;A" sheetId="57" r:id="rId11"/>
    <sheet name="CapitalInvestment" sheetId="50" r:id="rId12"/>
    <sheet name="WorkingCapital" sheetId="60" r:id="rId13"/>
    <sheet name="CostofCapital" sheetId="72" r:id="rId14"/>
    <sheet name="CostStructure" sheetId="74" r:id="rId15"/>
    <sheet name="FreightCost" sheetId="61" state="hidden" r:id="rId16"/>
    <sheet name="LoanInterest" sheetId="29" r:id="rId17"/>
    <sheet name="Amortization" sheetId="33" r:id="rId18"/>
    <sheet name="TransportReference" sheetId="62" state="hidden" r:id="rId19"/>
    <sheet name="Lamp P&amp;L" sheetId="51" state="hidden" r:id="rId20"/>
    <sheet name="Lamp CF" sheetId="52" state="hidden" r:id="rId21"/>
    <sheet name="Theory" sheetId="40" state="hidden" r:id="rId22"/>
    <sheet name="FullCosting" sheetId="53" state="hidden" r:id="rId23"/>
    <sheet name="Costs&amp;Expenses" sheetId="54" state="hidden" r:id="rId24"/>
    <sheet name="CostChecking" sheetId="45" state="hidden" r:id="rId25"/>
    <sheet name="Cost" sheetId="4" state="hidden" r:id="rId26"/>
    <sheet name="Supply schedule" sheetId="73" r:id="rId27"/>
    <sheet name="Sheet1" sheetId="76" r:id="rId28"/>
  </sheets>
  <externalReferences>
    <externalReference r:id="rId29"/>
    <externalReference r:id="rId30"/>
    <externalReference r:id="rId3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9" i="75" l="1"/>
  <c r="V9" i="75"/>
  <c r="V10" i="75"/>
  <c r="V11" i="75"/>
  <c r="V12" i="75"/>
  <c r="V13" i="75"/>
  <c r="V14" i="75"/>
  <c r="V15" i="75"/>
  <c r="V16" i="75"/>
  <c r="V17" i="75"/>
  <c r="V18" i="75"/>
  <c r="V19" i="75"/>
  <c r="V20" i="75"/>
  <c r="V21" i="75"/>
  <c r="V22" i="75"/>
  <c r="V23" i="75"/>
  <c r="V24" i="75"/>
  <c r="V25" i="75"/>
  <c r="V26" i="75"/>
  <c r="V27" i="75"/>
  <c r="V28" i="75"/>
  <c r="V29" i="75"/>
  <c r="V30" i="75"/>
  <c r="V31" i="75"/>
  <c r="V32" i="75"/>
  <c r="V33" i="75"/>
  <c r="V34" i="75"/>
  <c r="V35" i="75"/>
  <c r="V36" i="75"/>
  <c r="V37" i="75"/>
  <c r="V38" i="75"/>
  <c r="U10" i="75"/>
  <c r="U11" i="75"/>
  <c r="U12" i="75"/>
  <c r="U13" i="75"/>
  <c r="U14" i="75"/>
  <c r="U15" i="75"/>
  <c r="U16" i="75"/>
  <c r="U17" i="75"/>
  <c r="U18" i="75"/>
  <c r="U19" i="75"/>
  <c r="U20" i="75"/>
  <c r="U21" i="75"/>
  <c r="U22" i="75"/>
  <c r="U23" i="75"/>
  <c r="U24" i="75"/>
  <c r="U25" i="75"/>
  <c r="U26" i="75"/>
  <c r="U27" i="75"/>
  <c r="U28" i="75"/>
  <c r="U29" i="75"/>
  <c r="U30" i="75"/>
  <c r="U31" i="75"/>
  <c r="U32" i="75"/>
  <c r="U33" i="75"/>
  <c r="U34" i="75"/>
  <c r="U35" i="75"/>
  <c r="U36" i="75"/>
  <c r="U37" i="75"/>
  <c r="U38" i="75"/>
  <c r="AD9" i="64"/>
  <c r="W22" i="60"/>
  <c r="X22" i="60"/>
  <c r="Y22" i="60"/>
  <c r="Z22" i="60"/>
  <c r="N22" i="60"/>
  <c r="O22" i="60"/>
  <c r="P22" i="60"/>
  <c r="Q22" i="60"/>
  <c r="R22" i="60"/>
  <c r="S22" i="60"/>
  <c r="T22" i="60"/>
  <c r="V22" i="60"/>
  <c r="D48" i="41"/>
  <c r="E48" i="41"/>
  <c r="F48" i="41"/>
  <c r="G48" i="41"/>
  <c r="H48" i="41"/>
  <c r="I48" i="41"/>
  <c r="J48" i="41"/>
  <c r="K48" i="41"/>
  <c r="L48" i="41"/>
  <c r="M48" i="41"/>
  <c r="N48" i="41"/>
  <c r="O48" i="41"/>
  <c r="P48" i="41"/>
  <c r="Q48" i="41"/>
  <c r="R48" i="41"/>
  <c r="S48" i="41"/>
  <c r="T48" i="41"/>
  <c r="U48" i="41"/>
  <c r="V48" i="41"/>
  <c r="W48" i="41"/>
  <c r="X48" i="41"/>
  <c r="Y48" i="41"/>
  <c r="Z48" i="41"/>
  <c r="AA48" i="41"/>
  <c r="AB48" i="41"/>
  <c r="AC48" i="41"/>
  <c r="AD48" i="41"/>
  <c r="AE48" i="41"/>
  <c r="AF48" i="41"/>
  <c r="C48" i="41"/>
  <c r="AC7" i="64" l="1"/>
  <c r="R11" i="60"/>
  <c r="R12" i="60"/>
  <c r="R13" i="60"/>
  <c r="R14" i="60"/>
  <c r="R15" i="60"/>
  <c r="R16" i="60"/>
  <c r="R17" i="60"/>
  <c r="R18" i="60"/>
  <c r="R19" i="60"/>
  <c r="R20" i="60"/>
  <c r="R21" i="60"/>
  <c r="R10" i="60"/>
  <c r="H18" i="64"/>
  <c r="H17" i="64"/>
  <c r="J17" i="64"/>
  <c r="J18" i="64" l="1"/>
  <c r="L18" i="64" s="1"/>
  <c r="F7" i="64"/>
  <c r="J16" i="64"/>
  <c r="H16" i="64"/>
  <c r="G48" i="20"/>
  <c r="T7" i="64"/>
  <c r="P7" i="64"/>
  <c r="J9" i="64"/>
  <c r="L23" i="30"/>
  <c r="Q23" i="30"/>
  <c r="C9" i="57"/>
  <c r="J23" i="30"/>
  <c r="J20" i="64"/>
  <c r="L16" i="64"/>
  <c r="F27" i="64"/>
  <c r="D27" i="64"/>
  <c r="B72" i="20" l="1"/>
  <c r="C15" i="75" s="1"/>
  <c r="C14" i="75"/>
  <c r="Y8" i="64" l="1"/>
  <c r="Y9" i="64"/>
  <c r="Y10" i="64"/>
  <c r="Y11" i="64"/>
  <c r="Y12" i="64"/>
  <c r="Y13" i="64"/>
  <c r="Y14" i="64"/>
  <c r="Y15" i="64"/>
  <c r="Y16" i="64"/>
  <c r="Y17" i="64"/>
  <c r="Y18" i="64"/>
  <c r="Y19" i="64"/>
  <c r="Y20" i="64"/>
  <c r="Y21" i="64"/>
  <c r="Y22" i="64"/>
  <c r="Y23" i="64"/>
  <c r="Y24" i="64"/>
  <c r="Y25" i="64"/>
  <c r="Y26" i="64"/>
  <c r="Y27" i="64"/>
  <c r="Y28" i="64"/>
  <c r="Y29" i="64"/>
  <c r="Y30" i="64"/>
  <c r="Y31" i="64"/>
  <c r="Y32" i="64"/>
  <c r="Y33" i="64"/>
  <c r="Y34" i="64"/>
  <c r="Y35" i="64"/>
  <c r="Y36" i="64"/>
  <c r="Y7" i="64"/>
  <c r="L8" i="57"/>
  <c r="C10" i="57"/>
  <c r="H7" i="57"/>
  <c r="H8" i="57" s="1"/>
  <c r="X14" i="64"/>
  <c r="X15" i="64"/>
  <c r="W11" i="64"/>
  <c r="S8" i="64"/>
  <c r="Q8" i="64"/>
  <c r="W7" i="64"/>
  <c r="V7" i="64"/>
  <c r="S7" i="64"/>
  <c r="L9" i="64"/>
  <c r="R7" i="64"/>
  <c r="Q7" i="64"/>
  <c r="J13" i="64"/>
  <c r="L13" i="64"/>
  <c r="Z7" i="64"/>
  <c r="X7" i="64"/>
  <c r="E36" i="33"/>
  <c r="E37" i="33"/>
  <c r="E34" i="33"/>
  <c r="E35" i="33"/>
  <c r="E19" i="33"/>
  <c r="E20" i="33"/>
  <c r="E21" i="33"/>
  <c r="E22" i="33"/>
  <c r="E23" i="33" s="1"/>
  <c r="E24" i="33" s="1"/>
  <c r="E25" i="33" s="1"/>
  <c r="E26" i="33" s="1"/>
  <c r="E27" i="33" s="1"/>
  <c r="E28" i="33" s="1"/>
  <c r="E29" i="33" s="1"/>
  <c r="E30" i="33" s="1"/>
  <c r="E31" i="33" s="1"/>
  <c r="E32" i="33" s="1"/>
  <c r="E33" i="33" s="1"/>
  <c r="AA7" i="64" l="1"/>
  <c r="C20" i="75"/>
  <c r="I11" i="60"/>
  <c r="I12" i="60" s="1"/>
  <c r="I13" i="60" s="1"/>
  <c r="I14" i="60" s="1"/>
  <c r="I15" i="60" s="1"/>
  <c r="I16" i="60" s="1"/>
  <c r="I17" i="60" s="1"/>
  <c r="I18" i="60" s="1"/>
  <c r="I19" i="60" s="1"/>
  <c r="I20" i="60" s="1"/>
  <c r="D10" i="46"/>
  <c r="G70" i="65"/>
  <c r="AH52" i="64" l="1"/>
  <c r="AH33" i="64"/>
  <c r="AH34" i="64"/>
  <c r="AH35" i="64"/>
  <c r="AH36" i="64"/>
  <c r="AH37" i="64"/>
  <c r="AH38" i="64"/>
  <c r="AH39" i="64"/>
  <c r="AH40" i="64"/>
  <c r="AH41" i="64"/>
  <c r="AH42" i="64"/>
  <c r="AH43" i="64"/>
  <c r="AH44" i="64"/>
  <c r="AH45" i="64"/>
  <c r="AH46" i="64"/>
  <c r="AH47" i="64"/>
  <c r="AH48" i="64"/>
  <c r="AH49" i="64"/>
  <c r="AH50" i="64"/>
  <c r="AH51" i="64"/>
  <c r="M46" i="38"/>
  <c r="V43" i="38"/>
  <c r="X37" i="38"/>
  <c r="X39" i="38"/>
  <c r="X20" i="38"/>
  <c r="X21" i="38"/>
  <c r="X22" i="38"/>
  <c r="X23" i="38"/>
  <c r="X24" i="38"/>
  <c r="X25" i="38"/>
  <c r="X26" i="38"/>
  <c r="X27" i="38"/>
  <c r="X28" i="38"/>
  <c r="X29" i="38"/>
  <c r="X30" i="38"/>
  <c r="X31" i="38"/>
  <c r="X32" i="38"/>
  <c r="X33" i="38"/>
  <c r="X34" i="38"/>
  <c r="X35" i="38"/>
  <c r="X36" i="38"/>
  <c r="X38" i="38"/>
  <c r="X11" i="38"/>
  <c r="X10" i="38"/>
  <c r="X19" i="38"/>
  <c r="X13" i="38"/>
  <c r="X12" i="38"/>
  <c r="X14" i="38"/>
  <c r="X15" i="38"/>
  <c r="X16" i="38"/>
  <c r="X17" i="38"/>
  <c r="X18" i="38"/>
  <c r="T20" i="38"/>
  <c r="T21" i="38"/>
  <c r="T22" i="38"/>
  <c r="T23" i="38"/>
  <c r="T24" i="38"/>
  <c r="T25" i="38"/>
  <c r="T26" i="38"/>
  <c r="T27" i="38"/>
  <c r="T28" i="38"/>
  <c r="T29" i="38"/>
  <c r="T30" i="38"/>
  <c r="T31" i="38"/>
  <c r="T32" i="38"/>
  <c r="T33" i="38"/>
  <c r="T34" i="38"/>
  <c r="T35" i="38"/>
  <c r="T36" i="38"/>
  <c r="T37" i="38"/>
  <c r="T38" i="38"/>
  <c r="T39" i="38"/>
  <c r="K39" i="38"/>
  <c r="K11" i="38"/>
  <c r="K12" i="38"/>
  <c r="K13" i="38"/>
  <c r="K14" i="38"/>
  <c r="K15" i="38"/>
  <c r="K16" i="38"/>
  <c r="K17" i="38"/>
  <c r="K18" i="38"/>
  <c r="K19" i="38"/>
  <c r="K20" i="38"/>
  <c r="K21" i="38"/>
  <c r="K22" i="38"/>
  <c r="K23" i="38"/>
  <c r="K24" i="38"/>
  <c r="K25" i="38"/>
  <c r="K26" i="38"/>
  <c r="K27" i="38"/>
  <c r="K28" i="38"/>
  <c r="K29" i="38"/>
  <c r="K30" i="38"/>
  <c r="K31" i="38"/>
  <c r="K32" i="38"/>
  <c r="K33" i="38"/>
  <c r="K34" i="38"/>
  <c r="K35" i="38"/>
  <c r="K36" i="38"/>
  <c r="K37" i="38"/>
  <c r="K38" i="38"/>
  <c r="B38" i="38"/>
  <c r="B39" i="38"/>
  <c r="M7" i="66"/>
  <c r="N7" i="66"/>
  <c r="O7" i="66"/>
  <c r="P7" i="66" s="1"/>
  <c r="Q7" i="66" s="1"/>
  <c r="R7" i="66" s="1"/>
  <c r="S7" i="66" s="1"/>
  <c r="T7" i="66" s="1"/>
  <c r="U7" i="66" s="1"/>
  <c r="V7" i="66" s="1"/>
  <c r="W7" i="66" s="1"/>
  <c r="X7" i="66" s="1"/>
  <c r="Y7" i="66" s="1"/>
  <c r="Z7" i="66" s="1"/>
  <c r="AA7" i="66" s="1"/>
  <c r="AB7" i="66" s="1"/>
  <c r="AC7" i="66" s="1"/>
  <c r="AD7" i="66" s="1"/>
  <c r="AE7" i="66" s="1"/>
  <c r="AF7" i="66" s="1"/>
  <c r="M24" i="46" l="1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M25" i="46"/>
  <c r="N25" i="46"/>
  <c r="O25" i="46"/>
  <c r="P25" i="46"/>
  <c r="Q25" i="46"/>
  <c r="R25" i="46"/>
  <c r="S25" i="46"/>
  <c r="T25" i="46"/>
  <c r="U25" i="46"/>
  <c r="V25" i="46"/>
  <c r="W25" i="46"/>
  <c r="X25" i="46"/>
  <c r="Y25" i="46"/>
  <c r="Z25" i="46"/>
  <c r="AA25" i="46"/>
  <c r="AB25" i="46"/>
  <c r="AC25" i="46"/>
  <c r="AD25" i="46"/>
  <c r="AE25" i="46"/>
  <c r="AF25" i="46"/>
  <c r="M20" i="46"/>
  <c r="N20" i="46"/>
  <c r="O20" i="46"/>
  <c r="P20" i="46"/>
  <c r="Q20" i="46"/>
  <c r="R20" i="46"/>
  <c r="S20" i="46"/>
  <c r="T20" i="46"/>
  <c r="U20" i="46"/>
  <c r="V20" i="46"/>
  <c r="W20" i="46"/>
  <c r="X20" i="46"/>
  <c r="Y20" i="46"/>
  <c r="Z20" i="46"/>
  <c r="AA20" i="46"/>
  <c r="AB20" i="46"/>
  <c r="AC20" i="46"/>
  <c r="AD20" i="46"/>
  <c r="AE20" i="46"/>
  <c r="AF20" i="46"/>
  <c r="N27" i="41"/>
  <c r="O27" i="41"/>
  <c r="P27" i="41"/>
  <c r="Q27" i="41"/>
  <c r="R27" i="41"/>
  <c r="S27" i="41"/>
  <c r="T27" i="41"/>
  <c r="U27" i="41"/>
  <c r="V27" i="41"/>
  <c r="W27" i="41"/>
  <c r="X27" i="41"/>
  <c r="Y27" i="41"/>
  <c r="Z27" i="41"/>
  <c r="AA27" i="41"/>
  <c r="AB27" i="41"/>
  <c r="AC27" i="41"/>
  <c r="AD27" i="41"/>
  <c r="AE27" i="41"/>
  <c r="AF27" i="41"/>
  <c r="M27" i="41"/>
  <c r="N26" i="41"/>
  <c r="O26" i="41"/>
  <c r="P26" i="41"/>
  <c r="Q26" i="41"/>
  <c r="R26" i="41"/>
  <c r="S26" i="41"/>
  <c r="T26" i="41"/>
  <c r="U26" i="41"/>
  <c r="V26" i="41"/>
  <c r="W26" i="41"/>
  <c r="X26" i="41"/>
  <c r="Y26" i="41"/>
  <c r="Z26" i="41"/>
  <c r="AA26" i="41"/>
  <c r="AB26" i="41"/>
  <c r="AC26" i="41"/>
  <c r="AD26" i="41"/>
  <c r="AE26" i="41"/>
  <c r="AF26" i="41"/>
  <c r="M26" i="41"/>
  <c r="N25" i="41"/>
  <c r="O25" i="41"/>
  <c r="P25" i="41"/>
  <c r="Q25" i="41"/>
  <c r="R25" i="41"/>
  <c r="S25" i="41"/>
  <c r="T25" i="41"/>
  <c r="U25" i="41"/>
  <c r="V25" i="41"/>
  <c r="W25" i="41"/>
  <c r="X25" i="41"/>
  <c r="Y25" i="41"/>
  <c r="Z25" i="41"/>
  <c r="AA25" i="41"/>
  <c r="AB25" i="41"/>
  <c r="AC25" i="41"/>
  <c r="AD25" i="41"/>
  <c r="AE25" i="41"/>
  <c r="AF25" i="41"/>
  <c r="M25" i="41"/>
  <c r="AE19" i="41"/>
  <c r="F38" i="38" s="1"/>
  <c r="AD19" i="41"/>
  <c r="F37" i="38" s="1"/>
  <c r="AC19" i="41"/>
  <c r="F36" i="38" s="1"/>
  <c r="AB19" i="41"/>
  <c r="AA19" i="41"/>
  <c r="S19" i="41"/>
  <c r="F26" i="38" s="1"/>
  <c r="R19" i="41"/>
  <c r="F25" i="38" s="1"/>
  <c r="Q19" i="41"/>
  <c r="F24" i="38" s="1"/>
  <c r="O19" i="41"/>
  <c r="N18" i="41"/>
  <c r="N19" i="41"/>
  <c r="AF18" i="41"/>
  <c r="AE18" i="41"/>
  <c r="AD18" i="41"/>
  <c r="AC18" i="41"/>
  <c r="AB18" i="41"/>
  <c r="AA18" i="41"/>
  <c r="Z18" i="41"/>
  <c r="Y18" i="41"/>
  <c r="X18" i="41"/>
  <c r="W18" i="41"/>
  <c r="V18" i="41"/>
  <c r="U18" i="41"/>
  <c r="T18" i="41"/>
  <c r="S18" i="41"/>
  <c r="R18" i="41"/>
  <c r="Q18" i="41"/>
  <c r="P18" i="41"/>
  <c r="O18" i="41"/>
  <c r="M18" i="41"/>
  <c r="AF17" i="41"/>
  <c r="AE17" i="41"/>
  <c r="AD17" i="41"/>
  <c r="AC17" i="41"/>
  <c r="AB17" i="41"/>
  <c r="AA17" i="41"/>
  <c r="Z17" i="41"/>
  <c r="Y17" i="41"/>
  <c r="X17" i="41"/>
  <c r="W17" i="41"/>
  <c r="V17" i="41"/>
  <c r="U17" i="41"/>
  <c r="T17" i="41"/>
  <c r="S17" i="41"/>
  <c r="R17" i="41"/>
  <c r="Q17" i="41"/>
  <c r="P17" i="41"/>
  <c r="O17" i="41"/>
  <c r="N17" i="41"/>
  <c r="M17" i="41"/>
  <c r="AF16" i="41"/>
  <c r="AE16" i="41"/>
  <c r="AD16" i="41"/>
  <c r="AC16" i="41"/>
  <c r="AB16" i="41"/>
  <c r="AA16" i="41"/>
  <c r="Z16" i="41"/>
  <c r="Y16" i="41"/>
  <c r="X16" i="41"/>
  <c r="W16" i="41"/>
  <c r="V16" i="41"/>
  <c r="U16" i="41"/>
  <c r="T16" i="41"/>
  <c r="S16" i="41"/>
  <c r="R16" i="41"/>
  <c r="Q16" i="41"/>
  <c r="P16" i="41"/>
  <c r="O16" i="41"/>
  <c r="N16" i="41"/>
  <c r="M16" i="41"/>
  <c r="AF13" i="41"/>
  <c r="AE13" i="41"/>
  <c r="AD13" i="41"/>
  <c r="AC13" i="41"/>
  <c r="AB13" i="41"/>
  <c r="AA13" i="41"/>
  <c r="Z13" i="41"/>
  <c r="Y13" i="41"/>
  <c r="X13" i="41"/>
  <c r="W13" i="41"/>
  <c r="V13" i="41"/>
  <c r="U13" i="41"/>
  <c r="T13" i="41"/>
  <c r="S13" i="41"/>
  <c r="R13" i="41"/>
  <c r="Q13" i="41"/>
  <c r="P13" i="41"/>
  <c r="O13" i="41"/>
  <c r="N13" i="41"/>
  <c r="M13" i="41"/>
  <c r="AF12" i="41"/>
  <c r="AE12" i="41"/>
  <c r="AD12" i="41"/>
  <c r="AC12" i="41"/>
  <c r="AB12" i="41"/>
  <c r="AA12" i="41"/>
  <c r="Z12" i="41"/>
  <c r="Y12" i="41"/>
  <c r="X12" i="41"/>
  <c r="W12" i="41"/>
  <c r="V12" i="41"/>
  <c r="U12" i="41"/>
  <c r="T12" i="41"/>
  <c r="S12" i="41"/>
  <c r="R12" i="41"/>
  <c r="Q12" i="41"/>
  <c r="P12" i="41"/>
  <c r="O12" i="41"/>
  <c r="N12" i="41"/>
  <c r="M12" i="41"/>
  <c r="AF11" i="41"/>
  <c r="AE11" i="41"/>
  <c r="AD11" i="41"/>
  <c r="AC11" i="41"/>
  <c r="AB11" i="41"/>
  <c r="AA11" i="41"/>
  <c r="Z11" i="41"/>
  <c r="Y11" i="41"/>
  <c r="X11" i="41"/>
  <c r="W11" i="41"/>
  <c r="V11" i="41"/>
  <c r="U11" i="41"/>
  <c r="T11" i="41"/>
  <c r="S11" i="41"/>
  <c r="R11" i="41"/>
  <c r="M11" i="41"/>
  <c r="Q11" i="41"/>
  <c r="P11" i="41"/>
  <c r="O11" i="41"/>
  <c r="N11" i="41"/>
  <c r="K11" i="41"/>
  <c r="AF8" i="41"/>
  <c r="AF37" i="41" s="1"/>
  <c r="AE8" i="41"/>
  <c r="AE37" i="41" s="1"/>
  <c r="AD8" i="41"/>
  <c r="AD37" i="41" s="1"/>
  <c r="AC8" i="41"/>
  <c r="AC37" i="41" s="1"/>
  <c r="AB8" i="41"/>
  <c r="AB37" i="41" s="1"/>
  <c r="AA8" i="41"/>
  <c r="AA37" i="41" s="1"/>
  <c r="Z8" i="41"/>
  <c r="Z37" i="41" s="1"/>
  <c r="Y8" i="41"/>
  <c r="Y37" i="41" s="1"/>
  <c r="X8" i="41"/>
  <c r="X37" i="41" s="1"/>
  <c r="W8" i="41"/>
  <c r="W37" i="41" s="1"/>
  <c r="V8" i="41"/>
  <c r="V37" i="41" s="1"/>
  <c r="U8" i="41"/>
  <c r="U37" i="41" s="1"/>
  <c r="T8" i="41"/>
  <c r="T37" i="41" s="1"/>
  <c r="S8" i="41"/>
  <c r="S37" i="41" s="1"/>
  <c r="R8" i="41"/>
  <c r="R37" i="41" s="1"/>
  <c r="Q8" i="41"/>
  <c r="Q37" i="41" s="1"/>
  <c r="P8" i="41"/>
  <c r="P37" i="41" s="1"/>
  <c r="O8" i="41"/>
  <c r="O37" i="41" s="1"/>
  <c r="N8" i="41"/>
  <c r="N37" i="41" s="1"/>
  <c r="M8" i="41"/>
  <c r="M37" i="41" s="1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J37" i="57"/>
  <c r="K37" i="57"/>
  <c r="L37" i="57"/>
  <c r="G39" i="28"/>
  <c r="G40" i="28" s="1"/>
  <c r="G38" i="28"/>
  <c r="I39" i="28"/>
  <c r="I38" i="28"/>
  <c r="C9" i="28"/>
  <c r="G9" i="28"/>
  <c r="H18" i="28"/>
  <c r="G19" i="28"/>
  <c r="G20" i="28" s="1"/>
  <c r="G18" i="28"/>
  <c r="I18" i="28"/>
  <c r="H19" i="28"/>
  <c r="H20" i="28"/>
  <c r="H21" i="28"/>
  <c r="H22" i="28" s="1"/>
  <c r="F37" i="28"/>
  <c r="F34" i="28"/>
  <c r="F35" i="28"/>
  <c r="F36" i="28"/>
  <c r="F18" i="28"/>
  <c r="F19" i="28"/>
  <c r="F20" i="28" s="1"/>
  <c r="F21" i="28" s="1"/>
  <c r="F22" i="28" s="1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J17" i="57"/>
  <c r="J18" i="57" s="1"/>
  <c r="J19" i="57" s="1"/>
  <c r="J20" i="57" s="1"/>
  <c r="J21" i="57" s="1"/>
  <c r="J22" i="57" s="1"/>
  <c r="J23" i="57" s="1"/>
  <c r="J24" i="57" s="1"/>
  <c r="J25" i="57" s="1"/>
  <c r="J26" i="57" s="1"/>
  <c r="J27" i="57" s="1"/>
  <c r="J28" i="57" s="1"/>
  <c r="J29" i="57" s="1"/>
  <c r="J30" i="57" s="1"/>
  <c r="J31" i="57" s="1"/>
  <c r="J32" i="57" s="1"/>
  <c r="J33" i="57" s="1"/>
  <c r="J34" i="57" s="1"/>
  <c r="J35" i="57" s="1"/>
  <c r="J36" i="57" s="1"/>
  <c r="K17" i="57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L17" i="57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G35" i="57"/>
  <c r="G36" i="57"/>
  <c r="G29" i="57"/>
  <c r="G30" i="57"/>
  <c r="G31" i="57"/>
  <c r="G32" i="57"/>
  <c r="G33" i="57" s="1"/>
  <c r="G34" i="57" s="1"/>
  <c r="G17" i="57"/>
  <c r="G18" i="57"/>
  <c r="G19" i="57"/>
  <c r="G20" i="57"/>
  <c r="G21" i="57" s="1"/>
  <c r="G22" i="57" s="1"/>
  <c r="G23" i="57" s="1"/>
  <c r="G24" i="57" s="1"/>
  <c r="G25" i="57" s="1"/>
  <c r="G26" i="57" s="1"/>
  <c r="G27" i="57" s="1"/>
  <c r="G28" i="57" s="1"/>
  <c r="Q17" i="64"/>
  <c r="R17" i="64"/>
  <c r="R18" i="64" s="1"/>
  <c r="R19" i="64" s="1"/>
  <c r="R20" i="64" s="1"/>
  <c r="R21" i="64" s="1"/>
  <c r="R22" i="64" s="1"/>
  <c r="R23" i="64" s="1"/>
  <c r="R24" i="64" s="1"/>
  <c r="R25" i="64" s="1"/>
  <c r="R26" i="64" s="1"/>
  <c r="R27" i="64" s="1"/>
  <c r="R28" i="64" s="1"/>
  <c r="R29" i="64" s="1"/>
  <c r="R30" i="64" s="1"/>
  <c r="R31" i="64" s="1"/>
  <c r="R32" i="64" s="1"/>
  <c r="R33" i="64" s="1"/>
  <c r="R34" i="64" s="1"/>
  <c r="R35" i="64" s="1"/>
  <c r="R36" i="64" s="1"/>
  <c r="S17" i="64"/>
  <c r="W17" i="64"/>
  <c r="X17" i="64"/>
  <c r="X18" i="64" s="1"/>
  <c r="Z17" i="64"/>
  <c r="M19" i="41" s="1"/>
  <c r="Q18" i="64"/>
  <c r="Q19" i="64" s="1"/>
  <c r="Q20" i="64" s="1"/>
  <c r="Q21" i="64" s="1"/>
  <c r="Q22" i="64" s="1"/>
  <c r="Q23" i="64" s="1"/>
  <c r="Q24" i="64" s="1"/>
  <c r="Q25" i="64" s="1"/>
  <c r="Q26" i="64" s="1"/>
  <c r="Q27" i="64" s="1"/>
  <c r="Q28" i="64" s="1"/>
  <c r="Q29" i="64" s="1"/>
  <c r="Q30" i="64" s="1"/>
  <c r="Q31" i="64" s="1"/>
  <c r="Q32" i="64" s="1"/>
  <c r="Q33" i="64" s="1"/>
  <c r="Q34" i="64" s="1"/>
  <c r="Q35" i="64" s="1"/>
  <c r="Q36" i="64" s="1"/>
  <c r="S18" i="64"/>
  <c r="W18" i="64"/>
  <c r="W19" i="64" s="1"/>
  <c r="W20" i="64" s="1"/>
  <c r="W21" i="64" s="1"/>
  <c r="W22" i="64" s="1"/>
  <c r="W23" i="64" s="1"/>
  <c r="W24" i="64" s="1"/>
  <c r="W25" i="64" s="1"/>
  <c r="W26" i="64" s="1"/>
  <c r="W27" i="64" s="1"/>
  <c r="W28" i="64" s="1"/>
  <c r="W29" i="64" s="1"/>
  <c r="W30" i="64" s="1"/>
  <c r="W31" i="64" s="1"/>
  <c r="W32" i="64" s="1"/>
  <c r="W33" i="64" s="1"/>
  <c r="W34" i="64" s="1"/>
  <c r="W35" i="64" s="1"/>
  <c r="W36" i="64" s="1"/>
  <c r="Z18" i="64"/>
  <c r="S19" i="64"/>
  <c r="Z19" i="64"/>
  <c r="S20" i="64"/>
  <c r="Z20" i="64"/>
  <c r="P19" i="41" s="1"/>
  <c r="S21" i="64"/>
  <c r="Z21" i="64"/>
  <c r="S22" i="64"/>
  <c r="S23" i="64" s="1"/>
  <c r="S24" i="64" s="1"/>
  <c r="S25" i="64" s="1"/>
  <c r="S26" i="64" s="1"/>
  <c r="S27" i="64" s="1"/>
  <c r="S28" i="64" s="1"/>
  <c r="S29" i="64" s="1"/>
  <c r="S30" i="64" s="1"/>
  <c r="S31" i="64" s="1"/>
  <c r="S32" i="64" s="1"/>
  <c r="S33" i="64" s="1"/>
  <c r="S34" i="64" s="1"/>
  <c r="S35" i="64" s="1"/>
  <c r="S36" i="64" s="1"/>
  <c r="Z22" i="64"/>
  <c r="Z23" i="64"/>
  <c r="Z24" i="64"/>
  <c r="T19" i="41" s="1"/>
  <c r="Z25" i="64"/>
  <c r="U19" i="41" s="1"/>
  <c r="Z26" i="64"/>
  <c r="Z27" i="64"/>
  <c r="W19" i="41" s="1"/>
  <c r="Z28" i="64"/>
  <c r="X19" i="41" s="1"/>
  <c r="Z29" i="64"/>
  <c r="Y19" i="41" s="1"/>
  <c r="F32" i="38" s="1"/>
  <c r="Z30" i="64"/>
  <c r="Z19" i="41" s="1"/>
  <c r="F33" i="38" s="1"/>
  <c r="Z31" i="64"/>
  <c r="Z32" i="64"/>
  <c r="Z33" i="64"/>
  <c r="Z34" i="64"/>
  <c r="Z35" i="64"/>
  <c r="Z36" i="64"/>
  <c r="AF19" i="41" s="1"/>
  <c r="O36" i="64"/>
  <c r="O26" i="64"/>
  <c r="O27" i="64"/>
  <c r="O28" i="64"/>
  <c r="O29" i="64"/>
  <c r="O30" i="64"/>
  <c r="O31" i="64"/>
  <c r="O32" i="64"/>
  <c r="O33" i="64"/>
  <c r="O34" i="64"/>
  <c r="O35" i="64"/>
  <c r="O17" i="64"/>
  <c r="O18" i="64"/>
  <c r="O19" i="64"/>
  <c r="O20" i="64" s="1"/>
  <c r="O21" i="64" s="1"/>
  <c r="O22" i="64" s="1"/>
  <c r="O23" i="64" s="1"/>
  <c r="O24" i="64" s="1"/>
  <c r="O25" i="64" s="1"/>
  <c r="O10" i="64"/>
  <c r="O11" i="64" s="1"/>
  <c r="O12" i="64" s="1"/>
  <c r="O13" i="64" s="1"/>
  <c r="O14" i="64" s="1"/>
  <c r="O15" i="64" s="1"/>
  <c r="O16" i="64" s="1"/>
  <c r="AH23" i="64"/>
  <c r="C25" i="46"/>
  <c r="D25" i="46"/>
  <c r="E25" i="46"/>
  <c r="F25" i="46"/>
  <c r="G25" i="46"/>
  <c r="H25" i="46"/>
  <c r="I25" i="46"/>
  <c r="J25" i="46"/>
  <c r="K25" i="46"/>
  <c r="L25" i="46"/>
  <c r="C19" i="41"/>
  <c r="B20" i="20"/>
  <c r="U68" i="65"/>
  <c r="S68" i="65"/>
  <c r="O68" i="65"/>
  <c r="F23" i="38" l="1"/>
  <c r="F39" i="38"/>
  <c r="F35" i="38"/>
  <c r="F22" i="38"/>
  <c r="F27" i="38"/>
  <c r="F31" i="38"/>
  <c r="F30" i="38"/>
  <c r="F28" i="38"/>
  <c r="F34" i="38"/>
  <c r="V19" i="41"/>
  <c r="F20" i="38"/>
  <c r="F21" i="38"/>
  <c r="I20" i="28"/>
  <c r="G21" i="28"/>
  <c r="G22" i="28" s="1"/>
  <c r="G23" i="28" s="1"/>
  <c r="G24" i="28" s="1"/>
  <c r="G25" i="28" s="1"/>
  <c r="G26" i="28" s="1"/>
  <c r="G27" i="28" s="1"/>
  <c r="G28" i="28" s="1"/>
  <c r="G29" i="28" s="1"/>
  <c r="G30" i="28" s="1"/>
  <c r="G31" i="28" s="1"/>
  <c r="G32" i="28" s="1"/>
  <c r="G33" i="28" s="1"/>
  <c r="G34" i="28" s="1"/>
  <c r="G35" i="28" s="1"/>
  <c r="G36" i="28" s="1"/>
  <c r="G37" i="28" s="1"/>
  <c r="I19" i="28"/>
  <c r="H23" i="28"/>
  <c r="X19" i="64"/>
  <c r="X20" i="64" s="1"/>
  <c r="X21" i="64" s="1"/>
  <c r="X22" i="64" s="1"/>
  <c r="X23" i="64" s="1"/>
  <c r="X24" i="64" s="1"/>
  <c r="X25" i="64" s="1"/>
  <c r="X26" i="64" s="1"/>
  <c r="X27" i="64" s="1"/>
  <c r="X28" i="64" s="1"/>
  <c r="X29" i="64" s="1"/>
  <c r="X30" i="64" s="1"/>
  <c r="X31" i="64" s="1"/>
  <c r="X32" i="64" s="1"/>
  <c r="X33" i="64" s="1"/>
  <c r="X34" i="64" s="1"/>
  <c r="X35" i="64" s="1"/>
  <c r="X36" i="64" s="1"/>
  <c r="B9" i="33"/>
  <c r="F29" i="38" l="1"/>
  <c r="I21" i="28"/>
  <c r="H24" i="28"/>
  <c r="I22" i="28" l="1"/>
  <c r="H25" i="28"/>
  <c r="J20" i="72"/>
  <c r="J22" i="72"/>
  <c r="J25" i="72" s="1"/>
  <c r="B18" i="46"/>
  <c r="C14" i="41"/>
  <c r="C17" i="41"/>
  <c r="C16" i="41"/>
  <c r="I23" i="28" l="1"/>
  <c r="H26" i="28"/>
  <c r="H65" i="20"/>
  <c r="B65" i="20"/>
  <c r="C11" i="57"/>
  <c r="J7" i="57" s="1"/>
  <c r="C25" i="41" s="1"/>
  <c r="I7" i="57"/>
  <c r="B10" i="20"/>
  <c r="L28" i="64"/>
  <c r="C18" i="41" s="1"/>
  <c r="J19" i="64"/>
  <c r="L19" i="64" s="1"/>
  <c r="D16" i="64"/>
  <c r="D7" i="64"/>
  <c r="R57" i="64" s="1"/>
  <c r="D14" i="64"/>
  <c r="F14" i="64"/>
  <c r="S31" i="20"/>
  <c r="S30" i="20"/>
  <c r="F13" i="64"/>
  <c r="D38" i="64"/>
  <c r="D37" i="64" s="1"/>
  <c r="D52" i="64" s="1"/>
  <c r="D13" i="64"/>
  <c r="D46" i="64"/>
  <c r="D45" i="64" s="1"/>
  <c r="D10" i="64"/>
  <c r="F10" i="64"/>
  <c r="E29" i="30"/>
  <c r="G69" i="65"/>
  <c r="O13" i="30"/>
  <c r="P13" i="30"/>
  <c r="J13" i="30"/>
  <c r="G72" i="65"/>
  <c r="J73" i="65"/>
  <c r="J72" i="65"/>
  <c r="J69" i="65"/>
  <c r="J70" i="65"/>
  <c r="B12" i="20"/>
  <c r="E85" i="65"/>
  <c r="E84" i="65"/>
  <c r="C24" i="41" l="1"/>
  <c r="I24" i="28"/>
  <c r="H27" i="28"/>
  <c r="H13" i="64"/>
  <c r="R8" i="64" s="1"/>
  <c r="D12" i="41" s="1"/>
  <c r="H14" i="64"/>
  <c r="J14" i="64" s="1"/>
  <c r="L14" i="64" s="1"/>
  <c r="C13" i="41" s="1"/>
  <c r="H10" i="64"/>
  <c r="J10" i="64" s="1"/>
  <c r="D50" i="64"/>
  <c r="D53" i="64" s="1"/>
  <c r="D35" i="64"/>
  <c r="G71" i="65"/>
  <c r="G73" i="65" s="1"/>
  <c r="E87" i="65"/>
  <c r="E88" i="65" s="1"/>
  <c r="E89" i="65" s="1"/>
  <c r="I25" i="28" l="1"/>
  <c r="H28" i="28"/>
  <c r="C12" i="41"/>
  <c r="G74" i="65"/>
  <c r="G75" i="65" l="1"/>
  <c r="J68" i="65" s="1"/>
  <c r="I26" i="28"/>
  <c r="H29" i="28"/>
  <c r="AB28" i="65"/>
  <c r="AA28" i="65"/>
  <c r="I27" i="28" l="1"/>
  <c r="H30" i="28"/>
  <c r="Z30" i="65"/>
  <c r="Z29" i="65"/>
  <c r="Z27" i="65"/>
  <c r="Z26" i="65" s="1"/>
  <c r="Z25" i="65"/>
  <c r="I28" i="28" l="1"/>
  <c r="H31" i="28"/>
  <c r="AA26" i="65"/>
  <c r="AE26" i="65"/>
  <c r="AD26" i="65"/>
  <c r="AC26" i="65"/>
  <c r="AB26" i="65"/>
  <c r="AA29" i="65"/>
  <c r="AB29" i="65"/>
  <c r="AC27" i="65"/>
  <c r="AB27" i="65"/>
  <c r="AA27" i="65"/>
  <c r="AB30" i="65"/>
  <c r="AA30" i="65"/>
  <c r="F21" i="64"/>
  <c r="AH24" i="64"/>
  <c r="AH25" i="64"/>
  <c r="AH26" i="64"/>
  <c r="AH27" i="64"/>
  <c r="AH28" i="64"/>
  <c r="AH29" i="64"/>
  <c r="AH30" i="64"/>
  <c r="AH31" i="64"/>
  <c r="AH32" i="64"/>
  <c r="I29" i="28" l="1"/>
  <c r="H32" i="28"/>
  <c r="J17" i="30"/>
  <c r="K17" i="30"/>
  <c r="N17" i="30"/>
  <c r="P17" i="30" s="1"/>
  <c r="O17" i="30"/>
  <c r="B42" i="20"/>
  <c r="D12" i="64" s="1"/>
  <c r="N43" i="20"/>
  <c r="N45" i="20" s="1"/>
  <c r="N14" i="30"/>
  <c r="N15" i="30"/>
  <c r="N16" i="30"/>
  <c r="N18" i="30"/>
  <c r="N19" i="30"/>
  <c r="N21" i="30"/>
  <c r="N10" i="30"/>
  <c r="N11" i="30"/>
  <c r="N12" i="30"/>
  <c r="N9" i="30"/>
  <c r="I47" i="65"/>
  <c r="I45" i="65"/>
  <c r="I46" i="65" s="1"/>
  <c r="A2" i="75"/>
  <c r="A1" i="75"/>
  <c r="K15" i="75" l="1"/>
  <c r="I30" i="28"/>
  <c r="H33" i="28"/>
  <c r="Q17" i="30"/>
  <c r="L17" i="30"/>
  <c r="N48" i="20"/>
  <c r="N50" i="20" s="1"/>
  <c r="N53" i="20" s="1"/>
  <c r="N55" i="20" s="1"/>
  <c r="K7" i="50"/>
  <c r="K8" i="50" s="1"/>
  <c r="H7" i="50"/>
  <c r="A2" i="74"/>
  <c r="A1" i="74"/>
  <c r="E20" i="30"/>
  <c r="E23" i="30" s="1"/>
  <c r="E26" i="30"/>
  <c r="E28" i="30"/>
  <c r="E30" i="30" s="1"/>
  <c r="E31" i="30" s="1"/>
  <c r="E33" i="30" s="1"/>
  <c r="C13" i="57"/>
  <c r="L7" i="57" s="1"/>
  <c r="Q43" i="64"/>
  <c r="O14" i="30"/>
  <c r="P14" i="30"/>
  <c r="O15" i="30"/>
  <c r="P15" i="30"/>
  <c r="O16" i="30"/>
  <c r="P16" i="30"/>
  <c r="O18" i="30"/>
  <c r="P18" i="30"/>
  <c r="O19" i="30"/>
  <c r="P19" i="30"/>
  <c r="O21" i="30"/>
  <c r="P21" i="30"/>
  <c r="O9" i="30"/>
  <c r="P9" i="30"/>
  <c r="O10" i="30"/>
  <c r="P10" i="30"/>
  <c r="O11" i="30"/>
  <c r="P11" i="30"/>
  <c r="O12" i="30"/>
  <c r="P12" i="30"/>
  <c r="K14" i="30"/>
  <c r="K15" i="30"/>
  <c r="K16" i="30"/>
  <c r="K18" i="30"/>
  <c r="K19" i="30"/>
  <c r="K21" i="30"/>
  <c r="K9" i="30"/>
  <c r="K10" i="30"/>
  <c r="K11" i="30"/>
  <c r="K12" i="30"/>
  <c r="K13" i="30"/>
  <c r="J14" i="30"/>
  <c r="J15" i="30"/>
  <c r="J16" i="30"/>
  <c r="J18" i="30"/>
  <c r="J19" i="30"/>
  <c r="J21" i="30"/>
  <c r="J9" i="30"/>
  <c r="J10" i="30"/>
  <c r="J11" i="30"/>
  <c r="J12" i="30"/>
  <c r="I45" i="57"/>
  <c r="D26" i="64"/>
  <c r="F26" i="64"/>
  <c r="F24" i="64"/>
  <c r="F25" i="64"/>
  <c r="F23" i="64"/>
  <c r="D24" i="64"/>
  <c r="D25" i="64"/>
  <c r="D23" i="64"/>
  <c r="F20" i="64"/>
  <c r="D17" i="64"/>
  <c r="J17" i="72"/>
  <c r="J16" i="72"/>
  <c r="J15" i="72"/>
  <c r="I31" i="28" l="1"/>
  <c r="H34" i="28"/>
  <c r="Z10" i="60"/>
  <c r="Z11" i="60" s="1"/>
  <c r="Z12" i="60" s="1"/>
  <c r="Z13" i="60" s="1"/>
  <c r="Z14" i="60" s="1"/>
  <c r="Z15" i="60" s="1"/>
  <c r="Z16" i="60" s="1"/>
  <c r="Z17" i="60" s="1"/>
  <c r="Z18" i="60" s="1"/>
  <c r="Z19" i="60" s="1"/>
  <c r="Z20" i="60" s="1"/>
  <c r="Z21" i="60" s="1"/>
  <c r="C27" i="41"/>
  <c r="L10" i="64"/>
  <c r="C11" i="41" s="1"/>
  <c r="Q13" i="30"/>
  <c r="D20" i="64"/>
  <c r="H20" i="64" s="1"/>
  <c r="L16" i="30"/>
  <c r="D21" i="64"/>
  <c r="H21" i="64" s="1"/>
  <c r="J21" i="64" s="1"/>
  <c r="D39" i="64"/>
  <c r="L21" i="30"/>
  <c r="L10" i="30"/>
  <c r="L19" i="30"/>
  <c r="L15" i="30"/>
  <c r="L12" i="30"/>
  <c r="L11" i="30"/>
  <c r="I20" i="30"/>
  <c r="N20" i="30" s="1"/>
  <c r="Q12" i="30"/>
  <c r="Q10" i="30"/>
  <c r="G20" i="30"/>
  <c r="J20" i="30" s="1"/>
  <c r="D27" i="41"/>
  <c r="Q21" i="30"/>
  <c r="Q14" i="30"/>
  <c r="Q9" i="30"/>
  <c r="Q11" i="30"/>
  <c r="Q15" i="30"/>
  <c r="Q19" i="30"/>
  <c r="Q18" i="30"/>
  <c r="Q16" i="30"/>
  <c r="L18" i="30"/>
  <c r="L14" i="30"/>
  <c r="L9" i="30"/>
  <c r="L13" i="30"/>
  <c r="I32" i="28" l="1"/>
  <c r="H35" i="28"/>
  <c r="L20" i="64"/>
  <c r="L17" i="64"/>
  <c r="C15" i="41" s="1"/>
  <c r="K20" i="30"/>
  <c r="L20" i="30" s="1"/>
  <c r="D55" i="64"/>
  <c r="J22" i="64"/>
  <c r="L9" i="57"/>
  <c r="O10" i="60"/>
  <c r="O11" i="60" s="1"/>
  <c r="O12" i="60" s="1"/>
  <c r="O13" i="60" s="1"/>
  <c r="O14" i="60" s="1"/>
  <c r="O15" i="60" s="1"/>
  <c r="O16" i="60" s="1"/>
  <c r="O17" i="60" s="1"/>
  <c r="O18" i="60" s="1"/>
  <c r="O19" i="60" s="1"/>
  <c r="O20" i="60" s="1"/>
  <c r="O21" i="60" s="1"/>
  <c r="I33" i="28" l="1"/>
  <c r="H36" i="28"/>
  <c r="L10" i="57"/>
  <c r="F27" i="41" s="1"/>
  <c r="E27" i="41"/>
  <c r="C10" i="41"/>
  <c r="U7" i="64"/>
  <c r="Q10" i="60"/>
  <c r="Q11" i="60" s="1"/>
  <c r="Q12" i="60" s="1"/>
  <c r="Q13" i="60" s="1"/>
  <c r="Q14" i="60" s="1"/>
  <c r="Q15" i="60" s="1"/>
  <c r="Q16" i="60" s="1"/>
  <c r="Q17" i="60" s="1"/>
  <c r="Q18" i="60" s="1"/>
  <c r="Q19" i="60" s="1"/>
  <c r="Q20" i="60" s="1"/>
  <c r="Q21" i="60" s="1"/>
  <c r="U10" i="60"/>
  <c r="U22" i="60" s="1"/>
  <c r="E44" i="65"/>
  <c r="D44" i="65"/>
  <c r="G44" i="65"/>
  <c r="F44" i="65"/>
  <c r="I8" i="65"/>
  <c r="I9" i="65" s="1"/>
  <c r="I10" i="65"/>
  <c r="C20" i="41" l="1"/>
  <c r="D5" i="41" s="1"/>
  <c r="I34" i="28"/>
  <c r="H37" i="28"/>
  <c r="L11" i="57"/>
  <c r="G27" i="41" s="1"/>
  <c r="R9" i="64"/>
  <c r="E12" i="41" s="1"/>
  <c r="B11" i="38"/>
  <c r="C12" i="46" l="1"/>
  <c r="I35" i="28"/>
  <c r="E18" i="41"/>
  <c r="D18" i="41"/>
  <c r="L12" i="57"/>
  <c r="H27" i="41" s="1"/>
  <c r="B12" i="38"/>
  <c r="B13" i="38" s="1"/>
  <c r="B14" i="38" s="1"/>
  <c r="B15" i="38" s="1"/>
  <c r="B16" i="38" s="1"/>
  <c r="B17" i="38" s="1"/>
  <c r="B18" i="38" s="1"/>
  <c r="B19" i="38" s="1"/>
  <c r="B20" i="38" s="1"/>
  <c r="B21" i="38" s="1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B33" i="38" s="1"/>
  <c r="B34" i="38" s="1"/>
  <c r="B35" i="38" s="1"/>
  <c r="B36" i="38" s="1"/>
  <c r="B37" i="38" s="1"/>
  <c r="R10" i="64"/>
  <c r="F12" i="41" s="1"/>
  <c r="A2" i="73"/>
  <c r="A1" i="73"/>
  <c r="P37" i="73"/>
  <c r="K37" i="73"/>
  <c r="U31" i="73"/>
  <c r="U32" i="73" s="1"/>
  <c r="U33" i="73" s="1"/>
  <c r="U34" i="73" s="1"/>
  <c r="U35" i="73" s="1"/>
  <c r="U36" i="73" s="1"/>
  <c r="U37" i="73" s="1"/>
  <c r="F31" i="73"/>
  <c r="F32" i="73" s="1"/>
  <c r="F33" i="73" s="1"/>
  <c r="F34" i="73" s="1"/>
  <c r="F35" i="73" s="1"/>
  <c r="F36" i="73" s="1"/>
  <c r="F37" i="73" s="1"/>
  <c r="P31" i="73"/>
  <c r="P32" i="73" s="1"/>
  <c r="P33" i="73" s="1"/>
  <c r="P34" i="73" s="1"/>
  <c r="P35" i="73" s="1"/>
  <c r="P36" i="73" s="1"/>
  <c r="K31" i="73"/>
  <c r="K32" i="73" s="1"/>
  <c r="K33" i="73" s="1"/>
  <c r="K34" i="73" s="1"/>
  <c r="K35" i="73" s="1"/>
  <c r="K36" i="73" s="1"/>
  <c r="F26" i="73"/>
  <c r="F27" i="73" s="1"/>
  <c r="F28" i="73" s="1"/>
  <c r="F29" i="73" s="1"/>
  <c r="F30" i="73" s="1"/>
  <c r="P25" i="73"/>
  <c r="P26" i="73" s="1"/>
  <c r="P27" i="73" s="1"/>
  <c r="P28" i="73" s="1"/>
  <c r="P29" i="73" s="1"/>
  <c r="P30" i="73" s="1"/>
  <c r="K25" i="73"/>
  <c r="K26" i="73" s="1"/>
  <c r="K27" i="73" s="1"/>
  <c r="K28" i="73" s="1"/>
  <c r="K29" i="73" s="1"/>
  <c r="K30" i="73" s="1"/>
  <c r="F22" i="73"/>
  <c r="F23" i="73" s="1"/>
  <c r="F24" i="73" s="1"/>
  <c r="F25" i="73" s="1"/>
  <c r="U20" i="73"/>
  <c r="U21" i="73" s="1"/>
  <c r="U22" i="73" s="1"/>
  <c r="U23" i="73" s="1"/>
  <c r="U24" i="73" s="1"/>
  <c r="U25" i="73" s="1"/>
  <c r="U26" i="73" s="1"/>
  <c r="U27" i="73" s="1"/>
  <c r="U28" i="73" s="1"/>
  <c r="U29" i="73" s="1"/>
  <c r="U30" i="73" s="1"/>
  <c r="P20" i="73"/>
  <c r="P21" i="73" s="1"/>
  <c r="P22" i="73" s="1"/>
  <c r="P23" i="73" s="1"/>
  <c r="P24" i="73" s="1"/>
  <c r="K20" i="73"/>
  <c r="K21" i="73" s="1"/>
  <c r="K22" i="73" s="1"/>
  <c r="K23" i="73" s="1"/>
  <c r="K24" i="73" s="1"/>
  <c r="P14" i="73"/>
  <c r="P15" i="73" s="1"/>
  <c r="P16" i="73" s="1"/>
  <c r="P17" i="73" s="1"/>
  <c r="P18" i="73" s="1"/>
  <c r="K14" i="73"/>
  <c r="K15" i="73" s="1"/>
  <c r="K16" i="73" s="1"/>
  <c r="K17" i="73" s="1"/>
  <c r="K18" i="73" s="1"/>
  <c r="R9" i="73"/>
  <c r="R10" i="73" s="1"/>
  <c r="R11" i="73" s="1"/>
  <c r="C9" i="73"/>
  <c r="C10" i="73" s="1"/>
  <c r="C11" i="73" s="1"/>
  <c r="S8" i="73"/>
  <c r="D8" i="73"/>
  <c r="N8" i="73"/>
  <c r="N9" i="73" s="1"/>
  <c r="N10" i="73" s="1"/>
  <c r="K8" i="73"/>
  <c r="K9" i="73" s="1"/>
  <c r="I8" i="73"/>
  <c r="I9" i="73" s="1"/>
  <c r="I10" i="73" s="1"/>
  <c r="C22" i="28"/>
  <c r="B23" i="20"/>
  <c r="J14" i="72" s="1"/>
  <c r="C12" i="57"/>
  <c r="I36" i="28" l="1"/>
  <c r="L13" i="57"/>
  <c r="I27" i="41" s="1"/>
  <c r="F18" i="41"/>
  <c r="B28" i="20"/>
  <c r="R11" i="64"/>
  <c r="G12" i="41" s="1"/>
  <c r="L14" i="57"/>
  <c r="J27" i="41" s="1"/>
  <c r="O20" i="30"/>
  <c r="P20" i="30"/>
  <c r="P23" i="30" s="1"/>
  <c r="K23" i="30"/>
  <c r="D9" i="73"/>
  <c r="D10" i="73" s="1"/>
  <c r="F10" i="73" s="1"/>
  <c r="F11" i="73" s="1"/>
  <c r="F12" i="73" s="1"/>
  <c r="F13" i="73" s="1"/>
  <c r="F14" i="73" s="1"/>
  <c r="F15" i="73" s="1"/>
  <c r="F16" i="73" s="1"/>
  <c r="F17" i="73" s="1"/>
  <c r="F18" i="73" s="1"/>
  <c r="F19" i="73" s="1"/>
  <c r="F20" i="73" s="1"/>
  <c r="F21" i="73" s="1"/>
  <c r="S9" i="73"/>
  <c r="S10" i="73" s="1"/>
  <c r="U10" i="73" s="1"/>
  <c r="U11" i="73" s="1"/>
  <c r="U12" i="73" s="1"/>
  <c r="U13" i="73" s="1"/>
  <c r="U14" i="73" s="1"/>
  <c r="U15" i="73" s="1"/>
  <c r="U16" i="73" s="1"/>
  <c r="U17" i="73" s="1"/>
  <c r="U18" i="73" s="1"/>
  <c r="I11" i="73"/>
  <c r="K10" i="73"/>
  <c r="K11" i="73" s="1"/>
  <c r="K12" i="73" s="1"/>
  <c r="K13" i="73" s="1"/>
  <c r="P10" i="73"/>
  <c r="P11" i="73" s="1"/>
  <c r="P12" i="73" s="1"/>
  <c r="P13" i="73" s="1"/>
  <c r="N11" i="73"/>
  <c r="N12" i="73" s="1"/>
  <c r="N13" i="73" s="1"/>
  <c r="N14" i="73" s="1"/>
  <c r="N15" i="73" s="1"/>
  <c r="N16" i="73" s="1"/>
  <c r="N17" i="73" s="1"/>
  <c r="N18" i="73" s="1"/>
  <c r="N19" i="73" s="1"/>
  <c r="N20" i="73" s="1"/>
  <c r="N21" i="73" s="1"/>
  <c r="N22" i="73" s="1"/>
  <c r="N23" i="73" s="1"/>
  <c r="N24" i="73" s="1"/>
  <c r="N25" i="73" s="1"/>
  <c r="N26" i="73" s="1"/>
  <c r="N27" i="73" s="1"/>
  <c r="N28" i="73" s="1"/>
  <c r="N29" i="73" s="1"/>
  <c r="N30" i="73" s="1"/>
  <c r="N31" i="73" s="1"/>
  <c r="N32" i="73" s="1"/>
  <c r="N33" i="73" s="1"/>
  <c r="N34" i="73" s="1"/>
  <c r="N35" i="73" s="1"/>
  <c r="N36" i="73" s="1"/>
  <c r="N37" i="73" s="1"/>
  <c r="O39" i="73" s="1"/>
  <c r="I37" i="28" l="1"/>
  <c r="G18" i="41"/>
  <c r="L15" i="57"/>
  <c r="K27" i="41" s="1"/>
  <c r="R12" i="64"/>
  <c r="H12" i="41" s="1"/>
  <c r="Q20" i="30"/>
  <c r="O23" i="30"/>
  <c r="S11" i="73"/>
  <c r="S12" i="73" s="1"/>
  <c r="S13" i="73" s="1"/>
  <c r="S14" i="73" s="1"/>
  <c r="S15" i="73" s="1"/>
  <c r="S16" i="73" s="1"/>
  <c r="S17" i="73" s="1"/>
  <c r="S18" i="73" s="1"/>
  <c r="S19" i="73" s="1"/>
  <c r="S20" i="73" s="1"/>
  <c r="S21" i="73" s="1"/>
  <c r="S22" i="73" s="1"/>
  <c r="S23" i="73" s="1"/>
  <c r="S24" i="73" s="1"/>
  <c r="S25" i="73" s="1"/>
  <c r="S26" i="73" s="1"/>
  <c r="S27" i="73" s="1"/>
  <c r="S28" i="73" s="1"/>
  <c r="S29" i="73" s="1"/>
  <c r="S30" i="73" s="1"/>
  <c r="S31" i="73" s="1"/>
  <c r="S32" i="73" s="1"/>
  <c r="S33" i="73" s="1"/>
  <c r="S34" i="73" s="1"/>
  <c r="S35" i="73" s="1"/>
  <c r="S36" i="73" s="1"/>
  <c r="S37" i="73" s="1"/>
  <c r="T39" i="73" s="1"/>
  <c r="D11" i="73"/>
  <c r="D12" i="73" s="1"/>
  <c r="D13" i="73" s="1"/>
  <c r="D14" i="73" s="1"/>
  <c r="D15" i="73" s="1"/>
  <c r="D16" i="73" s="1"/>
  <c r="D17" i="73" s="1"/>
  <c r="D18" i="73" s="1"/>
  <c r="D19" i="73" s="1"/>
  <c r="D20" i="73" s="1"/>
  <c r="D21" i="73" s="1"/>
  <c r="D22" i="73" s="1"/>
  <c r="D23" i="73" s="1"/>
  <c r="D24" i="73" s="1"/>
  <c r="D25" i="73" s="1"/>
  <c r="D26" i="73" s="1"/>
  <c r="D27" i="73" s="1"/>
  <c r="D28" i="73" s="1"/>
  <c r="D29" i="73" s="1"/>
  <c r="D30" i="73" s="1"/>
  <c r="D31" i="73" s="1"/>
  <c r="D32" i="73" s="1"/>
  <c r="D33" i="73" s="1"/>
  <c r="D34" i="73" s="1"/>
  <c r="D35" i="73" s="1"/>
  <c r="D36" i="73" s="1"/>
  <c r="D37" i="73" s="1"/>
  <c r="E39" i="73" s="1"/>
  <c r="I12" i="73"/>
  <c r="H18" i="41" l="1"/>
  <c r="R13" i="64"/>
  <c r="I12" i="41" s="1"/>
  <c r="L16" i="57"/>
  <c r="L27" i="41" s="1"/>
  <c r="AH27" i="41" s="1"/>
  <c r="I18" i="41"/>
  <c r="I13" i="73"/>
  <c r="R14" i="64" l="1"/>
  <c r="J12" i="41" s="1"/>
  <c r="J18" i="41"/>
  <c r="I14" i="73"/>
  <c r="C21" i="28"/>
  <c r="H8" i="28" s="1"/>
  <c r="H9" i="28" s="1"/>
  <c r="H10" i="28" s="1"/>
  <c r="H11" i="28" s="1"/>
  <c r="H12" i="28" s="1"/>
  <c r="H13" i="28" s="1"/>
  <c r="H14" i="28" s="1"/>
  <c r="H15" i="28" s="1"/>
  <c r="H16" i="28" s="1"/>
  <c r="H17" i="28" s="1"/>
  <c r="I42" i="57"/>
  <c r="T10" i="60" l="1"/>
  <c r="T11" i="60" s="1"/>
  <c r="T12" i="60" s="1"/>
  <c r="T13" i="60" s="1"/>
  <c r="T14" i="60" s="1"/>
  <c r="T15" i="60" s="1"/>
  <c r="T16" i="60" s="1"/>
  <c r="T17" i="60" s="1"/>
  <c r="T18" i="60" s="1"/>
  <c r="T19" i="60" s="1"/>
  <c r="T20" i="60" s="1"/>
  <c r="T21" i="60" s="1"/>
  <c r="R15" i="64"/>
  <c r="K12" i="41" s="1"/>
  <c r="K18" i="41"/>
  <c r="I15" i="73"/>
  <c r="W10" i="60"/>
  <c r="W11" i="60" s="1"/>
  <c r="W12" i="60" s="1"/>
  <c r="W13" i="60" s="1"/>
  <c r="W14" i="60" s="1"/>
  <c r="W15" i="60" s="1"/>
  <c r="W16" i="60" s="1"/>
  <c r="W17" i="60" s="1"/>
  <c r="W18" i="60" s="1"/>
  <c r="W19" i="60" s="1"/>
  <c r="W20" i="60" s="1"/>
  <c r="W21" i="60" s="1"/>
  <c r="R16" i="64" l="1"/>
  <c r="L12" i="41" s="1"/>
  <c r="AH12" i="41" s="1"/>
  <c r="L18" i="41"/>
  <c r="AH18" i="41" s="1"/>
  <c r="I16" i="73"/>
  <c r="I8" i="57"/>
  <c r="D24" i="41" l="1"/>
  <c r="I17" i="73"/>
  <c r="I9" i="57"/>
  <c r="E24" i="41" s="1"/>
  <c r="J22" i="60"/>
  <c r="I18" i="73" l="1"/>
  <c r="I10" i="57"/>
  <c r="F24" i="41" s="1"/>
  <c r="I19" i="73" l="1"/>
  <c r="I11" i="57"/>
  <c r="G24" i="41" s="1"/>
  <c r="D8" i="50"/>
  <c r="B21" i="20" l="1"/>
  <c r="C9" i="66"/>
  <c r="I49" i="65"/>
  <c r="H8" i="50"/>
  <c r="H11" i="50" s="1"/>
  <c r="H9" i="38" s="1"/>
  <c r="I9" i="38" s="1"/>
  <c r="I20" i="73"/>
  <c r="I12" i="57"/>
  <c r="H24" i="41" s="1"/>
  <c r="C15" i="66" l="1"/>
  <c r="M15" i="66"/>
  <c r="M16" i="66" s="1"/>
  <c r="V15" i="66"/>
  <c r="V16" i="66" s="1"/>
  <c r="N15" i="66"/>
  <c r="N16" i="66" s="1"/>
  <c r="AD15" i="66"/>
  <c r="AD16" i="66" s="1"/>
  <c r="S15" i="66"/>
  <c r="S16" i="66" s="1"/>
  <c r="AF15" i="66"/>
  <c r="AF16" i="66" s="1"/>
  <c r="W15" i="66"/>
  <c r="W16" i="66" s="1"/>
  <c r="Y15" i="66"/>
  <c r="Y16" i="66" s="1"/>
  <c r="AA15" i="66"/>
  <c r="AA16" i="66" s="1"/>
  <c r="P15" i="66"/>
  <c r="P16" i="66" s="1"/>
  <c r="Q15" i="66"/>
  <c r="Q16" i="66" s="1"/>
  <c r="T15" i="66"/>
  <c r="T16" i="66" s="1"/>
  <c r="X15" i="66"/>
  <c r="X16" i="66" s="1"/>
  <c r="Z15" i="66"/>
  <c r="Z16" i="66" s="1"/>
  <c r="O15" i="66"/>
  <c r="O16" i="66" s="1"/>
  <c r="AC15" i="66"/>
  <c r="AC16" i="66" s="1"/>
  <c r="AE15" i="66"/>
  <c r="AE16" i="66" s="1"/>
  <c r="AB15" i="66"/>
  <c r="AB16" i="66" s="1"/>
  <c r="R15" i="66"/>
  <c r="R16" i="66" s="1"/>
  <c r="U15" i="66"/>
  <c r="U16" i="66" s="1"/>
  <c r="B19" i="20"/>
  <c r="B19" i="46"/>
  <c r="I12" i="65"/>
  <c r="I21" i="73"/>
  <c r="I13" i="57"/>
  <c r="I24" i="41" s="1"/>
  <c r="L24" i="46"/>
  <c r="K24" i="46"/>
  <c r="J24" i="46"/>
  <c r="I24" i="46"/>
  <c r="H24" i="46"/>
  <c r="I22" i="73" l="1"/>
  <c r="I14" i="57"/>
  <c r="J24" i="41" s="1"/>
  <c r="C12" i="60"/>
  <c r="I23" i="73" l="1"/>
  <c r="I24" i="73" s="1"/>
  <c r="I25" i="73" s="1"/>
  <c r="I26" i="73" s="1"/>
  <c r="I27" i="73" s="1"/>
  <c r="I28" i="73" s="1"/>
  <c r="I29" i="73" s="1"/>
  <c r="I30" i="73" s="1"/>
  <c r="I31" i="73" s="1"/>
  <c r="I32" i="73" s="1"/>
  <c r="I33" i="73" s="1"/>
  <c r="I34" i="73" s="1"/>
  <c r="I35" i="73" s="1"/>
  <c r="I36" i="73" s="1"/>
  <c r="I37" i="73" s="1"/>
  <c r="J39" i="73" s="1"/>
  <c r="I15" i="57"/>
  <c r="K24" i="41" s="1"/>
  <c r="F44" i="38"/>
  <c r="I16" i="57" l="1"/>
  <c r="L24" i="41" l="1"/>
  <c r="I17" i="57"/>
  <c r="I18" i="57" l="1"/>
  <c r="M24" i="41"/>
  <c r="D7" i="66"/>
  <c r="E7" i="66" s="1"/>
  <c r="F7" i="66" s="1"/>
  <c r="G7" i="66" s="1"/>
  <c r="H7" i="66" s="1"/>
  <c r="I7" i="66" s="1"/>
  <c r="J7" i="66" s="1"/>
  <c r="K7" i="66" s="1"/>
  <c r="L7" i="66" s="1"/>
  <c r="Q47" i="64"/>
  <c r="X8" i="64" s="1"/>
  <c r="D17" i="41" s="1"/>
  <c r="I19" i="57" l="1"/>
  <c r="N24" i="41"/>
  <c r="X9" i="64"/>
  <c r="E17" i="41" s="1"/>
  <c r="Q41" i="64"/>
  <c r="F20" i="46"/>
  <c r="G20" i="46"/>
  <c r="H20" i="46"/>
  <c r="I20" i="46"/>
  <c r="J20" i="46"/>
  <c r="K20" i="46"/>
  <c r="L20" i="46"/>
  <c r="S10" i="60"/>
  <c r="S11" i="60" s="1"/>
  <c r="S12" i="60" s="1"/>
  <c r="S13" i="60" s="1"/>
  <c r="S14" i="60" s="1"/>
  <c r="S15" i="60" s="1"/>
  <c r="S16" i="60" s="1"/>
  <c r="S17" i="60" s="1"/>
  <c r="S18" i="60" s="1"/>
  <c r="S19" i="60" s="1"/>
  <c r="S20" i="60" s="1"/>
  <c r="S21" i="60" s="1"/>
  <c r="I20" i="57" l="1"/>
  <c r="O24" i="41"/>
  <c r="I48" i="65"/>
  <c r="I11" i="65"/>
  <c r="W8" i="64"/>
  <c r="D16" i="41" s="1"/>
  <c r="X10" i="64"/>
  <c r="F17" i="41" s="1"/>
  <c r="A2" i="65"/>
  <c r="I21" i="57" l="1"/>
  <c r="P24" i="41"/>
  <c r="X10" i="60"/>
  <c r="X11" i="60" s="1"/>
  <c r="X12" i="60" s="1"/>
  <c r="X13" i="60" s="1"/>
  <c r="X14" i="60" s="1"/>
  <c r="X15" i="60" s="1"/>
  <c r="X16" i="60" s="1"/>
  <c r="X17" i="60" s="1"/>
  <c r="X18" i="60" s="1"/>
  <c r="X19" i="60" s="1"/>
  <c r="X20" i="60" s="1"/>
  <c r="X21" i="60" s="1"/>
  <c r="B23" i="46"/>
  <c r="B27" i="46" s="1"/>
  <c r="B20" i="46"/>
  <c r="B29" i="46" s="1"/>
  <c r="B31" i="46" s="1"/>
  <c r="C30" i="46" s="1"/>
  <c r="W9" i="64"/>
  <c r="E16" i="41" s="1"/>
  <c r="X11" i="64"/>
  <c r="G17" i="41" s="1"/>
  <c r="I22" i="57" l="1"/>
  <c r="Q24" i="41"/>
  <c r="W10" i="64"/>
  <c r="F16" i="41" s="1"/>
  <c r="X12" i="64"/>
  <c r="H17" i="41" s="1"/>
  <c r="Q44" i="64"/>
  <c r="V8" i="64" s="1"/>
  <c r="Q45" i="64"/>
  <c r="Q46" i="64"/>
  <c r="Q42" i="64"/>
  <c r="P8" i="64" s="1"/>
  <c r="D10" i="41" s="1"/>
  <c r="O8" i="64"/>
  <c r="O9" i="64" s="1"/>
  <c r="I23" i="57" l="1"/>
  <c r="R24" i="41"/>
  <c r="V9" i="64"/>
  <c r="D14" i="41"/>
  <c r="P9" i="64"/>
  <c r="E10" i="41" s="1"/>
  <c r="G16" i="41"/>
  <c r="X13" i="64"/>
  <c r="I17" i="41" s="1"/>
  <c r="M10" i="60"/>
  <c r="L7" i="50"/>
  <c r="L8" i="50" s="1"/>
  <c r="V10" i="64" l="1"/>
  <c r="AA9" i="64"/>
  <c r="I24" i="57"/>
  <c r="S24" i="41"/>
  <c r="E14" i="41"/>
  <c r="P10" i="64"/>
  <c r="F10" i="41" s="1"/>
  <c r="W12" i="64"/>
  <c r="H16" i="41" s="1"/>
  <c r="J17" i="41"/>
  <c r="F15" i="66"/>
  <c r="F16" i="66" s="1"/>
  <c r="J15" i="66"/>
  <c r="J16" i="66" s="1"/>
  <c r="C16" i="66"/>
  <c r="G15" i="66"/>
  <c r="G16" i="66" s="1"/>
  <c r="K15" i="66"/>
  <c r="K16" i="66" s="1"/>
  <c r="H15" i="66"/>
  <c r="H16" i="66" s="1"/>
  <c r="L15" i="66"/>
  <c r="L16" i="66" s="1"/>
  <c r="E15" i="66"/>
  <c r="E16" i="66" s="1"/>
  <c r="I15" i="66"/>
  <c r="I16" i="66" s="1"/>
  <c r="D15" i="66"/>
  <c r="D16" i="66" s="1"/>
  <c r="C11" i="66"/>
  <c r="C8" i="28"/>
  <c r="T8" i="64"/>
  <c r="D15" i="41" l="1"/>
  <c r="T9" i="64"/>
  <c r="U9" i="64" s="1"/>
  <c r="I25" i="57"/>
  <c r="T24" i="41"/>
  <c r="V11" i="64"/>
  <c r="F14" i="41"/>
  <c r="P11" i="64"/>
  <c r="G10" i="41" s="1"/>
  <c r="P10" i="60"/>
  <c r="P11" i="60" s="1"/>
  <c r="P12" i="60" s="1"/>
  <c r="P13" i="60" s="1"/>
  <c r="P14" i="60" s="1"/>
  <c r="P15" i="60" s="1"/>
  <c r="P16" i="60" s="1"/>
  <c r="P17" i="60" s="1"/>
  <c r="P18" i="60" s="1"/>
  <c r="P19" i="60" s="1"/>
  <c r="P20" i="60" s="1"/>
  <c r="P21" i="60" s="1"/>
  <c r="G8" i="28"/>
  <c r="I8" i="28" s="1"/>
  <c r="N10" i="60"/>
  <c r="W13" i="64"/>
  <c r="I16" i="41" s="1"/>
  <c r="K17" i="41"/>
  <c r="D13" i="41"/>
  <c r="C22" i="66"/>
  <c r="D11" i="41"/>
  <c r="L16" i="51"/>
  <c r="M16" i="51"/>
  <c r="N16" i="51"/>
  <c r="O16" i="51"/>
  <c r="P16" i="51"/>
  <c r="G17" i="51"/>
  <c r="H17" i="51"/>
  <c r="I17" i="51"/>
  <c r="J17" i="51"/>
  <c r="K17" i="51"/>
  <c r="L17" i="51"/>
  <c r="M17" i="51"/>
  <c r="N17" i="51"/>
  <c r="O17" i="51"/>
  <c r="P17" i="51"/>
  <c r="E16" i="61"/>
  <c r="E17" i="61" s="1"/>
  <c r="E15" i="41" l="1"/>
  <c r="I26" i="57"/>
  <c r="U24" i="41"/>
  <c r="V12" i="64"/>
  <c r="G14" i="41"/>
  <c r="C8" i="41"/>
  <c r="C10" i="46"/>
  <c r="U8" i="64"/>
  <c r="P12" i="64"/>
  <c r="H10" i="41" s="1"/>
  <c r="C10" i="28"/>
  <c r="I9" i="28"/>
  <c r="N11" i="60"/>
  <c r="N12" i="60" s="1"/>
  <c r="N13" i="60" s="1"/>
  <c r="N14" i="60" s="1"/>
  <c r="N15" i="60" s="1"/>
  <c r="N16" i="60" s="1"/>
  <c r="N17" i="60" s="1"/>
  <c r="N18" i="60" s="1"/>
  <c r="N19" i="60" s="1"/>
  <c r="N20" i="60" s="1"/>
  <c r="N21" i="60" s="1"/>
  <c r="Q9" i="64"/>
  <c r="E11" i="41" s="1"/>
  <c r="W14" i="64"/>
  <c r="J16" i="41" s="1"/>
  <c r="X16" i="64"/>
  <c r="L17" i="41" s="1"/>
  <c r="AH17" i="41" s="1"/>
  <c r="S9" i="64"/>
  <c r="E13" i="41" s="1"/>
  <c r="T10" i="64"/>
  <c r="F15" i="41" s="1"/>
  <c r="D9" i="66"/>
  <c r="D22" i="66" s="1"/>
  <c r="E9" i="66" s="1"/>
  <c r="E22" i="66" s="1"/>
  <c r="F9" i="66" s="1"/>
  <c r="F22" i="66" s="1"/>
  <c r="G9" i="66" s="1"/>
  <c r="G22" i="66" s="1"/>
  <c r="H9" i="66" s="1"/>
  <c r="H22" i="66" s="1"/>
  <c r="I9" i="66" s="1"/>
  <c r="I22" i="66" s="1"/>
  <c r="J9" i="66" s="1"/>
  <c r="J22" i="66" s="1"/>
  <c r="K9" i="66" s="1"/>
  <c r="K22" i="66" s="1"/>
  <c r="L9" i="66" s="1"/>
  <c r="L22" i="66" s="1"/>
  <c r="M9" i="66" s="1"/>
  <c r="M22" i="66" s="1"/>
  <c r="N9" i="66" s="1"/>
  <c r="N22" i="66" s="1"/>
  <c r="O9" i="66" s="1"/>
  <c r="O22" i="66" s="1"/>
  <c r="P9" i="66" s="1"/>
  <c r="P22" i="66" s="1"/>
  <c r="Q9" i="66" s="1"/>
  <c r="Q22" i="66" s="1"/>
  <c r="R9" i="66" s="1"/>
  <c r="R22" i="66" s="1"/>
  <c r="S9" i="66" s="1"/>
  <c r="S22" i="66" s="1"/>
  <c r="T9" i="66" s="1"/>
  <c r="T22" i="66" s="1"/>
  <c r="U9" i="66" s="1"/>
  <c r="U22" i="66" s="1"/>
  <c r="V9" i="66" s="1"/>
  <c r="V22" i="66" s="1"/>
  <c r="W9" i="66" s="1"/>
  <c r="W22" i="66" s="1"/>
  <c r="X9" i="66" s="1"/>
  <c r="X22" i="66" s="1"/>
  <c r="Y9" i="66" s="1"/>
  <c r="Y22" i="66" s="1"/>
  <c r="Z9" i="66" s="1"/>
  <c r="Z22" i="66" s="1"/>
  <c r="AA9" i="66" s="1"/>
  <c r="AA22" i="66" s="1"/>
  <c r="AB9" i="66" s="1"/>
  <c r="AB22" i="66" s="1"/>
  <c r="AC9" i="66" s="1"/>
  <c r="AC22" i="66" s="1"/>
  <c r="AD9" i="66" s="1"/>
  <c r="AD22" i="66" s="1"/>
  <c r="AE9" i="66" s="1"/>
  <c r="AE22" i="66" s="1"/>
  <c r="AF9" i="66" s="1"/>
  <c r="AF22" i="66" s="1"/>
  <c r="C20" i="46"/>
  <c r="E20" i="46"/>
  <c r="D20" i="46"/>
  <c r="I9" i="29"/>
  <c r="G18" i="61"/>
  <c r="E18" i="61"/>
  <c r="G16" i="61"/>
  <c r="G17" i="61"/>
  <c r="C21" i="41" l="1"/>
  <c r="I27" i="57"/>
  <c r="V24" i="41"/>
  <c r="V13" i="64"/>
  <c r="H14" i="41"/>
  <c r="D8" i="41"/>
  <c r="Q10" i="64"/>
  <c r="F11" i="41" s="1"/>
  <c r="P13" i="64"/>
  <c r="I10" i="41" s="1"/>
  <c r="C11" i="28"/>
  <c r="G10" i="28"/>
  <c r="I10" i="28" s="1"/>
  <c r="W15" i="64"/>
  <c r="K16" i="41" s="1"/>
  <c r="S10" i="64"/>
  <c r="F13" i="41" s="1"/>
  <c r="T11" i="64"/>
  <c r="G15" i="41" s="1"/>
  <c r="T9" i="38"/>
  <c r="M51" i="38" s="1"/>
  <c r="E19" i="61"/>
  <c r="G19" i="61"/>
  <c r="E12" i="29"/>
  <c r="E13" i="29"/>
  <c r="I28" i="57" l="1"/>
  <c r="W24" i="41"/>
  <c r="V14" i="64"/>
  <c r="I14" i="41"/>
  <c r="E8" i="41"/>
  <c r="E10" i="46"/>
  <c r="P14" i="64"/>
  <c r="J10" i="41" s="1"/>
  <c r="Q11" i="64"/>
  <c r="G11" i="41" s="1"/>
  <c r="U10" i="64"/>
  <c r="C12" i="28"/>
  <c r="G11" i="28"/>
  <c r="I11" i="28" s="1"/>
  <c r="W16" i="64"/>
  <c r="L16" i="41" s="1"/>
  <c r="AH16" i="41" s="1"/>
  <c r="S11" i="64"/>
  <c r="G13" i="41" s="1"/>
  <c r="D37" i="41"/>
  <c r="T12" i="64"/>
  <c r="H15" i="41" s="1"/>
  <c r="E20" i="61"/>
  <c r="G20" i="61"/>
  <c r="I29" i="57" l="1"/>
  <c r="X24" i="41"/>
  <c r="V15" i="64"/>
  <c r="J14" i="41"/>
  <c r="F10" i="46"/>
  <c r="F8" i="41"/>
  <c r="Q12" i="64"/>
  <c r="H11" i="41" s="1"/>
  <c r="U11" i="64"/>
  <c r="P15" i="64"/>
  <c r="K10" i="41" s="1"/>
  <c r="C13" i="28"/>
  <c r="G12" i="28"/>
  <c r="S12" i="64"/>
  <c r="H13" i="41" s="1"/>
  <c r="E37" i="41"/>
  <c r="T13" i="64"/>
  <c r="I15" i="41" s="1"/>
  <c r="E21" i="61"/>
  <c r="G21" i="61"/>
  <c r="F9" i="28"/>
  <c r="F10" i="28" s="1"/>
  <c r="F11" i="28" s="1"/>
  <c r="F12" i="28" s="1"/>
  <c r="F13" i="28" s="1"/>
  <c r="F14" i="28" s="1"/>
  <c r="F15" i="28" s="1"/>
  <c r="F16" i="28" s="1"/>
  <c r="F17" i="28" s="1"/>
  <c r="A2" i="28"/>
  <c r="A2" i="64" s="1"/>
  <c r="A1" i="28"/>
  <c r="A1" i="64" s="1"/>
  <c r="C12" i="61"/>
  <c r="E12" i="61" s="1"/>
  <c r="C11" i="61"/>
  <c r="E11" i="61" s="1"/>
  <c r="C10" i="61"/>
  <c r="E10" i="61" s="1"/>
  <c r="J11" i="61"/>
  <c r="J12" i="61" s="1"/>
  <c r="J13" i="61" s="1"/>
  <c r="J14" i="61" s="1"/>
  <c r="J15" i="61" s="1"/>
  <c r="J16" i="61" s="1"/>
  <c r="J17" i="61" s="1"/>
  <c r="J18" i="61" s="1"/>
  <c r="J19" i="61" s="1"/>
  <c r="J20" i="61" s="1"/>
  <c r="J21" i="61" s="1"/>
  <c r="J22" i="61" s="1"/>
  <c r="J23" i="61" s="1"/>
  <c r="J24" i="61" s="1"/>
  <c r="I30" i="57" l="1"/>
  <c r="Y24" i="41"/>
  <c r="V16" i="64"/>
  <c r="K14" i="41"/>
  <c r="P16" i="64"/>
  <c r="Q13" i="64"/>
  <c r="I11" i="41" s="1"/>
  <c r="U12" i="64"/>
  <c r="I12" i="28"/>
  <c r="C14" i="28"/>
  <c r="G13" i="28"/>
  <c r="I13" i="28" s="1"/>
  <c r="S13" i="64"/>
  <c r="I13" i="41" s="1"/>
  <c r="F37" i="41"/>
  <c r="T14" i="64"/>
  <c r="J15" i="41" s="1"/>
  <c r="E22" i="61"/>
  <c r="G22" i="61"/>
  <c r="I31" i="57" l="1"/>
  <c r="Z24" i="41"/>
  <c r="L10" i="41"/>
  <c r="P17" i="64"/>
  <c r="L14" i="41"/>
  <c r="V17" i="64"/>
  <c r="H8" i="41"/>
  <c r="H10" i="46"/>
  <c r="G8" i="41"/>
  <c r="G37" i="41" s="1"/>
  <c r="G10" i="46"/>
  <c r="Q14" i="64"/>
  <c r="J11" i="41" s="1"/>
  <c r="U13" i="64"/>
  <c r="C15" i="28"/>
  <c r="D28" i="28"/>
  <c r="G14" i="28"/>
  <c r="I14" i="28" s="1"/>
  <c r="S14" i="64"/>
  <c r="J13" i="41" s="1"/>
  <c r="T15" i="64"/>
  <c r="K15" i="41" s="1"/>
  <c r="E23" i="61"/>
  <c r="G23" i="61"/>
  <c r="I32" i="57" l="1"/>
  <c r="AA24" i="41"/>
  <c r="U17" i="64"/>
  <c r="P18" i="64"/>
  <c r="M10" i="41"/>
  <c r="AA17" i="64"/>
  <c r="AB17" i="64" s="1"/>
  <c r="V18" i="64"/>
  <c r="V19" i="64" s="1"/>
  <c r="M14" i="41"/>
  <c r="I10" i="46"/>
  <c r="I8" i="41"/>
  <c r="Q15" i="64"/>
  <c r="U14" i="64"/>
  <c r="C16" i="28"/>
  <c r="G15" i="28"/>
  <c r="I15" i="28" s="1"/>
  <c r="S15" i="64"/>
  <c r="K13" i="41" s="1"/>
  <c r="H37" i="41"/>
  <c r="G8" i="51"/>
  <c r="T16" i="64"/>
  <c r="T17" i="64" s="1"/>
  <c r="D8" i="51"/>
  <c r="E8" i="51"/>
  <c r="C8" i="51"/>
  <c r="E24" i="61"/>
  <c r="G24" i="61"/>
  <c r="I30" i="62"/>
  <c r="G30" i="62"/>
  <c r="E30" i="62" s="1"/>
  <c r="J30" i="62" s="1"/>
  <c r="I29" i="62"/>
  <c r="G29" i="62"/>
  <c r="E29" i="62" s="1"/>
  <c r="J29" i="62" s="1"/>
  <c r="I28" i="62"/>
  <c r="G28" i="62"/>
  <c r="E28" i="62" s="1"/>
  <c r="J28" i="62" s="1"/>
  <c r="I27" i="62"/>
  <c r="G27" i="62"/>
  <c r="E27" i="62" s="1"/>
  <c r="J27" i="62" s="1"/>
  <c r="I26" i="62"/>
  <c r="G26" i="62"/>
  <c r="E26" i="62" s="1"/>
  <c r="J26" i="62" s="1"/>
  <c r="I25" i="62"/>
  <c r="G25" i="62"/>
  <c r="E25" i="62" s="1"/>
  <c r="J25" i="62" s="1"/>
  <c r="I24" i="62"/>
  <c r="G24" i="62"/>
  <c r="E24" i="62" s="1"/>
  <c r="J24" i="62" s="1"/>
  <c r="I23" i="62"/>
  <c r="G23" i="62"/>
  <c r="E23" i="62" s="1"/>
  <c r="J23" i="62" s="1"/>
  <c r="I22" i="62"/>
  <c r="G22" i="62"/>
  <c r="E22" i="62" s="1"/>
  <c r="J22" i="62" s="1"/>
  <c r="L22" i="62" s="1"/>
  <c r="I21" i="62"/>
  <c r="G21" i="62"/>
  <c r="E21" i="62" s="1"/>
  <c r="J21" i="62" s="1"/>
  <c r="I20" i="62"/>
  <c r="G20" i="62"/>
  <c r="E20" i="62" s="1"/>
  <c r="J20" i="62" s="1"/>
  <c r="I19" i="62"/>
  <c r="G19" i="62"/>
  <c r="E19" i="62" s="1"/>
  <c r="J19" i="62" s="1"/>
  <c r="I18" i="62"/>
  <c r="G18" i="62"/>
  <c r="E18" i="62" s="1"/>
  <c r="J18" i="62" s="1"/>
  <c r="I17" i="62"/>
  <c r="G17" i="62"/>
  <c r="E17" i="62" s="1"/>
  <c r="J17" i="62" s="1"/>
  <c r="I16" i="62"/>
  <c r="G16" i="62"/>
  <c r="E16" i="62" s="1"/>
  <c r="J16" i="62" s="1"/>
  <c r="I15" i="62"/>
  <c r="G15" i="62"/>
  <c r="E15" i="62" s="1"/>
  <c r="J15" i="62" s="1"/>
  <c r="I14" i="62"/>
  <c r="G14" i="62"/>
  <c r="E14" i="62" s="1"/>
  <c r="J14" i="62" s="1"/>
  <c r="I13" i="62"/>
  <c r="G13" i="62"/>
  <c r="E13" i="62" s="1"/>
  <c r="J13" i="62" s="1"/>
  <c r="I12" i="62"/>
  <c r="G12" i="62"/>
  <c r="E12" i="62" s="1"/>
  <c r="J12" i="62" s="1"/>
  <c r="I11" i="62"/>
  <c r="G11" i="62"/>
  <c r="E11" i="62" s="1"/>
  <c r="J11" i="62" s="1"/>
  <c r="I10" i="62"/>
  <c r="G10" i="62"/>
  <c r="E10" i="62" s="1"/>
  <c r="J10" i="62" s="1"/>
  <c r="I9" i="62"/>
  <c r="G9" i="62"/>
  <c r="E9" i="62" s="1"/>
  <c r="J9" i="62" s="1"/>
  <c r="I8" i="62"/>
  <c r="G8" i="62"/>
  <c r="E8" i="62" s="1"/>
  <c r="J8" i="62" s="1"/>
  <c r="M15" i="41" l="1"/>
  <c r="M20" i="41" s="1"/>
  <c r="T18" i="64"/>
  <c r="I33" i="57"/>
  <c r="AB24" i="41"/>
  <c r="N10" i="41"/>
  <c r="U18" i="64"/>
  <c r="P19" i="64"/>
  <c r="N14" i="41"/>
  <c r="AA18" i="64"/>
  <c r="L15" i="41"/>
  <c r="J10" i="46"/>
  <c r="J8" i="41"/>
  <c r="Q16" i="64"/>
  <c r="L11" i="41" s="1"/>
  <c r="AH11" i="41" s="1"/>
  <c r="U15" i="64"/>
  <c r="C17" i="28"/>
  <c r="G17" i="28" s="1"/>
  <c r="I17" i="28" s="1"/>
  <c r="G16" i="28"/>
  <c r="I16" i="28" s="1"/>
  <c r="S16" i="64"/>
  <c r="L13" i="41" s="1"/>
  <c r="AH13" i="41" s="1"/>
  <c r="I37" i="41"/>
  <c r="H8" i="51"/>
  <c r="L27" i="62"/>
  <c r="N27" i="62" s="1"/>
  <c r="L11" i="62"/>
  <c r="N11" i="62" s="1"/>
  <c r="L14" i="62"/>
  <c r="L9" i="62"/>
  <c r="N9" i="62" s="1"/>
  <c r="L23" i="62"/>
  <c r="N23" i="62" s="1"/>
  <c r="L15" i="62"/>
  <c r="N15" i="62" s="1"/>
  <c r="L10" i="62"/>
  <c r="M10" i="62" s="1"/>
  <c r="L16" i="62"/>
  <c r="N16" i="62" s="1"/>
  <c r="L18" i="62"/>
  <c r="M18" i="62" s="1"/>
  <c r="L30" i="62"/>
  <c r="N30" i="62" s="1"/>
  <c r="F8" i="51"/>
  <c r="E25" i="61"/>
  <c r="G25" i="61"/>
  <c r="L13" i="61"/>
  <c r="O13" i="61" s="1"/>
  <c r="M13" i="61"/>
  <c r="P13" i="61" s="1"/>
  <c r="K13" i="61"/>
  <c r="N13" i="61" s="1"/>
  <c r="L21" i="62"/>
  <c r="N21" i="62" s="1"/>
  <c r="L19" i="62"/>
  <c r="M19" i="62" s="1"/>
  <c r="L25" i="62"/>
  <c r="N25" i="62" s="1"/>
  <c r="L28" i="62"/>
  <c r="M28" i="62" s="1"/>
  <c r="L26" i="62"/>
  <c r="N26" i="62" s="1"/>
  <c r="L12" i="62"/>
  <c r="L17" i="62"/>
  <c r="L24" i="62"/>
  <c r="L8" i="62"/>
  <c r="L13" i="62"/>
  <c r="L29" i="62"/>
  <c r="L20" i="62"/>
  <c r="M22" i="62"/>
  <c r="N22" i="62"/>
  <c r="M25" i="62"/>
  <c r="L6" i="38"/>
  <c r="Q25" i="52"/>
  <c r="R25" i="52"/>
  <c r="Q26" i="52"/>
  <c r="R26" i="52"/>
  <c r="C23" i="52"/>
  <c r="D23" i="52"/>
  <c r="E23" i="52"/>
  <c r="F23" i="52"/>
  <c r="G23" i="52"/>
  <c r="D24" i="52"/>
  <c r="E24" i="52"/>
  <c r="F24" i="52"/>
  <c r="G24" i="52"/>
  <c r="B23" i="52"/>
  <c r="B19" i="52"/>
  <c r="N10" i="52"/>
  <c r="O10" i="52"/>
  <c r="P10" i="52"/>
  <c r="Q10" i="52"/>
  <c r="R10" i="52"/>
  <c r="M38" i="41" l="1"/>
  <c r="M41" i="41" s="1"/>
  <c r="M12" i="46"/>
  <c r="M21" i="41"/>
  <c r="N15" i="41"/>
  <c r="N20" i="41" s="1"/>
  <c r="T19" i="64"/>
  <c r="U19" i="64" s="1"/>
  <c r="AB18" i="64"/>
  <c r="I34" i="57"/>
  <c r="AC24" i="41"/>
  <c r="O10" i="41"/>
  <c r="P20" i="64"/>
  <c r="O14" i="41"/>
  <c r="AA19" i="64"/>
  <c r="V20" i="64"/>
  <c r="M45" i="38"/>
  <c r="K10" i="38"/>
  <c r="K9" i="38"/>
  <c r="K10" i="46"/>
  <c r="K8" i="41"/>
  <c r="L8" i="41"/>
  <c r="AH8" i="41" s="1"/>
  <c r="L10" i="46"/>
  <c r="U16" i="64"/>
  <c r="N19" i="62"/>
  <c r="M27" i="62"/>
  <c r="O27" i="62" s="1"/>
  <c r="P27" i="62" s="1"/>
  <c r="Q27" i="62" s="1"/>
  <c r="M30" i="62"/>
  <c r="J37" i="41"/>
  <c r="I8" i="51"/>
  <c r="M15" i="62"/>
  <c r="O15" i="62" s="1"/>
  <c r="P15" i="62" s="1"/>
  <c r="Q15" i="62" s="1"/>
  <c r="M23" i="62"/>
  <c r="O23" i="62" s="1"/>
  <c r="P23" i="62" s="1"/>
  <c r="Q23" i="62" s="1"/>
  <c r="M26" i="62"/>
  <c r="O26" i="62" s="1"/>
  <c r="P26" i="62" s="1"/>
  <c r="Q26" i="62" s="1"/>
  <c r="N18" i="62"/>
  <c r="O18" i="62" s="1"/>
  <c r="P18" i="62" s="1"/>
  <c r="Q18" i="62" s="1"/>
  <c r="M14" i="62"/>
  <c r="N14" i="62"/>
  <c r="M11" i="62"/>
  <c r="O11" i="62" s="1"/>
  <c r="P11" i="62" s="1"/>
  <c r="Q11" i="62" s="1"/>
  <c r="M9" i="62"/>
  <c r="O9" i="62" s="1"/>
  <c r="P9" i="62" s="1"/>
  <c r="Q9" i="62" s="1"/>
  <c r="L9" i="38"/>
  <c r="O30" i="62"/>
  <c r="P30" i="62" s="1"/>
  <c r="Q30" i="62" s="1"/>
  <c r="M16" i="62"/>
  <c r="M21" i="62"/>
  <c r="O21" i="62" s="1"/>
  <c r="P21" i="62" s="1"/>
  <c r="Q21" i="62" s="1"/>
  <c r="N10" i="62"/>
  <c r="O10" i="62" s="1"/>
  <c r="P10" i="62" s="1"/>
  <c r="Q10" i="62" s="1"/>
  <c r="O16" i="62"/>
  <c r="P16" i="62" s="1"/>
  <c r="Q16" i="62" s="1"/>
  <c r="O19" i="62"/>
  <c r="P19" i="62" s="1"/>
  <c r="Q19" i="62" s="1"/>
  <c r="N28" i="62"/>
  <c r="O28" i="62" s="1"/>
  <c r="P28" i="62" s="1"/>
  <c r="Q28" i="62" s="1"/>
  <c r="O22" i="62"/>
  <c r="P22" i="62" s="1"/>
  <c r="Q22" i="62" s="1"/>
  <c r="E26" i="61"/>
  <c r="G26" i="61"/>
  <c r="L20" i="61"/>
  <c r="O20" i="61" s="1"/>
  <c r="K15" i="61"/>
  <c r="N15" i="61" s="1"/>
  <c r="L15" i="61"/>
  <c r="O15" i="61" s="1"/>
  <c r="M15" i="61"/>
  <c r="P15" i="61" s="1"/>
  <c r="Q13" i="61"/>
  <c r="K12" i="61"/>
  <c r="N12" i="61" s="1"/>
  <c r="L12" i="61"/>
  <c r="O12" i="61" s="1"/>
  <c r="M12" i="61"/>
  <c r="P12" i="61" s="1"/>
  <c r="K11" i="61"/>
  <c r="N11" i="61" s="1"/>
  <c r="L11" i="61"/>
  <c r="O11" i="61" s="1"/>
  <c r="M11" i="61"/>
  <c r="P11" i="61" s="1"/>
  <c r="K16" i="61"/>
  <c r="N16" i="61" s="1"/>
  <c r="L16" i="61"/>
  <c r="O16" i="61" s="1"/>
  <c r="M16" i="61"/>
  <c r="P16" i="61" s="1"/>
  <c r="M14" i="61"/>
  <c r="P14" i="61" s="1"/>
  <c r="L14" i="61"/>
  <c r="O14" i="61" s="1"/>
  <c r="K14" i="61"/>
  <c r="N14" i="61" s="1"/>
  <c r="M10" i="61"/>
  <c r="P10" i="61" s="1"/>
  <c r="L10" i="61"/>
  <c r="O10" i="61" s="1"/>
  <c r="K10" i="61"/>
  <c r="N10" i="61" s="1"/>
  <c r="O25" i="62"/>
  <c r="P25" i="62" s="1"/>
  <c r="Q25" i="62" s="1"/>
  <c r="M29" i="62"/>
  <c r="N29" i="62"/>
  <c r="M13" i="62"/>
  <c r="N13" i="62"/>
  <c r="N24" i="62"/>
  <c r="M24" i="62"/>
  <c r="N8" i="62"/>
  <c r="M8" i="62"/>
  <c r="M17" i="62"/>
  <c r="N17" i="62"/>
  <c r="N20" i="62"/>
  <c r="M20" i="62"/>
  <c r="N12" i="62"/>
  <c r="M12" i="62"/>
  <c r="AI8" i="41" l="1"/>
  <c r="AH37" i="41"/>
  <c r="N21" i="41"/>
  <c r="N38" i="41"/>
  <c r="N41" i="41" s="1"/>
  <c r="N12" i="46"/>
  <c r="T20" i="64"/>
  <c r="U20" i="64" s="1"/>
  <c r="O15" i="41"/>
  <c r="O20" i="41" s="1"/>
  <c r="AB19" i="64"/>
  <c r="I35" i="57"/>
  <c r="AD24" i="41"/>
  <c r="P10" i="41"/>
  <c r="P21" i="64"/>
  <c r="P14" i="41"/>
  <c r="AA20" i="64"/>
  <c r="V21" i="64"/>
  <c r="M9" i="38"/>
  <c r="I21" i="60"/>
  <c r="C37" i="41"/>
  <c r="K37" i="41"/>
  <c r="J8" i="51"/>
  <c r="O14" i="62"/>
  <c r="P14" i="62" s="1"/>
  <c r="Q14" i="62" s="1"/>
  <c r="R14" i="62" s="1"/>
  <c r="S14" i="62" s="1"/>
  <c r="U14" i="62" s="1"/>
  <c r="V14" i="62" s="1"/>
  <c r="V9" i="38"/>
  <c r="W9" i="38" s="1"/>
  <c r="M43" i="38" s="1"/>
  <c r="O17" i="62"/>
  <c r="P17" i="62" s="1"/>
  <c r="Q17" i="62" s="1"/>
  <c r="O12" i="62"/>
  <c r="P12" i="62" s="1"/>
  <c r="Q12" i="62" s="1"/>
  <c r="O20" i="62"/>
  <c r="P20" i="62" s="1"/>
  <c r="Q20" i="62" s="1"/>
  <c r="O24" i="62"/>
  <c r="P24" i="62" s="1"/>
  <c r="Q24" i="62" s="1"/>
  <c r="O8" i="62"/>
  <c r="P8" i="62" s="1"/>
  <c r="Q8" i="62" s="1"/>
  <c r="M20" i="61"/>
  <c r="P20" i="61" s="1"/>
  <c r="K20" i="61"/>
  <c r="N20" i="61" s="1"/>
  <c r="E27" i="61"/>
  <c r="G27" i="61"/>
  <c r="L8" i="51"/>
  <c r="M21" i="61"/>
  <c r="P21" i="61" s="1"/>
  <c r="Q15" i="61"/>
  <c r="Q16" i="61"/>
  <c r="Q11" i="61"/>
  <c r="Q12" i="61"/>
  <c r="Q14" i="61"/>
  <c r="Q10" i="61"/>
  <c r="O29" i="62"/>
  <c r="P29" i="62" s="1"/>
  <c r="Q29" i="62" s="1"/>
  <c r="O13" i="62"/>
  <c r="P13" i="62" s="1"/>
  <c r="Q13" i="62" s="1"/>
  <c r="R9" i="62"/>
  <c r="S9" i="62" s="1"/>
  <c r="U9" i="62" s="1"/>
  <c r="V9" i="62" s="1"/>
  <c r="R25" i="62"/>
  <c r="S25" i="62" s="1"/>
  <c r="U25" i="62" s="1"/>
  <c r="V25" i="62" s="1"/>
  <c r="R19" i="62"/>
  <c r="S19" i="62" s="1"/>
  <c r="U19" i="62" s="1"/>
  <c r="V19" i="62" s="1"/>
  <c r="R28" i="62"/>
  <c r="S28" i="62" s="1"/>
  <c r="U28" i="62" s="1"/>
  <c r="R11" i="62"/>
  <c r="S11" i="62" s="1"/>
  <c r="U11" i="62" s="1"/>
  <c r="V11" i="62" s="1"/>
  <c r="R21" i="62"/>
  <c r="S21" i="62" s="1"/>
  <c r="U21" i="62" s="1"/>
  <c r="V21" i="62" s="1"/>
  <c r="R15" i="62"/>
  <c r="S15" i="62" s="1"/>
  <c r="U15" i="62" s="1"/>
  <c r="V15" i="62" s="1"/>
  <c r="R16" i="62"/>
  <c r="S16" i="62" s="1"/>
  <c r="U16" i="62" s="1"/>
  <c r="V16" i="62" s="1"/>
  <c r="R23" i="62"/>
  <c r="S23" i="62" s="1"/>
  <c r="U23" i="62" s="1"/>
  <c r="V23" i="62" s="1"/>
  <c r="R10" i="62"/>
  <c r="S10" i="62" s="1"/>
  <c r="U10" i="62" s="1"/>
  <c r="V10" i="62" s="1"/>
  <c r="R22" i="62"/>
  <c r="S22" i="62" s="1"/>
  <c r="U22" i="62" s="1"/>
  <c r="V22" i="62" s="1"/>
  <c r="R30" i="62"/>
  <c r="S30" i="62" s="1"/>
  <c r="U30" i="62" s="1"/>
  <c r="V30" i="62" s="1"/>
  <c r="R26" i="62"/>
  <c r="S26" i="62" s="1"/>
  <c r="U26" i="62" s="1"/>
  <c r="V26" i="62" s="1"/>
  <c r="R27" i="62"/>
  <c r="S27" i="62" s="1"/>
  <c r="U27" i="62" s="1"/>
  <c r="R18" i="62"/>
  <c r="S18" i="62" s="1"/>
  <c r="U18" i="62" s="1"/>
  <c r="V18" i="62" s="1"/>
  <c r="O12" i="46" l="1"/>
  <c r="O38" i="41"/>
  <c r="O41" i="41" s="1"/>
  <c r="O21" i="41"/>
  <c r="AB20" i="64"/>
  <c r="T21" i="64"/>
  <c r="U21" i="64" s="1"/>
  <c r="P15" i="41"/>
  <c r="P20" i="41" s="1"/>
  <c r="I36" i="57"/>
  <c r="AE24" i="41"/>
  <c r="Q10" i="41"/>
  <c r="P22" i="64"/>
  <c r="Q14" i="41"/>
  <c r="AA21" i="64"/>
  <c r="V22" i="64"/>
  <c r="I22" i="60"/>
  <c r="L37" i="41"/>
  <c r="K8" i="51"/>
  <c r="B8" i="51"/>
  <c r="Q20" i="61"/>
  <c r="L21" i="61"/>
  <c r="O21" i="61" s="1"/>
  <c r="E28" i="61"/>
  <c r="G28" i="61"/>
  <c r="M8" i="51"/>
  <c r="M22" i="61"/>
  <c r="P22" i="61" s="1"/>
  <c r="L22" i="61"/>
  <c r="O22" i="61" s="1"/>
  <c r="K21" i="61"/>
  <c r="N21" i="61" s="1"/>
  <c r="R20" i="62"/>
  <c r="S20" i="62"/>
  <c r="U20" i="62" s="1"/>
  <c r="V20" i="62" s="1"/>
  <c r="R12" i="62"/>
  <c r="S12" i="62" s="1"/>
  <c r="U12" i="62" s="1"/>
  <c r="V12" i="62" s="1"/>
  <c r="R17" i="62"/>
  <c r="S17" i="62" s="1"/>
  <c r="U17" i="62" s="1"/>
  <c r="V17" i="62" s="1"/>
  <c r="R13" i="62"/>
  <c r="S13" i="62" s="1"/>
  <c r="U13" i="62" s="1"/>
  <c r="V13" i="62" s="1"/>
  <c r="R29" i="62"/>
  <c r="S29" i="62" s="1"/>
  <c r="U29" i="62" s="1"/>
  <c r="V29" i="62" s="1"/>
  <c r="R8" i="62"/>
  <c r="S8" i="62"/>
  <c r="U8" i="62" s="1"/>
  <c r="V8" i="62" s="1"/>
  <c r="R24" i="62"/>
  <c r="S24" i="62" s="1"/>
  <c r="U24" i="62" s="1"/>
  <c r="V24" i="62" s="1"/>
  <c r="P12" i="46" l="1"/>
  <c r="P38" i="41"/>
  <c r="P41" i="41" s="1"/>
  <c r="P21" i="41"/>
  <c r="AB21" i="64"/>
  <c r="T22" i="64"/>
  <c r="U22" i="64" s="1"/>
  <c r="Q15" i="41"/>
  <c r="Q20" i="41"/>
  <c r="Q21" i="41" s="1"/>
  <c r="AF24" i="41"/>
  <c r="I37" i="57"/>
  <c r="R10" i="41"/>
  <c r="P23" i="64"/>
  <c r="R14" i="41"/>
  <c r="AA22" i="64"/>
  <c r="V23" i="64"/>
  <c r="V32" i="62"/>
  <c r="Q21" i="61"/>
  <c r="E29" i="61"/>
  <c r="G29" i="61"/>
  <c r="N8" i="51"/>
  <c r="M23" i="61"/>
  <c r="P23" i="61" s="1"/>
  <c r="K22" i="61"/>
  <c r="N22" i="61" s="1"/>
  <c r="Q22" i="61" s="1"/>
  <c r="U32" i="62"/>
  <c r="B8" i="33"/>
  <c r="B10" i="33" s="1"/>
  <c r="Q38" i="41" l="1"/>
  <c r="Q41" i="41" s="1"/>
  <c r="AB22" i="64"/>
  <c r="T23" i="64"/>
  <c r="U23" i="64" s="1"/>
  <c r="R15" i="41"/>
  <c r="R20" i="41" s="1"/>
  <c r="Q12" i="46"/>
  <c r="AH24" i="41"/>
  <c r="S10" i="41"/>
  <c r="P24" i="64"/>
  <c r="S14" i="41"/>
  <c r="V24" i="64"/>
  <c r="AA23" i="64"/>
  <c r="K23" i="61"/>
  <c r="N23" i="61" s="1"/>
  <c r="L23" i="61"/>
  <c r="O23" i="61" s="1"/>
  <c r="E30" i="61"/>
  <c r="G30" i="61"/>
  <c r="O8" i="51"/>
  <c r="R12" i="46" l="1"/>
  <c r="R38" i="41"/>
  <c r="R41" i="41" s="1"/>
  <c r="R21" i="41"/>
  <c r="T24" i="64"/>
  <c r="S15" i="41"/>
  <c r="S20" i="41" s="1"/>
  <c r="AB23" i="64"/>
  <c r="T10" i="41"/>
  <c r="P25" i="64"/>
  <c r="T14" i="41"/>
  <c r="AA24" i="64"/>
  <c r="V25" i="64"/>
  <c r="Q23" i="61"/>
  <c r="M24" i="61"/>
  <c r="P24" i="61" s="1"/>
  <c r="L24" i="61"/>
  <c r="O24" i="61" s="1"/>
  <c r="E31" i="61"/>
  <c r="G31" i="61"/>
  <c r="S38" i="41" l="1"/>
  <c r="S41" i="41" s="1"/>
  <c r="S12" i="46"/>
  <c r="S21" i="41"/>
  <c r="T25" i="64"/>
  <c r="T15" i="41"/>
  <c r="T20" i="41" s="1"/>
  <c r="U24" i="64"/>
  <c r="AB24" i="64" s="1"/>
  <c r="U10" i="41"/>
  <c r="P26" i="64"/>
  <c r="U14" i="41"/>
  <c r="V26" i="64"/>
  <c r="AA25" i="64"/>
  <c r="P8" i="51"/>
  <c r="K24" i="61"/>
  <c r="N24" i="61" s="1"/>
  <c r="Q24" i="61" s="1"/>
  <c r="E32" i="61"/>
  <c r="G32" i="61"/>
  <c r="C19" i="52"/>
  <c r="T38" i="41" l="1"/>
  <c r="T41" i="41" s="1"/>
  <c r="T21" i="41"/>
  <c r="T12" i="46"/>
  <c r="T26" i="64"/>
  <c r="U15" i="41"/>
  <c r="U20" i="41" s="1"/>
  <c r="U25" i="64"/>
  <c r="AB25" i="64" s="1"/>
  <c r="V10" i="41"/>
  <c r="P27" i="64"/>
  <c r="V14" i="41"/>
  <c r="AA26" i="64"/>
  <c r="V27" i="64"/>
  <c r="E33" i="61"/>
  <c r="G33" i="61"/>
  <c r="U21" i="41" l="1"/>
  <c r="U12" i="46"/>
  <c r="U38" i="41"/>
  <c r="U41" i="41" s="1"/>
  <c r="T27" i="64"/>
  <c r="V15" i="41"/>
  <c r="V20" i="41" s="1"/>
  <c r="U26" i="64"/>
  <c r="AB26" i="64" s="1"/>
  <c r="W10" i="41"/>
  <c r="P28" i="64"/>
  <c r="W14" i="41"/>
  <c r="V28" i="64"/>
  <c r="AA27" i="64"/>
  <c r="E34" i="61"/>
  <c r="G34" i="61"/>
  <c r="V21" i="41" l="1"/>
  <c r="V12" i="46"/>
  <c r="V38" i="41"/>
  <c r="V41" i="41" s="1"/>
  <c r="T28" i="64"/>
  <c r="W15" i="41"/>
  <c r="W20" i="41" s="1"/>
  <c r="U27" i="64"/>
  <c r="AB27" i="64" s="1"/>
  <c r="X10" i="41"/>
  <c r="P29" i="64"/>
  <c r="X14" i="41"/>
  <c r="V29" i="64"/>
  <c r="AA28" i="64"/>
  <c r="E35" i="61"/>
  <c r="G35" i="61"/>
  <c r="G10" i="29"/>
  <c r="G11" i="29" s="1"/>
  <c r="G12" i="29" s="1"/>
  <c r="G13" i="29" s="1"/>
  <c r="G14" i="29" s="1"/>
  <c r="G15" i="29" s="1"/>
  <c r="G16" i="29" s="1"/>
  <c r="G17" i="29" s="1"/>
  <c r="G18" i="29" s="1"/>
  <c r="P26" i="52"/>
  <c r="O26" i="52"/>
  <c r="P25" i="52"/>
  <c r="O25" i="52"/>
  <c r="W38" i="41" l="1"/>
  <c r="W41" i="41" s="1"/>
  <c r="W12" i="46"/>
  <c r="W21" i="41"/>
  <c r="T29" i="64"/>
  <c r="U29" i="64" s="1"/>
  <c r="X15" i="41"/>
  <c r="X20" i="41" s="1"/>
  <c r="U28" i="64"/>
  <c r="AB28" i="64" s="1"/>
  <c r="Y10" i="41"/>
  <c r="P30" i="64"/>
  <c r="Y14" i="41"/>
  <c r="V30" i="64"/>
  <c r="AA29" i="64"/>
  <c r="E36" i="61"/>
  <c r="G36" i="61"/>
  <c r="X38" i="41" l="1"/>
  <c r="X41" i="41" s="1"/>
  <c r="X12" i="46"/>
  <c r="X21" i="41"/>
  <c r="AB29" i="64"/>
  <c r="T30" i="64"/>
  <c r="Y15" i="41"/>
  <c r="Y20" i="41" s="1"/>
  <c r="Z10" i="41"/>
  <c r="P31" i="64"/>
  <c r="Z14" i="41"/>
  <c r="AA30" i="64"/>
  <c r="V31" i="64"/>
  <c r="E37" i="61"/>
  <c r="G37" i="61"/>
  <c r="D19" i="52"/>
  <c r="D20" i="52" s="1"/>
  <c r="Y12" i="46" l="1"/>
  <c r="Y38" i="41"/>
  <c r="Y41" i="41" s="1"/>
  <c r="Y21" i="41"/>
  <c r="T31" i="64"/>
  <c r="Z15" i="41"/>
  <c r="Z20" i="41" s="1"/>
  <c r="U30" i="64"/>
  <c r="AB30" i="64" s="1"/>
  <c r="AA10" i="41"/>
  <c r="P32" i="64"/>
  <c r="AA14" i="41"/>
  <c r="AA31" i="64"/>
  <c r="V32" i="64"/>
  <c r="E38" i="61"/>
  <c r="G38" i="61"/>
  <c r="G19" i="52"/>
  <c r="G20" i="52" s="1"/>
  <c r="Z21" i="41" l="1"/>
  <c r="Z12" i="46"/>
  <c r="Z38" i="41"/>
  <c r="Z41" i="41" s="1"/>
  <c r="T32" i="64"/>
  <c r="U32" i="64" s="1"/>
  <c r="AA15" i="41"/>
  <c r="AA20" i="41" s="1"/>
  <c r="AA21" i="41" s="1"/>
  <c r="U31" i="64"/>
  <c r="AB31" i="64" s="1"/>
  <c r="AB10" i="41"/>
  <c r="P33" i="64"/>
  <c r="AB14" i="41"/>
  <c r="AA32" i="64"/>
  <c r="V33" i="64"/>
  <c r="K7" i="57"/>
  <c r="C26" i="41" s="1"/>
  <c r="I44" i="57"/>
  <c r="I43" i="57"/>
  <c r="J8" i="57" s="1"/>
  <c r="D25" i="41" s="1"/>
  <c r="I41" i="57"/>
  <c r="G8" i="57"/>
  <c r="G9" i="57" s="1"/>
  <c r="G10" i="57" s="1"/>
  <c r="G11" i="57" s="1"/>
  <c r="G12" i="57" s="1"/>
  <c r="G13" i="57" s="1"/>
  <c r="G14" i="57" s="1"/>
  <c r="G15" i="57" s="1"/>
  <c r="G16" i="57" s="1"/>
  <c r="A2" i="57"/>
  <c r="A1" i="57"/>
  <c r="AA12" i="46" l="1"/>
  <c r="AB32" i="64"/>
  <c r="AA38" i="41"/>
  <c r="AA41" i="41" s="1"/>
  <c r="T33" i="64"/>
  <c r="AB15" i="41"/>
  <c r="AB20" i="41" s="1"/>
  <c r="AC10" i="41"/>
  <c r="P34" i="64"/>
  <c r="U33" i="64"/>
  <c r="AC14" i="41"/>
  <c r="AA33" i="64"/>
  <c r="V34" i="64"/>
  <c r="Y10" i="60"/>
  <c r="Y11" i="60" s="1"/>
  <c r="Y12" i="60" s="1"/>
  <c r="Y13" i="60" s="1"/>
  <c r="Y14" i="60" s="1"/>
  <c r="Y15" i="60" s="1"/>
  <c r="Y16" i="60" s="1"/>
  <c r="Y17" i="60" s="1"/>
  <c r="Y18" i="60" s="1"/>
  <c r="Y19" i="60" s="1"/>
  <c r="Y20" i="60" s="1"/>
  <c r="Y21" i="60" s="1"/>
  <c r="J9" i="57"/>
  <c r="E25" i="41" s="1"/>
  <c r="K8" i="57"/>
  <c r="D26" i="41" s="1"/>
  <c r="A2" i="61"/>
  <c r="A2" i="62"/>
  <c r="A1" i="62"/>
  <c r="A1" i="61"/>
  <c r="AB12" i="46" l="1"/>
  <c r="AB38" i="41"/>
  <c r="AB41" i="41" s="1"/>
  <c r="AB21" i="41"/>
  <c r="T34" i="64"/>
  <c r="AC15" i="41"/>
  <c r="AB33" i="64"/>
  <c r="AC20" i="41"/>
  <c r="AC38" i="41" s="1"/>
  <c r="AC41" i="41" s="1"/>
  <c r="AD10" i="41"/>
  <c r="P35" i="64"/>
  <c r="AD14" i="41"/>
  <c r="AA34" i="64"/>
  <c r="V35" i="64"/>
  <c r="J10" i="57"/>
  <c r="F25" i="41" s="1"/>
  <c r="K9" i="57"/>
  <c r="E26" i="41" s="1"/>
  <c r="AC12" i="46" l="1"/>
  <c r="AC21" i="41"/>
  <c r="T35" i="64"/>
  <c r="U34" i="64"/>
  <c r="AB34" i="64" s="1"/>
  <c r="AD15" i="41"/>
  <c r="AD20" i="41"/>
  <c r="AD12" i="46" s="1"/>
  <c r="P36" i="64"/>
  <c r="AE10" i="41"/>
  <c r="AE14" i="41"/>
  <c r="AA35" i="64"/>
  <c r="V36" i="64"/>
  <c r="J11" i="57"/>
  <c r="G25" i="41" s="1"/>
  <c r="B9" i="51"/>
  <c r="K10" i="57"/>
  <c r="F26" i="41" s="1"/>
  <c r="AD21" i="41" l="1"/>
  <c r="AD38" i="41"/>
  <c r="AD41" i="41" s="1"/>
  <c r="T36" i="64"/>
  <c r="AF15" i="41" s="1"/>
  <c r="AE15" i="41"/>
  <c r="AE20" i="41" s="1"/>
  <c r="AE38" i="41" s="1"/>
  <c r="AE41" i="41" s="1"/>
  <c r="U35" i="64"/>
  <c r="AB35" i="64" s="1"/>
  <c r="AF10" i="41"/>
  <c r="U36" i="64"/>
  <c r="AA36" i="64"/>
  <c r="AF14" i="41"/>
  <c r="J12" i="57"/>
  <c r="H25" i="41" s="1"/>
  <c r="C9" i="51"/>
  <c r="C10" i="51" s="1"/>
  <c r="K11" i="57"/>
  <c r="G26" i="41" s="1"/>
  <c r="AH10" i="41" l="1"/>
  <c r="AE12" i="46"/>
  <c r="AE21" i="41"/>
  <c r="AH15" i="41"/>
  <c r="AB36" i="64"/>
  <c r="AF20" i="41"/>
  <c r="AH14" i="41"/>
  <c r="J13" i="57"/>
  <c r="I25" i="41" s="1"/>
  <c r="D9" i="51"/>
  <c r="D10" i="51" s="1"/>
  <c r="K12" i="57"/>
  <c r="H26" i="41" s="1"/>
  <c r="E7" i="52"/>
  <c r="F7" i="52" s="1"/>
  <c r="G7" i="52" s="1"/>
  <c r="H7" i="52" s="1"/>
  <c r="I7" i="52" s="1"/>
  <c r="J7" i="52" s="1"/>
  <c r="K7" i="52" s="1"/>
  <c r="L7" i="52" s="1"/>
  <c r="M7" i="52" s="1"/>
  <c r="N7" i="52" s="1"/>
  <c r="O7" i="52" s="1"/>
  <c r="P7" i="52" s="1"/>
  <c r="Q7" i="52" s="1"/>
  <c r="R7" i="52" s="1"/>
  <c r="C7" i="51"/>
  <c r="D7" i="51" s="1"/>
  <c r="E7" i="51" s="1"/>
  <c r="F7" i="51" s="1"/>
  <c r="G7" i="51" s="1"/>
  <c r="H7" i="51" s="1"/>
  <c r="I7" i="51" s="1"/>
  <c r="J7" i="51" s="1"/>
  <c r="K7" i="51" s="1"/>
  <c r="L7" i="51" s="1"/>
  <c r="M7" i="51" s="1"/>
  <c r="N7" i="51" s="1"/>
  <c r="O7" i="51" s="1"/>
  <c r="P7" i="51" s="1"/>
  <c r="AF12" i="46" l="1"/>
  <c r="AF38" i="41"/>
  <c r="AF41" i="41" s="1"/>
  <c r="AF21" i="41"/>
  <c r="J14" i="57"/>
  <c r="J25" i="41" s="1"/>
  <c r="E9" i="51"/>
  <c r="E10" i="51" s="1"/>
  <c r="K13" i="57"/>
  <c r="I26" i="41" s="1"/>
  <c r="A2" i="50"/>
  <c r="A1" i="50"/>
  <c r="J15" i="57" l="1"/>
  <c r="K25" i="41" s="1"/>
  <c r="F9" i="51"/>
  <c r="F10" i="51" s="1"/>
  <c r="K14" i="57"/>
  <c r="J26" i="41" s="1"/>
  <c r="J16" i="57" l="1"/>
  <c r="L25" i="41" s="1"/>
  <c r="AH25" i="41" s="1"/>
  <c r="G9" i="51"/>
  <c r="G10" i="51" s="1"/>
  <c r="K15" i="57"/>
  <c r="K26" i="41" s="1"/>
  <c r="H9" i="51" l="1"/>
  <c r="H10" i="51" s="1"/>
  <c r="K16" i="57"/>
  <c r="L26" i="41" s="1"/>
  <c r="AH26" i="41" s="1"/>
  <c r="C23" i="41" l="1"/>
  <c r="C28" i="41" s="1"/>
  <c r="D23" i="41"/>
  <c r="L9" i="51"/>
  <c r="L10" i="51" s="1"/>
  <c r="L13" i="51"/>
  <c r="D8" i="46"/>
  <c r="E8" i="46" s="1"/>
  <c r="F8" i="46" s="1"/>
  <c r="G8" i="46" s="1"/>
  <c r="H8" i="46" s="1"/>
  <c r="I8" i="46" s="1"/>
  <c r="J8" i="46" s="1"/>
  <c r="K8" i="46" s="1"/>
  <c r="L8" i="46" s="1"/>
  <c r="M8" i="46" s="1"/>
  <c r="N8" i="46" s="1"/>
  <c r="O8" i="46" s="1"/>
  <c r="P8" i="46" s="1"/>
  <c r="Q8" i="46" s="1"/>
  <c r="R8" i="46" s="1"/>
  <c r="S8" i="46" s="1"/>
  <c r="T8" i="46" s="1"/>
  <c r="U8" i="46" s="1"/>
  <c r="V8" i="46" s="1"/>
  <c r="W8" i="46" s="1"/>
  <c r="X8" i="46" s="1"/>
  <c r="Y8" i="46" s="1"/>
  <c r="Z8" i="46" s="1"/>
  <c r="AA8" i="46" s="1"/>
  <c r="AB8" i="46" s="1"/>
  <c r="AC8" i="46" s="1"/>
  <c r="AD8" i="46" s="1"/>
  <c r="AE8" i="46" s="1"/>
  <c r="AF8" i="46" s="1"/>
  <c r="C29" i="41" l="1"/>
  <c r="C31" i="41" s="1"/>
  <c r="V10" i="60"/>
  <c r="AB10" i="60" s="1"/>
  <c r="H9" i="75" s="1"/>
  <c r="M7" i="57"/>
  <c r="M8" i="57"/>
  <c r="H9" i="57"/>
  <c r="B13" i="51"/>
  <c r="M9" i="51"/>
  <c r="M10" i="51" s="1"/>
  <c r="M13" i="51"/>
  <c r="G28" i="45"/>
  <c r="G23" i="45"/>
  <c r="A2" i="45"/>
  <c r="A1" i="45"/>
  <c r="G9" i="75" l="1"/>
  <c r="H10" i="75"/>
  <c r="V11" i="60"/>
  <c r="V12" i="60" s="1"/>
  <c r="V13" i="60" s="1"/>
  <c r="V14" i="60" s="1"/>
  <c r="V15" i="60" s="1"/>
  <c r="V16" i="60" s="1"/>
  <c r="V17" i="60" s="1"/>
  <c r="V18" i="60" s="1"/>
  <c r="V19" i="60" s="1"/>
  <c r="V20" i="60" s="1"/>
  <c r="V21" i="60" s="1"/>
  <c r="M9" i="57"/>
  <c r="E23" i="41"/>
  <c r="D28" i="41"/>
  <c r="C13" i="46"/>
  <c r="H10" i="57"/>
  <c r="C13" i="51"/>
  <c r="D13" i="51"/>
  <c r="N9" i="51"/>
  <c r="N10" i="51" s="1"/>
  <c r="N13" i="51"/>
  <c r="H11" i="75" l="1"/>
  <c r="G10" i="75"/>
  <c r="E28" i="41"/>
  <c r="M10" i="57"/>
  <c r="F23" i="41"/>
  <c r="F28" i="41" s="1"/>
  <c r="D13" i="46"/>
  <c r="H11" i="57"/>
  <c r="O9" i="51"/>
  <c r="O10" i="51" s="1"/>
  <c r="P9" i="51"/>
  <c r="P10" i="51" s="1"/>
  <c r="P13" i="51"/>
  <c r="O13" i="51"/>
  <c r="H12" i="75" l="1"/>
  <c r="G11" i="75"/>
  <c r="M11" i="57"/>
  <c r="G23" i="41"/>
  <c r="G28" i="41" s="1"/>
  <c r="E13" i="46"/>
  <c r="F13" i="46"/>
  <c r="E13" i="51"/>
  <c r="H12" i="57"/>
  <c r="D7" i="41"/>
  <c r="E7" i="41" s="1"/>
  <c r="F7" i="41" s="1"/>
  <c r="G7" i="41" s="1"/>
  <c r="H7" i="41" s="1"/>
  <c r="I7" i="41" s="1"/>
  <c r="J7" i="41" s="1"/>
  <c r="K7" i="41" s="1"/>
  <c r="L7" i="41" s="1"/>
  <c r="M7" i="41" s="1"/>
  <c r="N7" i="41" s="1"/>
  <c r="O7" i="41" s="1"/>
  <c r="P7" i="41" s="1"/>
  <c r="Q7" i="41" s="1"/>
  <c r="R7" i="41" s="1"/>
  <c r="S7" i="41" s="1"/>
  <c r="T7" i="41" s="1"/>
  <c r="U7" i="41" s="1"/>
  <c r="V7" i="41" s="1"/>
  <c r="W7" i="41" s="1"/>
  <c r="X7" i="41" s="1"/>
  <c r="Y7" i="41" s="1"/>
  <c r="Z7" i="41" s="1"/>
  <c r="AA7" i="41" s="1"/>
  <c r="AB7" i="41" s="1"/>
  <c r="AC7" i="41" s="1"/>
  <c r="AD7" i="41" s="1"/>
  <c r="AE7" i="41" s="1"/>
  <c r="AF7" i="41" s="1"/>
  <c r="C24" i="74" l="1"/>
  <c r="M30" i="74" s="1"/>
  <c r="C17" i="74"/>
  <c r="C11" i="74"/>
  <c r="C16" i="74"/>
  <c r="C15" i="74"/>
  <c r="C12" i="74"/>
  <c r="M15" i="74" s="1"/>
  <c r="C10" i="74"/>
  <c r="C21" i="74"/>
  <c r="C14" i="74"/>
  <c r="M16" i="74" s="1"/>
  <c r="Q17" i="74" s="1"/>
  <c r="C13" i="74"/>
  <c r="M17" i="74" s="1"/>
  <c r="Q16" i="74" s="1"/>
  <c r="C9" i="74"/>
  <c r="M12" i="74" s="1"/>
  <c r="C22" i="74"/>
  <c r="M28" i="74" s="1"/>
  <c r="C23" i="74"/>
  <c r="G12" i="75"/>
  <c r="H13" i="75"/>
  <c r="M12" i="57"/>
  <c r="H23" i="41"/>
  <c r="H28" i="41" s="1"/>
  <c r="Q24" i="74"/>
  <c r="M20" i="74"/>
  <c r="M14" i="74"/>
  <c r="M27" i="74"/>
  <c r="M19" i="74"/>
  <c r="M18" i="74"/>
  <c r="M29" i="74"/>
  <c r="Q23" i="74" s="1"/>
  <c r="H13" i="57"/>
  <c r="G13" i="51"/>
  <c r="F13" i="51"/>
  <c r="H14" i="75" l="1"/>
  <c r="G13" i="75"/>
  <c r="M13" i="57"/>
  <c r="I23" i="41"/>
  <c r="I28" i="41" s="1"/>
  <c r="M13" i="74"/>
  <c r="Q13" i="74" s="1"/>
  <c r="Q21" i="74"/>
  <c r="Q22" i="74"/>
  <c r="Q14" i="74"/>
  <c r="Q15" i="74"/>
  <c r="Q18" i="74"/>
  <c r="Q20" i="74"/>
  <c r="Q19" i="74"/>
  <c r="H13" i="46"/>
  <c r="G13" i="46"/>
  <c r="H14" i="57"/>
  <c r="J23" i="41" s="1"/>
  <c r="N25" i="52"/>
  <c r="H15" i="75" l="1"/>
  <c r="G14" i="75"/>
  <c r="M14" i="57"/>
  <c r="H15" i="57"/>
  <c r="I13" i="51"/>
  <c r="H13" i="51"/>
  <c r="F8" i="33"/>
  <c r="G15" i="75" l="1"/>
  <c r="H16" i="75"/>
  <c r="M15" i="57"/>
  <c r="K23" i="41"/>
  <c r="K28" i="41" s="1"/>
  <c r="AB7" i="64"/>
  <c r="J28" i="41"/>
  <c r="I13" i="46"/>
  <c r="H16" i="57"/>
  <c r="J13" i="51"/>
  <c r="L23" i="41" l="1"/>
  <c r="L28" i="41" s="1"/>
  <c r="H17" i="57"/>
  <c r="G16" i="75"/>
  <c r="H17" i="75"/>
  <c r="F10" i="38"/>
  <c r="J13" i="46"/>
  <c r="M16" i="57"/>
  <c r="M23" i="41" l="1"/>
  <c r="M28" i="41" s="1"/>
  <c r="H18" i="57"/>
  <c r="M17" i="57"/>
  <c r="H18" i="75"/>
  <c r="G17" i="75"/>
  <c r="C38" i="41"/>
  <c r="C41" i="41" s="1"/>
  <c r="M11" i="60"/>
  <c r="AB11" i="60" s="1"/>
  <c r="L13" i="46"/>
  <c r="K13" i="46"/>
  <c r="K13" i="51"/>
  <c r="G16" i="45"/>
  <c r="L10" i="45"/>
  <c r="G14" i="45"/>
  <c r="N23" i="41" l="1"/>
  <c r="N28" i="41" s="1"/>
  <c r="H19" i="57"/>
  <c r="M18" i="57"/>
  <c r="G18" i="75"/>
  <c r="H19" i="75"/>
  <c r="M13" i="46"/>
  <c r="M29" i="41"/>
  <c r="C32" i="41"/>
  <c r="AA21" i="60" s="1"/>
  <c r="M12" i="60"/>
  <c r="M13" i="60" s="1"/>
  <c r="M14" i="60" s="1"/>
  <c r="M15" i="60" s="1"/>
  <c r="M16" i="60" s="1"/>
  <c r="M17" i="60" s="1"/>
  <c r="M18" i="60" s="1"/>
  <c r="M19" i="60" s="1"/>
  <c r="M20" i="60" s="1"/>
  <c r="M21" i="60" s="1"/>
  <c r="D10" i="38"/>
  <c r="G17" i="45"/>
  <c r="G15" i="45"/>
  <c r="H15" i="45" s="1"/>
  <c r="G19" i="45"/>
  <c r="H19" i="45" s="1"/>
  <c r="D20" i="38" l="1"/>
  <c r="M31" i="41"/>
  <c r="M32" i="41" s="1"/>
  <c r="H20" i="75"/>
  <c r="G19" i="75"/>
  <c r="O23" i="41"/>
  <c r="O28" i="41" s="1"/>
  <c r="H20" i="57"/>
  <c r="M19" i="57"/>
  <c r="N13" i="46"/>
  <c r="N29" i="41"/>
  <c r="C33" i="41"/>
  <c r="M22" i="60"/>
  <c r="I9" i="75" l="1"/>
  <c r="L9" i="75" s="1"/>
  <c r="M9" i="75" s="1"/>
  <c r="C47" i="41"/>
  <c r="C50" i="41" s="1"/>
  <c r="C19" i="66"/>
  <c r="C26" i="46"/>
  <c r="O13" i="46"/>
  <c r="O29" i="41"/>
  <c r="M33" i="41"/>
  <c r="M47" i="41" s="1"/>
  <c r="M50" i="41" s="1"/>
  <c r="E20" i="38"/>
  <c r="G20" i="38" s="1"/>
  <c r="M14" i="46"/>
  <c r="M15" i="46" s="1"/>
  <c r="D21" i="38"/>
  <c r="N31" i="41"/>
  <c r="N32" i="41" s="1"/>
  <c r="P23" i="41"/>
  <c r="P28" i="41" s="1"/>
  <c r="H21" i="57"/>
  <c r="M20" i="57"/>
  <c r="H21" i="75"/>
  <c r="G20" i="75"/>
  <c r="C18" i="66"/>
  <c r="C39" i="41"/>
  <c r="C42" i="41" s="1"/>
  <c r="C14" i="46"/>
  <c r="C15" i="46" s="1"/>
  <c r="E10" i="38"/>
  <c r="G10" i="38" s="1"/>
  <c r="I10" i="38" s="1"/>
  <c r="M18" i="66" l="1"/>
  <c r="I19" i="75"/>
  <c r="L19" i="75" s="1"/>
  <c r="M39" i="41"/>
  <c r="M42" i="41" s="1"/>
  <c r="D22" i="38"/>
  <c r="O31" i="41"/>
  <c r="Q23" i="41"/>
  <c r="Q28" i="41" s="1"/>
  <c r="H22" i="57"/>
  <c r="M21" i="57"/>
  <c r="S20" i="38"/>
  <c r="Y20" i="38"/>
  <c r="I20" i="38"/>
  <c r="L20" i="38" s="1"/>
  <c r="P13" i="46"/>
  <c r="P29" i="41"/>
  <c r="N33" i="41"/>
  <c r="N47" i="41" s="1"/>
  <c r="N50" i="41" s="1"/>
  <c r="N14" i="46"/>
  <c r="N15" i="46" s="1"/>
  <c r="E21" i="38"/>
  <c r="G21" i="38" s="1"/>
  <c r="H22" i="75"/>
  <c r="G21" i="75"/>
  <c r="C34" i="46"/>
  <c r="J9" i="75" s="1"/>
  <c r="R9" i="75"/>
  <c r="C20" i="66"/>
  <c r="C23" i="66" s="1"/>
  <c r="R23" i="41" l="1"/>
  <c r="R28" i="41" s="1"/>
  <c r="H23" i="57"/>
  <c r="M22" i="57"/>
  <c r="I21" i="38"/>
  <c r="L21" i="38" s="1"/>
  <c r="S21" i="38"/>
  <c r="Y21" i="38"/>
  <c r="N18" i="66"/>
  <c r="N39" i="41"/>
  <c r="N42" i="41" s="1"/>
  <c r="I20" i="75"/>
  <c r="L20" i="75" s="1"/>
  <c r="O32" i="41"/>
  <c r="O33" i="41" s="1"/>
  <c r="O47" i="41" s="1"/>
  <c r="O50" i="41" s="1"/>
  <c r="Q13" i="46"/>
  <c r="Q29" i="41"/>
  <c r="T9" i="75"/>
  <c r="S9" i="75"/>
  <c r="P31" i="41"/>
  <c r="D23" i="38"/>
  <c r="M26" i="46"/>
  <c r="M27" i="46" s="1"/>
  <c r="M29" i="46" s="1"/>
  <c r="R19" i="75"/>
  <c r="M19" i="66"/>
  <c r="M20" i="66" s="1"/>
  <c r="H23" i="75"/>
  <c r="G22" i="75"/>
  <c r="D10" i="66"/>
  <c r="C24" i="66"/>
  <c r="Q31" i="41" l="1"/>
  <c r="Q32" i="41" s="1"/>
  <c r="D24" i="38"/>
  <c r="N26" i="46"/>
  <c r="N27" i="46" s="1"/>
  <c r="N29" i="46" s="1"/>
  <c r="R20" i="75"/>
  <c r="N19" i="66"/>
  <c r="N20" i="66" s="1"/>
  <c r="R13" i="46"/>
  <c r="R29" i="41"/>
  <c r="P32" i="41"/>
  <c r="G23" i="75"/>
  <c r="H24" i="75"/>
  <c r="S19" i="75"/>
  <c r="T19" i="75"/>
  <c r="O18" i="66"/>
  <c r="I21" i="75"/>
  <c r="L21" i="75" s="1"/>
  <c r="O39" i="41"/>
  <c r="O42" i="41" s="1"/>
  <c r="O14" i="46"/>
  <c r="O15" i="46" s="1"/>
  <c r="E22" i="38"/>
  <c r="G22" i="38" s="1"/>
  <c r="S23" i="41"/>
  <c r="S28" i="41" s="1"/>
  <c r="H24" i="57"/>
  <c r="M23" i="57"/>
  <c r="Y10" i="38"/>
  <c r="P14" i="46" l="1"/>
  <c r="P15" i="46" s="1"/>
  <c r="E23" i="38"/>
  <c r="G23" i="38" s="1"/>
  <c r="Y22" i="38"/>
  <c r="I22" i="38"/>
  <c r="L22" i="38" s="1"/>
  <c r="S22" i="38"/>
  <c r="S20" i="75"/>
  <c r="T20" i="75"/>
  <c r="R31" i="41"/>
  <c r="D25" i="38"/>
  <c r="S13" i="46"/>
  <c r="S29" i="41"/>
  <c r="T23" i="41"/>
  <c r="T28" i="41" s="1"/>
  <c r="AE5" i="41" s="1"/>
  <c r="H25" i="57"/>
  <c r="M24" i="57"/>
  <c r="H25" i="75"/>
  <c r="G24" i="75"/>
  <c r="O26" i="46"/>
  <c r="O27" i="46" s="1"/>
  <c r="O29" i="46" s="1"/>
  <c r="R21" i="75"/>
  <c r="O19" i="66"/>
  <c r="O20" i="66" s="1"/>
  <c r="P33" i="41"/>
  <c r="P47" i="41" s="1"/>
  <c r="P50" i="41" s="1"/>
  <c r="Q33" i="41"/>
  <c r="Q47" i="41" s="1"/>
  <c r="Q50" i="41" s="1"/>
  <c r="Q14" i="46"/>
  <c r="Q15" i="46" s="1"/>
  <c r="E24" i="38"/>
  <c r="G24" i="38" s="1"/>
  <c r="A2" i="38"/>
  <c r="A2" i="66" s="1"/>
  <c r="A1" i="38"/>
  <c r="U23" i="41" l="1"/>
  <c r="U28" i="41" s="1"/>
  <c r="H26" i="57"/>
  <c r="M25" i="57"/>
  <c r="D26" i="38"/>
  <c r="S31" i="41"/>
  <c r="Q18" i="66"/>
  <c r="Q39" i="41"/>
  <c r="Q42" i="41" s="1"/>
  <c r="I23" i="75"/>
  <c r="L23" i="75" s="1"/>
  <c r="P39" i="41"/>
  <c r="P42" i="41" s="1"/>
  <c r="P18" i="66"/>
  <c r="I22" i="75"/>
  <c r="L22" i="75" s="1"/>
  <c r="R32" i="41"/>
  <c r="Y23" i="38"/>
  <c r="S23" i="38"/>
  <c r="I23" i="38"/>
  <c r="L23" i="38" s="1"/>
  <c r="T13" i="46"/>
  <c r="T29" i="41"/>
  <c r="S21" i="75"/>
  <c r="T21" i="75"/>
  <c r="S24" i="38"/>
  <c r="I24" i="38"/>
  <c r="L24" i="38" s="1"/>
  <c r="Y24" i="38"/>
  <c r="G25" i="75"/>
  <c r="H26" i="75"/>
  <c r="A1" i="66"/>
  <c r="A1" i="65"/>
  <c r="A1" i="52"/>
  <c r="A1" i="51"/>
  <c r="A2" i="52"/>
  <c r="A2" i="51"/>
  <c r="A1" i="41"/>
  <c r="A1" i="46"/>
  <c r="A2" i="41"/>
  <c r="A2" i="46"/>
  <c r="E25" i="38" l="1"/>
  <c r="G25" i="38" s="1"/>
  <c r="R14" i="46"/>
  <c r="R15" i="46" s="1"/>
  <c r="P26" i="46"/>
  <c r="P27" i="46" s="1"/>
  <c r="P29" i="46" s="1"/>
  <c r="P19" i="66"/>
  <c r="P20" i="66" s="1"/>
  <c r="R22" i="75"/>
  <c r="S32" i="41"/>
  <c r="S33" i="41" s="1"/>
  <c r="S47" i="41" s="1"/>
  <c r="S50" i="41" s="1"/>
  <c r="T31" i="41"/>
  <c r="T32" i="41" s="1"/>
  <c r="D27" i="38"/>
  <c r="H27" i="75"/>
  <c r="G26" i="75"/>
  <c r="Q26" i="46"/>
  <c r="Q27" i="46" s="1"/>
  <c r="Q29" i="46" s="1"/>
  <c r="Q19" i="66"/>
  <c r="Q20" i="66" s="1"/>
  <c r="R23" i="75"/>
  <c r="V23" i="41"/>
  <c r="V28" i="41" s="1"/>
  <c r="H27" i="57"/>
  <c r="M26" i="57"/>
  <c r="R33" i="41"/>
  <c r="R47" i="41" s="1"/>
  <c r="R50" i="41" s="1"/>
  <c r="U13" i="46"/>
  <c r="U29" i="41"/>
  <c r="A1" i="60"/>
  <c r="A1" i="72"/>
  <c r="A2" i="60"/>
  <c r="A2" i="72"/>
  <c r="G22" i="45"/>
  <c r="E9" i="33"/>
  <c r="E10" i="33" s="1"/>
  <c r="E11" i="33" s="1"/>
  <c r="E12" i="33" s="1"/>
  <c r="E13" i="33" s="1"/>
  <c r="E14" i="33" s="1"/>
  <c r="E15" i="33" s="1"/>
  <c r="E16" i="33" s="1"/>
  <c r="E17" i="33" s="1"/>
  <c r="E18" i="33" s="1"/>
  <c r="W23" i="41" l="1"/>
  <c r="W28" i="41" s="1"/>
  <c r="H28" i="57"/>
  <c r="M27" i="57"/>
  <c r="V13" i="46"/>
  <c r="V29" i="41"/>
  <c r="U31" i="41"/>
  <c r="D28" i="38"/>
  <c r="S14" i="46"/>
  <c r="S15" i="46" s="1"/>
  <c r="E26" i="38"/>
  <c r="G26" i="38" s="1"/>
  <c r="R18" i="66"/>
  <c r="R39" i="41"/>
  <c r="G27" i="75"/>
  <c r="H28" i="75"/>
  <c r="T33" i="41"/>
  <c r="T47" i="41" s="1"/>
  <c r="T50" i="41" s="1"/>
  <c r="T14" i="46"/>
  <c r="T15" i="46" s="1"/>
  <c r="E27" i="38"/>
  <c r="G27" i="38" s="1"/>
  <c r="S39" i="41"/>
  <c r="S42" i="41" s="1"/>
  <c r="I25" i="75"/>
  <c r="L25" i="75" s="1"/>
  <c r="S18" i="66"/>
  <c r="T23" i="75"/>
  <c r="S23" i="75"/>
  <c r="S22" i="75"/>
  <c r="T22" i="75"/>
  <c r="I25" i="38"/>
  <c r="L25" i="38" s="1"/>
  <c r="S25" i="38"/>
  <c r="Y25" i="38"/>
  <c r="L12" i="51"/>
  <c r="L14" i="51" s="1"/>
  <c r="L15" i="51" s="1"/>
  <c r="L18" i="51" s="1"/>
  <c r="G24" i="45"/>
  <c r="G26" i="45"/>
  <c r="H26" i="45" s="1"/>
  <c r="I27" i="38" l="1"/>
  <c r="L27" i="38" s="1"/>
  <c r="Y27" i="38"/>
  <c r="S27" i="38"/>
  <c r="D29" i="38"/>
  <c r="V31" i="41"/>
  <c r="R42" i="41"/>
  <c r="I24" i="75"/>
  <c r="L24" i="75" s="1"/>
  <c r="U32" i="41"/>
  <c r="U33" i="41" s="1"/>
  <c r="U47" i="41" s="1"/>
  <c r="U50" i="41" s="1"/>
  <c r="S26" i="46"/>
  <c r="S27" i="46" s="1"/>
  <c r="S29" i="46" s="1"/>
  <c r="S19" i="66"/>
  <c r="S20" i="66" s="1"/>
  <c r="R25" i="75"/>
  <c r="X23" i="41"/>
  <c r="X28" i="41" s="1"/>
  <c r="H29" i="57"/>
  <c r="M28" i="57"/>
  <c r="T18" i="66"/>
  <c r="I26" i="75"/>
  <c r="L26" i="75" s="1"/>
  <c r="T39" i="41"/>
  <c r="T42" i="41" s="1"/>
  <c r="G28" i="75"/>
  <c r="H29" i="75"/>
  <c r="I26" i="38"/>
  <c r="L26" i="38" s="1"/>
  <c r="S26" i="38"/>
  <c r="Y26" i="38"/>
  <c r="W13" i="46"/>
  <c r="W29" i="41"/>
  <c r="M12" i="51"/>
  <c r="M14" i="51" s="1"/>
  <c r="M15" i="51" s="1"/>
  <c r="M18" i="51" s="1"/>
  <c r="L19" i="51"/>
  <c r="L20" i="51" s="1"/>
  <c r="H30" i="75" l="1"/>
  <c r="G29" i="75"/>
  <c r="R26" i="75"/>
  <c r="T26" i="46"/>
  <c r="T27" i="46" s="1"/>
  <c r="T29" i="46" s="1"/>
  <c r="T19" i="66"/>
  <c r="T20" i="66" s="1"/>
  <c r="I27" i="75"/>
  <c r="L27" i="75" s="1"/>
  <c r="U39" i="41"/>
  <c r="U42" i="41" s="1"/>
  <c r="U18" i="66"/>
  <c r="R24" i="75"/>
  <c r="R26" i="46"/>
  <c r="R27" i="46" s="1"/>
  <c r="R29" i="46" s="1"/>
  <c r="R19" i="66"/>
  <c r="R20" i="66" s="1"/>
  <c r="E28" i="38"/>
  <c r="G28" i="38" s="1"/>
  <c r="U14" i="46"/>
  <c r="U15" i="46" s="1"/>
  <c r="Y23" i="41"/>
  <c r="Y28" i="41" s="1"/>
  <c r="H30" i="57"/>
  <c r="M29" i="57"/>
  <c r="T25" i="75"/>
  <c r="S25" i="75"/>
  <c r="W31" i="41"/>
  <c r="D30" i="38"/>
  <c r="X13" i="46"/>
  <c r="X29" i="41"/>
  <c r="V32" i="41"/>
  <c r="V33" i="41" s="1"/>
  <c r="V47" i="41" s="1"/>
  <c r="V50" i="41" s="1"/>
  <c r="N12" i="51"/>
  <c r="N14" i="51" s="1"/>
  <c r="N15" i="51" s="1"/>
  <c r="N18" i="51" s="1"/>
  <c r="M19" i="51"/>
  <c r="M20" i="51" s="1"/>
  <c r="V39" i="41" l="1"/>
  <c r="V42" i="41" s="1"/>
  <c r="V18" i="66"/>
  <c r="I28" i="75"/>
  <c r="L28" i="75" s="1"/>
  <c r="Z23" i="41"/>
  <c r="Z28" i="41" s="1"/>
  <c r="H31" i="57"/>
  <c r="M30" i="57"/>
  <c r="Y13" i="46"/>
  <c r="Y29" i="41"/>
  <c r="W32" i="41"/>
  <c r="W33" i="41" s="1"/>
  <c r="W47" i="41" s="1"/>
  <c r="W50" i="41" s="1"/>
  <c r="E29" i="38"/>
  <c r="G29" i="38" s="1"/>
  <c r="V14" i="46"/>
  <c r="V15" i="46" s="1"/>
  <c r="D31" i="38"/>
  <c r="X31" i="41"/>
  <c r="X32" i="41" s="1"/>
  <c r="U26" i="46"/>
  <c r="U27" i="46" s="1"/>
  <c r="U29" i="46" s="1"/>
  <c r="R27" i="75"/>
  <c r="U19" i="66"/>
  <c r="U20" i="66" s="1"/>
  <c r="Y28" i="38"/>
  <c r="S28" i="38"/>
  <c r="I28" i="38"/>
  <c r="L28" i="38" s="1"/>
  <c r="S26" i="75"/>
  <c r="T26" i="75"/>
  <c r="T24" i="75"/>
  <c r="S24" i="75"/>
  <c r="H31" i="75"/>
  <c r="G30" i="75"/>
  <c r="O12" i="51"/>
  <c r="O14" i="51" s="1"/>
  <c r="O15" i="51" s="1"/>
  <c r="O18" i="51" s="1"/>
  <c r="N19" i="51"/>
  <c r="N20" i="51" s="1"/>
  <c r="W18" i="66" l="1"/>
  <c r="W39" i="41"/>
  <c r="W42" i="41" s="1"/>
  <c r="I29" i="75"/>
  <c r="L29" i="75" s="1"/>
  <c r="D32" i="38"/>
  <c r="Y31" i="41"/>
  <c r="Y32" i="41" s="1"/>
  <c r="Z13" i="46"/>
  <c r="Z29" i="41"/>
  <c r="G31" i="75"/>
  <c r="H32" i="75"/>
  <c r="S29" i="38"/>
  <c r="Y29" i="38"/>
  <c r="I29" i="38"/>
  <c r="L29" i="38" s="1"/>
  <c r="V19" i="66"/>
  <c r="V20" i="66" s="1"/>
  <c r="V26" i="46"/>
  <c r="V27" i="46" s="1"/>
  <c r="V29" i="46" s="1"/>
  <c r="R28" i="75"/>
  <c r="S27" i="75"/>
  <c r="T27" i="75"/>
  <c r="X33" i="41"/>
  <c r="X47" i="41" s="1"/>
  <c r="X50" i="41" s="1"/>
  <c r="X14" i="46"/>
  <c r="X15" i="46" s="1"/>
  <c r="E31" i="38"/>
  <c r="G31" i="38" s="1"/>
  <c r="AA23" i="41"/>
  <c r="AA28" i="41" s="1"/>
  <c r="H32" i="57"/>
  <c r="M31" i="57"/>
  <c r="E30" i="38"/>
  <c r="G30" i="38" s="1"/>
  <c r="W14" i="46"/>
  <c r="W15" i="46" s="1"/>
  <c r="P12" i="51"/>
  <c r="P14" i="51" s="1"/>
  <c r="P15" i="51" s="1"/>
  <c r="P18" i="51" s="1"/>
  <c r="O19" i="51"/>
  <c r="O20" i="51" s="1"/>
  <c r="AB23" i="41" l="1"/>
  <c r="AB28" i="41" s="1"/>
  <c r="H33" i="57"/>
  <c r="M32" i="57"/>
  <c r="AA13" i="46"/>
  <c r="AA29" i="41"/>
  <c r="S30" i="38"/>
  <c r="Y30" i="38"/>
  <c r="I30" i="38"/>
  <c r="L30" i="38" s="1"/>
  <c r="I31" i="38"/>
  <c r="L31" i="38" s="1"/>
  <c r="Y31" i="38"/>
  <c r="S31" i="38"/>
  <c r="X18" i="66"/>
  <c r="X39" i="41"/>
  <c r="X42" i="41" s="1"/>
  <c r="I30" i="75"/>
  <c r="L30" i="75" s="1"/>
  <c r="H33" i="75"/>
  <c r="G32" i="75"/>
  <c r="D33" i="38"/>
  <c r="Z31" i="41"/>
  <c r="Z32" i="41" s="1"/>
  <c r="Y33" i="41"/>
  <c r="Y47" i="41" s="1"/>
  <c r="Y50" i="41" s="1"/>
  <c r="Y14" i="46"/>
  <c r="Y15" i="46" s="1"/>
  <c r="E32" i="38"/>
  <c r="G32" i="38" s="1"/>
  <c r="W26" i="46"/>
  <c r="W27" i="46" s="1"/>
  <c r="W29" i="46" s="1"/>
  <c r="R29" i="75"/>
  <c r="W19" i="66"/>
  <c r="W20" i="66" s="1"/>
  <c r="T28" i="75"/>
  <c r="S28" i="75"/>
  <c r="P19" i="51"/>
  <c r="P20" i="51" s="1"/>
  <c r="L17" i="61"/>
  <c r="O17" i="61" s="1"/>
  <c r="K17" i="61"/>
  <c r="N17" i="61" s="1"/>
  <c r="M17" i="61"/>
  <c r="P17" i="61" s="1"/>
  <c r="H34" i="75" l="1"/>
  <c r="G33" i="75"/>
  <c r="I32" i="38"/>
  <c r="L32" i="38" s="1"/>
  <c r="S32" i="38"/>
  <c r="Y32" i="38"/>
  <c r="D34" i="38"/>
  <c r="AA31" i="41"/>
  <c r="X19" i="66"/>
  <c r="X20" i="66" s="1"/>
  <c r="X26" i="46"/>
  <c r="X27" i="46" s="1"/>
  <c r="X29" i="46" s="1"/>
  <c r="R30" i="75"/>
  <c r="Y18" i="66"/>
  <c r="I31" i="75"/>
  <c r="L31" i="75" s="1"/>
  <c r="Y39" i="41"/>
  <c r="Y42" i="41" s="1"/>
  <c r="Z33" i="41"/>
  <c r="Z47" i="41" s="1"/>
  <c r="Z50" i="41" s="1"/>
  <c r="Z14" i="46"/>
  <c r="Z15" i="46" s="1"/>
  <c r="E33" i="38"/>
  <c r="G33" i="38" s="1"/>
  <c r="AC23" i="41"/>
  <c r="AC28" i="41" s="1"/>
  <c r="H34" i="57"/>
  <c r="M33" i="57"/>
  <c r="T29" i="75"/>
  <c r="S29" i="75"/>
  <c r="AB13" i="46"/>
  <c r="AB29" i="41"/>
  <c r="Q17" i="61"/>
  <c r="M18" i="61"/>
  <c r="P18" i="61" s="1"/>
  <c r="L18" i="61"/>
  <c r="O18" i="61" s="1"/>
  <c r="K18" i="61"/>
  <c r="N18" i="61" s="1"/>
  <c r="I32" i="75" l="1"/>
  <c r="L32" i="75" s="1"/>
  <c r="Z39" i="41"/>
  <c r="Z42" i="41" s="1"/>
  <c r="Z18" i="66"/>
  <c r="Y26" i="46"/>
  <c r="Y27" i="46" s="1"/>
  <c r="Y29" i="46" s="1"/>
  <c r="R31" i="75"/>
  <c r="Y19" i="66"/>
  <c r="Y20" i="66" s="1"/>
  <c r="AD23" i="41"/>
  <c r="AD28" i="41" s="1"/>
  <c r="H35" i="57"/>
  <c r="M34" i="57"/>
  <c r="AA32" i="41"/>
  <c r="AA33" i="41" s="1"/>
  <c r="AA47" i="41" s="1"/>
  <c r="AA50" i="41" s="1"/>
  <c r="D35" i="38"/>
  <c r="AB31" i="41"/>
  <c r="Y33" i="38"/>
  <c r="S33" i="38"/>
  <c r="I33" i="38"/>
  <c r="L33" i="38" s="1"/>
  <c r="S30" i="75"/>
  <c r="T30" i="75"/>
  <c r="AC13" i="46"/>
  <c r="AC29" i="41"/>
  <c r="H35" i="75"/>
  <c r="G34" i="75"/>
  <c r="Q18" i="61"/>
  <c r="K19" i="61"/>
  <c r="N19" i="61" s="1"/>
  <c r="L19" i="61"/>
  <c r="O19" i="61" s="1"/>
  <c r="M19" i="61"/>
  <c r="P19" i="61" s="1"/>
  <c r="H11" i="52"/>
  <c r="F11" i="52"/>
  <c r="J11" i="52"/>
  <c r="E11" i="52"/>
  <c r="I33" i="75" l="1"/>
  <c r="L33" i="75" s="1"/>
  <c r="AA39" i="41"/>
  <c r="AA42" i="41" s="1"/>
  <c r="AA18" i="66"/>
  <c r="AE23" i="41"/>
  <c r="AE28" i="41" s="1"/>
  <c r="H36" i="57"/>
  <c r="M35" i="57"/>
  <c r="AD13" i="46"/>
  <c r="AD29" i="41"/>
  <c r="E34" i="38"/>
  <c r="G34" i="38" s="1"/>
  <c r="AA14" i="46"/>
  <c r="AA15" i="46" s="1"/>
  <c r="G35" i="75"/>
  <c r="H36" i="75"/>
  <c r="AB32" i="41"/>
  <c r="AB33" i="41" s="1"/>
  <c r="AB47" i="41" s="1"/>
  <c r="AB50" i="41" s="1"/>
  <c r="D36" i="38"/>
  <c r="AC31" i="41"/>
  <c r="AC32" i="41" s="1"/>
  <c r="S31" i="75"/>
  <c r="T31" i="75"/>
  <c r="Z26" i="46"/>
  <c r="Z27" i="46" s="1"/>
  <c r="Z29" i="46" s="1"/>
  <c r="R32" i="75"/>
  <c r="Z19" i="66"/>
  <c r="Z20" i="66" s="1"/>
  <c r="I9" i="51"/>
  <c r="I10" i="51" s="1"/>
  <c r="Q19" i="61"/>
  <c r="K9" i="51"/>
  <c r="K10" i="51" s="1"/>
  <c r="I11" i="52"/>
  <c r="G11" i="52"/>
  <c r="D11" i="52"/>
  <c r="K11" i="52"/>
  <c r="G9" i="45"/>
  <c r="AE13" i="46" l="1"/>
  <c r="AE29" i="41"/>
  <c r="AD31" i="41"/>
  <c r="AD32" i="41" s="1"/>
  <c r="D37" i="38"/>
  <c r="H37" i="75"/>
  <c r="G36" i="75"/>
  <c r="E35" i="38"/>
  <c r="G35" i="38" s="1"/>
  <c r="AB14" i="46"/>
  <c r="AB15" i="46" s="1"/>
  <c r="AC33" i="41"/>
  <c r="AC47" i="41" s="1"/>
  <c r="AC50" i="41" s="1"/>
  <c r="AC14" i="46"/>
  <c r="AC15" i="46" s="1"/>
  <c r="E36" i="38"/>
  <c r="G36" i="38" s="1"/>
  <c r="AB39" i="41"/>
  <c r="AB42" i="41" s="1"/>
  <c r="I34" i="75"/>
  <c r="L34" i="75" s="1"/>
  <c r="AB18" i="66"/>
  <c r="S32" i="75"/>
  <c r="T32" i="75"/>
  <c r="AF23" i="41"/>
  <c r="M36" i="57"/>
  <c r="M37" i="57" s="1"/>
  <c r="H37" i="57"/>
  <c r="S34" i="38"/>
  <c r="I34" i="38"/>
  <c r="L34" i="38" s="1"/>
  <c r="Y34" i="38"/>
  <c r="R33" i="75"/>
  <c r="AA26" i="46"/>
  <c r="AA27" i="46" s="1"/>
  <c r="AA29" i="46" s="1"/>
  <c r="AA19" i="66"/>
  <c r="AA20" i="66" s="1"/>
  <c r="L11" i="52"/>
  <c r="I35" i="38" l="1"/>
  <c r="L35" i="38" s="1"/>
  <c r="Y35" i="38"/>
  <c r="S35" i="38"/>
  <c r="AB19" i="66"/>
  <c r="AB20" i="66" s="1"/>
  <c r="R34" i="75"/>
  <c r="AB26" i="46"/>
  <c r="AB27" i="46" s="1"/>
  <c r="AB29" i="46" s="1"/>
  <c r="Y36" i="38"/>
  <c r="S36" i="38"/>
  <c r="I36" i="38"/>
  <c r="L36" i="38" s="1"/>
  <c r="AD33" i="41"/>
  <c r="AD47" i="41" s="1"/>
  <c r="AD50" i="41" s="1"/>
  <c r="E37" i="38"/>
  <c r="G37" i="38" s="1"/>
  <c r="AD14" i="46"/>
  <c r="AD15" i="46" s="1"/>
  <c r="AE31" i="41"/>
  <c r="D38" i="38"/>
  <c r="H38" i="75"/>
  <c r="G38" i="75" s="1"/>
  <c r="G37" i="75"/>
  <c r="S33" i="75"/>
  <c r="T33" i="75"/>
  <c r="AF28" i="41"/>
  <c r="AH23" i="41"/>
  <c r="AH28" i="41" s="1"/>
  <c r="I35" i="75"/>
  <c r="L35" i="75" s="1"/>
  <c r="AC18" i="66"/>
  <c r="AC39" i="41"/>
  <c r="AC42" i="41" s="1"/>
  <c r="J9" i="51"/>
  <c r="J10" i="51" s="1"/>
  <c r="M11" i="52"/>
  <c r="AE32" i="41" l="1"/>
  <c r="AE33" i="41" s="1"/>
  <c r="AE47" i="41" s="1"/>
  <c r="AE50" i="41" s="1"/>
  <c r="AF13" i="46"/>
  <c r="AF29" i="41"/>
  <c r="Y37" i="38"/>
  <c r="I37" i="38"/>
  <c r="L37" i="38" s="1"/>
  <c r="S37" i="38"/>
  <c r="AC26" i="46"/>
  <c r="AC27" i="46" s="1"/>
  <c r="AC29" i="46" s="1"/>
  <c r="R35" i="75"/>
  <c r="AC19" i="66"/>
  <c r="AC20" i="66" s="1"/>
  <c r="C20" i="74"/>
  <c r="AM23" i="41"/>
  <c r="T34" i="75"/>
  <c r="S34" i="75"/>
  <c r="I36" i="75"/>
  <c r="L36" i="75" s="1"/>
  <c r="AD39" i="41"/>
  <c r="AD42" i="41" s="1"/>
  <c r="AD18" i="66"/>
  <c r="N11" i="52"/>
  <c r="I37" i="75" l="1"/>
  <c r="L37" i="75" s="1"/>
  <c r="AE39" i="41"/>
  <c r="AE42" i="41" s="1"/>
  <c r="AE18" i="66"/>
  <c r="D39" i="38"/>
  <c r="AF31" i="41"/>
  <c r="AF32" i="41" s="1"/>
  <c r="AM28" i="41"/>
  <c r="AM25" i="41"/>
  <c r="AM26" i="41"/>
  <c r="AM24" i="41"/>
  <c r="AM27" i="41"/>
  <c r="D19" i="74"/>
  <c r="M26" i="74"/>
  <c r="AD26" i="46"/>
  <c r="AD27" i="46" s="1"/>
  <c r="AD29" i="46" s="1"/>
  <c r="AD19" i="66"/>
  <c r="AD20" i="66" s="1"/>
  <c r="R36" i="75"/>
  <c r="S35" i="75"/>
  <c r="T35" i="75"/>
  <c r="E38" i="38"/>
  <c r="G38" i="38" s="1"/>
  <c r="AE14" i="46"/>
  <c r="AE15" i="46" s="1"/>
  <c r="O11" i="52"/>
  <c r="G10" i="45"/>
  <c r="M31" i="74" l="1"/>
  <c r="N30" i="74" s="1"/>
  <c r="Q12" i="74"/>
  <c r="AF33" i="41"/>
  <c r="AF47" i="41" s="1"/>
  <c r="AF50" i="41" s="1"/>
  <c r="E39" i="38"/>
  <c r="G39" i="38" s="1"/>
  <c r="AF14" i="46"/>
  <c r="AF15" i="46" s="1"/>
  <c r="I38" i="38"/>
  <c r="L38" i="38" s="1"/>
  <c r="Y38" i="38"/>
  <c r="S38" i="38"/>
  <c r="N26" i="74"/>
  <c r="H12" i="74"/>
  <c r="T36" i="75"/>
  <c r="S36" i="75"/>
  <c r="AE26" i="46"/>
  <c r="AE27" i="46" s="1"/>
  <c r="AE29" i="46" s="1"/>
  <c r="AE19" i="66"/>
  <c r="AE20" i="66" s="1"/>
  <c r="R37" i="75"/>
  <c r="P11" i="52"/>
  <c r="S39" i="38" l="1"/>
  <c r="Y39" i="38"/>
  <c r="I39" i="38"/>
  <c r="L39" i="38" s="1"/>
  <c r="AF39" i="41"/>
  <c r="AF42" i="41" s="1"/>
  <c r="I38" i="75"/>
  <c r="L38" i="75" s="1"/>
  <c r="AF18" i="66"/>
  <c r="T37" i="75"/>
  <c r="S37" i="75"/>
  <c r="N27" i="74"/>
  <c r="N28" i="74"/>
  <c r="N29" i="74"/>
  <c r="Q11" i="52"/>
  <c r="N31" i="74" l="1"/>
  <c r="AF26" i="46"/>
  <c r="AF27" i="46" s="1"/>
  <c r="AF29" i="46" s="1"/>
  <c r="AF19" i="66"/>
  <c r="AF20" i="66" s="1"/>
  <c r="R38" i="75"/>
  <c r="R11" i="52"/>
  <c r="T38" i="75" l="1"/>
  <c r="S38" i="75"/>
  <c r="G12" i="45"/>
  <c r="G21" i="45" l="1"/>
  <c r="G11" i="45"/>
  <c r="F43" i="38" l="1"/>
  <c r="A2" i="33"/>
  <c r="A1" i="33"/>
  <c r="A2" i="29"/>
  <c r="A1" i="29"/>
  <c r="A2" i="30"/>
  <c r="A1" i="30"/>
  <c r="T13" i="38" l="1"/>
  <c r="T11" i="38"/>
  <c r="T12" i="38"/>
  <c r="T19" i="38"/>
  <c r="T14" i="38" l="1"/>
  <c r="T16" i="38"/>
  <c r="T17" i="38"/>
  <c r="T15" i="38"/>
  <c r="T18" i="38"/>
  <c r="L9" i="45"/>
  <c r="H14" i="45" s="1"/>
  <c r="H25" i="45" l="1"/>
  <c r="H27" i="45"/>
  <c r="H11" i="45"/>
  <c r="H9" i="45"/>
  <c r="H28" i="45"/>
  <c r="AA27" i="4" l="1"/>
  <c r="V22" i="4" l="1"/>
  <c r="U22" i="4"/>
  <c r="R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X21" i="4"/>
  <c r="W20" i="4"/>
  <c r="X20" i="4" s="1"/>
  <c r="X19" i="4"/>
  <c r="W18" i="4"/>
  <c r="T18" i="4"/>
  <c r="T22" i="4" s="1"/>
  <c r="S18" i="4"/>
  <c r="S22" i="4" s="1"/>
  <c r="Q18" i="4"/>
  <c r="X16" i="4"/>
  <c r="X15" i="4"/>
  <c r="X14" i="4"/>
  <c r="X13" i="4"/>
  <c r="W12" i="4"/>
  <c r="X12" i="4" s="1"/>
  <c r="X11" i="4"/>
  <c r="X10" i="4"/>
  <c r="X9" i="4"/>
  <c r="X8" i="4"/>
  <c r="X7" i="4"/>
  <c r="X6" i="4"/>
  <c r="B6" i="4"/>
  <c r="B7" i="4" s="1"/>
  <c r="B8" i="4" s="1"/>
  <c r="B9" i="4" s="1"/>
  <c r="B10" i="4" s="1"/>
  <c r="B11" i="4" s="1"/>
  <c r="B12" i="4" s="1"/>
  <c r="B13" i="4" s="1"/>
  <c r="B14" i="4" s="1"/>
  <c r="X5" i="4"/>
  <c r="X18" i="4" l="1"/>
  <c r="Q22" i="4"/>
  <c r="W22" i="4"/>
  <c r="X22" i="4" l="1"/>
  <c r="F9" i="52" l="1"/>
  <c r="P9" i="52" l="1"/>
  <c r="Q9" i="52"/>
  <c r="K9" i="52"/>
  <c r="H9" i="52"/>
  <c r="R9" i="52"/>
  <c r="G9" i="52"/>
  <c r="O9" i="52"/>
  <c r="L9" i="52"/>
  <c r="E9" i="52"/>
  <c r="N9" i="52"/>
  <c r="M9" i="52"/>
  <c r="J9" i="52"/>
  <c r="I9" i="52"/>
  <c r="R8" i="51" l="1"/>
  <c r="O27" i="52" l="1"/>
  <c r="P27" i="52" l="1"/>
  <c r="E19" i="52" l="1"/>
  <c r="E20" i="52" s="1"/>
  <c r="F19" i="52" l="1"/>
  <c r="F20" i="52" s="1"/>
  <c r="N26" i="52" l="1"/>
  <c r="N27" i="52" l="1"/>
  <c r="L8" i="45" l="1"/>
  <c r="H22" i="45" s="1"/>
  <c r="C18" i="52"/>
  <c r="B18" i="52"/>
  <c r="H16" i="45" l="1"/>
  <c r="H23" i="45"/>
  <c r="H21" i="45"/>
  <c r="H18" i="45"/>
  <c r="B20" i="52"/>
  <c r="C20" i="52"/>
  <c r="B24" i="52" l="1"/>
  <c r="C24" i="52" l="1"/>
  <c r="C27" i="52" s="1"/>
  <c r="C29" i="52" s="1"/>
  <c r="B27" i="52"/>
  <c r="B29" i="52" s="1"/>
  <c r="B31" i="52" s="1"/>
  <c r="C30" i="52" s="1"/>
  <c r="C31" i="52" l="1"/>
  <c r="D30" i="52" s="1"/>
  <c r="J9" i="29" l="1"/>
  <c r="B22" i="20" l="1"/>
  <c r="D9" i="50"/>
  <c r="L9" i="29" l="1"/>
  <c r="M9" i="29" s="1"/>
  <c r="C24" i="46"/>
  <c r="C27" i="46" s="1"/>
  <c r="C29" i="46" s="1"/>
  <c r="C31" i="46" s="1"/>
  <c r="I25" i="29"/>
  <c r="F9" i="33"/>
  <c r="Z8" i="64" s="1"/>
  <c r="D30" i="46" l="1"/>
  <c r="N9" i="75"/>
  <c r="O9" i="75" s="1"/>
  <c r="AA8" i="64"/>
  <c r="AB8" i="64" s="1"/>
  <c r="D19" i="41"/>
  <c r="D10" i="52"/>
  <c r="B16" i="51"/>
  <c r="K11" i="29"/>
  <c r="E24" i="46" s="1"/>
  <c r="K10" i="29"/>
  <c r="D24" i="46" s="1"/>
  <c r="I25" i="52"/>
  <c r="J25" i="52"/>
  <c r="K25" i="52"/>
  <c r="K13" i="29"/>
  <c r="G24" i="46" s="1"/>
  <c r="L25" i="52"/>
  <c r="M25" i="52"/>
  <c r="K12" i="29"/>
  <c r="F24" i="46" s="1"/>
  <c r="D25" i="52"/>
  <c r="F10" i="33"/>
  <c r="Z9" i="64" s="1"/>
  <c r="AB9" i="64" l="1"/>
  <c r="E19" i="41"/>
  <c r="F11" i="38"/>
  <c r="D20" i="41"/>
  <c r="D12" i="46" s="1"/>
  <c r="E10" i="52"/>
  <c r="C16" i="51"/>
  <c r="H25" i="52"/>
  <c r="E25" i="52"/>
  <c r="G25" i="52"/>
  <c r="F25" i="52"/>
  <c r="F11" i="33"/>
  <c r="K25" i="29"/>
  <c r="Z10" i="64" l="1"/>
  <c r="F12" i="33"/>
  <c r="F13" i="33" s="1"/>
  <c r="AA10" i="64"/>
  <c r="AB10" i="64" s="1"/>
  <c r="F19" i="41"/>
  <c r="D38" i="41"/>
  <c r="D41" i="41" s="1"/>
  <c r="D21" i="41"/>
  <c r="D29" i="41" s="1"/>
  <c r="D31" i="41" s="1"/>
  <c r="F12" i="38"/>
  <c r="E20" i="41"/>
  <c r="F10" i="52"/>
  <c r="D16" i="51"/>
  <c r="N9" i="29"/>
  <c r="Z11" i="64"/>
  <c r="F14" i="33" l="1"/>
  <c r="Z12" i="64"/>
  <c r="G19" i="41"/>
  <c r="AA11" i="64"/>
  <c r="AB11" i="64" s="1"/>
  <c r="D11" i="38"/>
  <c r="E12" i="46"/>
  <c r="E38" i="41"/>
  <c r="E41" i="41" s="1"/>
  <c r="E21" i="41"/>
  <c r="E29" i="41" s="1"/>
  <c r="E31" i="41" s="1"/>
  <c r="F13" i="38"/>
  <c r="F20" i="41"/>
  <c r="G10" i="52"/>
  <c r="E16" i="51"/>
  <c r="J10" i="29"/>
  <c r="D26" i="52"/>
  <c r="D32" i="41" l="1"/>
  <c r="D33" i="41" s="1"/>
  <c r="D47" i="41" s="1"/>
  <c r="D50" i="41" s="1"/>
  <c r="H19" i="41"/>
  <c r="AA12" i="64"/>
  <c r="AB12" i="64" s="1"/>
  <c r="F15" i="33"/>
  <c r="Z13" i="64"/>
  <c r="F38" i="41"/>
  <c r="F41" i="41" s="1"/>
  <c r="F12" i="46"/>
  <c r="F21" i="41"/>
  <c r="F29" i="41" s="1"/>
  <c r="D12" i="38"/>
  <c r="F14" i="38"/>
  <c r="G20" i="41"/>
  <c r="H10" i="52"/>
  <c r="F16" i="51"/>
  <c r="B17" i="51"/>
  <c r="L10" i="29"/>
  <c r="M10" i="29" s="1"/>
  <c r="D27" i="52"/>
  <c r="D18" i="66" l="1"/>
  <c r="I10" i="75"/>
  <c r="L10" i="75" s="1"/>
  <c r="D26" i="46" s="1"/>
  <c r="D27" i="46" s="1"/>
  <c r="I19" i="41"/>
  <c r="AA13" i="64"/>
  <c r="AB13" i="64" s="1"/>
  <c r="F16" i="33"/>
  <c r="Z14" i="64"/>
  <c r="F15" i="38"/>
  <c r="H20" i="41"/>
  <c r="E32" i="41"/>
  <c r="E33" i="41" s="1"/>
  <c r="E47" i="41" s="1"/>
  <c r="E50" i="41" s="1"/>
  <c r="D39" i="41"/>
  <c r="D42" i="41" s="1"/>
  <c r="G21" i="41"/>
  <c r="G29" i="41" s="1"/>
  <c r="G38" i="41"/>
  <c r="G41" i="41" s="1"/>
  <c r="G12" i="46"/>
  <c r="E11" i="38"/>
  <c r="G11" i="38" s="1"/>
  <c r="D14" i="46"/>
  <c r="D15" i="46" s="1"/>
  <c r="D13" i="38"/>
  <c r="F31" i="41"/>
  <c r="F32" i="41" s="1"/>
  <c r="I10" i="52"/>
  <c r="G16" i="51"/>
  <c r="N10" i="29"/>
  <c r="D34" i="46" l="1"/>
  <c r="J10" i="75" s="1"/>
  <c r="N10" i="75" s="1"/>
  <c r="O10" i="75" s="1"/>
  <c r="D29" i="46"/>
  <c r="M10" i="75"/>
  <c r="H38" i="41"/>
  <c r="H41" i="41" s="1"/>
  <c r="H12" i="46"/>
  <c r="H21" i="41"/>
  <c r="H29" i="41" s="1"/>
  <c r="J19" i="41"/>
  <c r="AA14" i="64"/>
  <c r="AB14" i="64" s="1"/>
  <c r="F17" i="33"/>
  <c r="Z16" i="64" s="1"/>
  <c r="Z15" i="64"/>
  <c r="F16" i="38"/>
  <c r="I20" i="41"/>
  <c r="I11" i="75"/>
  <c r="L11" i="75" s="1"/>
  <c r="E26" i="46" s="1"/>
  <c r="E27" i="46" s="1"/>
  <c r="E39" i="41"/>
  <c r="E42" i="41" s="1"/>
  <c r="E18" i="66"/>
  <c r="D14" i="38"/>
  <c r="G31" i="41"/>
  <c r="G32" i="41" s="1"/>
  <c r="E12" i="38"/>
  <c r="G12" i="38" s="1"/>
  <c r="E14" i="46"/>
  <c r="E15" i="46" s="1"/>
  <c r="F33" i="41"/>
  <c r="F47" i="41" s="1"/>
  <c r="F50" i="41" s="1"/>
  <c r="R10" i="75"/>
  <c r="D19" i="66"/>
  <c r="D20" i="66" s="1"/>
  <c r="D23" i="66" s="1"/>
  <c r="D24" i="66" s="1"/>
  <c r="H16" i="51"/>
  <c r="J10" i="52"/>
  <c r="E26" i="52"/>
  <c r="J11" i="29"/>
  <c r="S10" i="75" l="1"/>
  <c r="T10" i="75"/>
  <c r="E29" i="46"/>
  <c r="I12" i="38"/>
  <c r="S12" i="38"/>
  <c r="D31" i="46"/>
  <c r="E30" i="46" s="1"/>
  <c r="E34" i="46" s="1"/>
  <c r="J11" i="75" s="1"/>
  <c r="M11" i="75"/>
  <c r="K19" i="41"/>
  <c r="AA15" i="64"/>
  <c r="AB15" i="64" s="1"/>
  <c r="I38" i="41"/>
  <c r="I41" i="41" s="1"/>
  <c r="I21" i="41"/>
  <c r="I29" i="41" s="1"/>
  <c r="I12" i="46"/>
  <c r="F17" i="38"/>
  <c r="J20" i="41"/>
  <c r="L19" i="41"/>
  <c r="AA16" i="64"/>
  <c r="AB16" i="64" s="1"/>
  <c r="D15" i="38"/>
  <c r="H31" i="41"/>
  <c r="I12" i="75"/>
  <c r="L12" i="75" s="1"/>
  <c r="F26" i="46" s="1"/>
  <c r="F27" i="46" s="1"/>
  <c r="F39" i="41"/>
  <c r="F42" i="41" s="1"/>
  <c r="F18" i="66"/>
  <c r="F14" i="46"/>
  <c r="F15" i="46" s="1"/>
  <c r="E13" i="38"/>
  <c r="G13" i="38" s="1"/>
  <c r="G33" i="41"/>
  <c r="E19" i="66"/>
  <c r="E20" i="66" s="1"/>
  <c r="R11" i="75"/>
  <c r="I16" i="51"/>
  <c r="C17" i="51"/>
  <c r="K10" i="52"/>
  <c r="L11" i="29"/>
  <c r="E27" i="52"/>
  <c r="I13" i="75" l="1"/>
  <c r="G47" i="41"/>
  <c r="G50" i="41" s="1"/>
  <c r="AH19" i="41"/>
  <c r="S11" i="75"/>
  <c r="T11" i="75"/>
  <c r="F29" i="46"/>
  <c r="AB37" i="64"/>
  <c r="E31" i="46"/>
  <c r="J38" i="41"/>
  <c r="J41" i="41" s="1"/>
  <c r="J12" i="46"/>
  <c r="J21" i="41"/>
  <c r="J29" i="41" s="1"/>
  <c r="F19" i="38"/>
  <c r="L20" i="41"/>
  <c r="H32" i="41"/>
  <c r="H33" i="41" s="1"/>
  <c r="H47" i="41" s="1"/>
  <c r="H50" i="41" s="1"/>
  <c r="D16" i="38"/>
  <c r="I31" i="41"/>
  <c r="F18" i="38"/>
  <c r="K20" i="41"/>
  <c r="R12" i="75"/>
  <c r="F19" i="66"/>
  <c r="F20" i="66" s="1"/>
  <c r="L13" i="75"/>
  <c r="G26" i="46" s="1"/>
  <c r="G27" i="46" s="1"/>
  <c r="G18" i="66"/>
  <c r="G39" i="41"/>
  <c r="G42" i="41" s="1"/>
  <c r="G14" i="46"/>
  <c r="E14" i="38"/>
  <c r="G14" i="38" s="1"/>
  <c r="M12" i="75"/>
  <c r="L10" i="52"/>
  <c r="J16" i="51"/>
  <c r="M11" i="29"/>
  <c r="C18" i="74" l="1"/>
  <c r="D8" i="74" s="1"/>
  <c r="H11" i="74" s="1"/>
  <c r="AH20" i="41"/>
  <c r="AI20" i="41" s="1"/>
  <c r="AI21" i="41" s="1"/>
  <c r="S12" i="75"/>
  <c r="T12" i="75"/>
  <c r="G15" i="46"/>
  <c r="G29" i="46" s="1"/>
  <c r="F30" i="46"/>
  <c r="I14" i="75"/>
  <c r="L14" i="75" s="1"/>
  <c r="H26" i="46" s="1"/>
  <c r="H27" i="46" s="1"/>
  <c r="H18" i="66"/>
  <c r="H39" i="41"/>
  <c r="H42" i="41" s="1"/>
  <c r="L38" i="41"/>
  <c r="L41" i="41" s="1"/>
  <c r="L12" i="46"/>
  <c r="L21" i="41"/>
  <c r="L29" i="41" s="1"/>
  <c r="E15" i="38"/>
  <c r="G15" i="38" s="1"/>
  <c r="H14" i="46"/>
  <c r="H15" i="46" s="1"/>
  <c r="K21" i="41"/>
  <c r="K29" i="41" s="1"/>
  <c r="K12" i="46"/>
  <c r="K38" i="41"/>
  <c r="K41" i="41" s="1"/>
  <c r="D17" i="38"/>
  <c r="J31" i="41"/>
  <c r="I32" i="41"/>
  <c r="R13" i="75"/>
  <c r="G19" i="66"/>
  <c r="G20" i="66" s="1"/>
  <c r="M13" i="75"/>
  <c r="K16" i="51"/>
  <c r="M10" i="52"/>
  <c r="N11" i="29"/>
  <c r="AH21" i="41" l="1"/>
  <c r="AH29" i="41" s="1"/>
  <c r="AH31" i="41" s="1"/>
  <c r="AH32" i="41" s="1"/>
  <c r="AH38" i="41"/>
  <c r="AH41" i="41" s="1"/>
  <c r="D25" i="74"/>
  <c r="H29" i="46"/>
  <c r="S13" i="75"/>
  <c r="T13" i="75"/>
  <c r="F31" i="46"/>
  <c r="G30" i="46" s="1"/>
  <c r="F34" i="46"/>
  <c r="J12" i="75" s="1"/>
  <c r="M14" i="75"/>
  <c r="AN19" i="41"/>
  <c r="AN27" i="41"/>
  <c r="AN18" i="41"/>
  <c r="AN13" i="41"/>
  <c r="AM20" i="41"/>
  <c r="AN12" i="41"/>
  <c r="AN17" i="41"/>
  <c r="AM16" i="41"/>
  <c r="AN11" i="41"/>
  <c r="AM15" i="41"/>
  <c r="AM18" i="41"/>
  <c r="AM11" i="41"/>
  <c r="AN15" i="41"/>
  <c r="AN26" i="41"/>
  <c r="AN25" i="41"/>
  <c r="AM10" i="41"/>
  <c r="AM13" i="41"/>
  <c r="AM17" i="41"/>
  <c r="AN10" i="41"/>
  <c r="AN28" i="41"/>
  <c r="AN24" i="41"/>
  <c r="AN20" i="41"/>
  <c r="AN16" i="41"/>
  <c r="AM12" i="41"/>
  <c r="AN23" i="41"/>
  <c r="S49" i="38"/>
  <c r="E16" i="38"/>
  <c r="G16" i="38" s="1"/>
  <c r="I14" i="46"/>
  <c r="I15" i="46" s="1"/>
  <c r="AM19" i="41"/>
  <c r="I33" i="41"/>
  <c r="I47" i="41" s="1"/>
  <c r="I50" i="41" s="1"/>
  <c r="J32" i="41"/>
  <c r="J33" i="41" s="1"/>
  <c r="J47" i="41" s="1"/>
  <c r="J50" i="41" s="1"/>
  <c r="M21" i="74"/>
  <c r="M22" i="74" s="1"/>
  <c r="N16" i="74" s="1"/>
  <c r="D19" i="38"/>
  <c r="L31" i="41"/>
  <c r="D18" i="38"/>
  <c r="K31" i="41"/>
  <c r="H19" i="66"/>
  <c r="H20" i="66" s="1"/>
  <c r="R14" i="75"/>
  <c r="J12" i="29"/>
  <c r="S14" i="75" l="1"/>
  <c r="T14" i="75"/>
  <c r="G34" i="46"/>
  <c r="J13" i="75" s="1"/>
  <c r="N13" i="75" s="1"/>
  <c r="O13" i="75" s="1"/>
  <c r="G31" i="46"/>
  <c r="H30" i="46" s="1"/>
  <c r="H34" i="46" s="1"/>
  <c r="J14" i="75" s="1"/>
  <c r="N14" i="75" s="1"/>
  <c r="O14" i="75" s="1"/>
  <c r="J14" i="46"/>
  <c r="J15" i="46" s="1"/>
  <c r="E17" i="38"/>
  <c r="G17" i="38" s="1"/>
  <c r="J39" i="41"/>
  <c r="J42" i="41" s="1"/>
  <c r="I16" i="75"/>
  <c r="L16" i="75" s="1"/>
  <c r="J26" i="46" s="1"/>
  <c r="J27" i="46" s="1"/>
  <c r="J18" i="66"/>
  <c r="Q25" i="74"/>
  <c r="Q26" i="74" s="1"/>
  <c r="R17" i="74" s="1"/>
  <c r="N21" i="74"/>
  <c r="I15" i="75"/>
  <c r="L15" i="75" s="1"/>
  <c r="I26" i="46" s="1"/>
  <c r="I27" i="46" s="1"/>
  <c r="I29" i="46" s="1"/>
  <c r="I39" i="41"/>
  <c r="I42" i="41" s="1"/>
  <c r="I18" i="66"/>
  <c r="K32" i="41"/>
  <c r="I19" i="65"/>
  <c r="I56" i="65"/>
  <c r="L32" i="41"/>
  <c r="L33" i="41" s="1"/>
  <c r="L47" i="41" s="1"/>
  <c r="L50" i="41" s="1"/>
  <c r="D17" i="51"/>
  <c r="F26" i="52"/>
  <c r="L12" i="29"/>
  <c r="M12" i="29" s="1"/>
  <c r="J29" i="46" l="1"/>
  <c r="K33" i="41"/>
  <c r="E18" i="38"/>
  <c r="G18" i="38" s="1"/>
  <c r="H31" i="46"/>
  <c r="I30" i="46" s="1"/>
  <c r="I34" i="46" s="1"/>
  <c r="J15" i="75" s="1"/>
  <c r="N15" i="75" s="1"/>
  <c r="O15" i="75" s="1"/>
  <c r="I18" i="75"/>
  <c r="L18" i="75" s="1"/>
  <c r="L26" i="46" s="1"/>
  <c r="L27" i="46" s="1"/>
  <c r="L39" i="41"/>
  <c r="L42" i="41" s="1"/>
  <c r="L18" i="66"/>
  <c r="R16" i="75"/>
  <c r="J19" i="66"/>
  <c r="J20" i="66" s="1"/>
  <c r="R15" i="75"/>
  <c r="I19" i="66"/>
  <c r="I20" i="66" s="1"/>
  <c r="M15" i="75"/>
  <c r="N18" i="74"/>
  <c r="N20" i="74"/>
  <c r="N17" i="74"/>
  <c r="N13" i="74"/>
  <c r="N12" i="74"/>
  <c r="N14" i="74"/>
  <c r="N22" i="74"/>
  <c r="N19" i="74"/>
  <c r="N15" i="74"/>
  <c r="R25" i="74"/>
  <c r="R20" i="74"/>
  <c r="R19" i="74"/>
  <c r="R16" i="74"/>
  <c r="R23" i="74"/>
  <c r="R18" i="74"/>
  <c r="R14" i="74"/>
  <c r="R24" i="74"/>
  <c r="R21" i="74"/>
  <c r="R12" i="74"/>
  <c r="R13" i="74"/>
  <c r="R22" i="74"/>
  <c r="R15" i="74"/>
  <c r="L14" i="46"/>
  <c r="L15" i="46" s="1"/>
  <c r="E19" i="38"/>
  <c r="G19" i="38" s="1"/>
  <c r="Y19" i="38" s="1"/>
  <c r="K14" i="46"/>
  <c r="K15" i="46" s="1"/>
  <c r="H13" i="74"/>
  <c r="I12" i="74" s="1"/>
  <c r="N12" i="29"/>
  <c r="F27" i="52"/>
  <c r="AH33" i="41" l="1"/>
  <c r="K47" i="41"/>
  <c r="K50" i="41" s="1"/>
  <c r="AH50" i="41" s="1"/>
  <c r="S16" i="75"/>
  <c r="T16" i="75"/>
  <c r="S15" i="75"/>
  <c r="T15" i="75"/>
  <c r="K39" i="41"/>
  <c r="K42" i="41" s="1"/>
  <c r="K18" i="66"/>
  <c r="I17" i="75"/>
  <c r="L17" i="75" s="1"/>
  <c r="K26" i="46" s="1"/>
  <c r="K27" i="46" s="1"/>
  <c r="K29" i="46" s="1"/>
  <c r="AI33" i="41"/>
  <c r="AH39" i="41"/>
  <c r="AH34" i="41"/>
  <c r="L29" i="46"/>
  <c r="I31" i="46"/>
  <c r="J30" i="46" s="1"/>
  <c r="M16" i="75"/>
  <c r="I11" i="74"/>
  <c r="R26" i="74"/>
  <c r="L19" i="66"/>
  <c r="L20" i="66" s="1"/>
  <c r="R18" i="75"/>
  <c r="G26" i="52"/>
  <c r="J13" i="29"/>
  <c r="AH42" i="41" l="1"/>
  <c r="S50" i="38" s="1"/>
  <c r="K19" i="66"/>
  <c r="K20" i="66" s="1"/>
  <c r="M17" i="75"/>
  <c r="M18" i="75" s="1"/>
  <c r="M19" i="75" s="1"/>
  <c r="M20" i="75" s="1"/>
  <c r="R17" i="75"/>
  <c r="S17" i="75" s="1"/>
  <c r="S18" i="75"/>
  <c r="T18" i="75"/>
  <c r="J34" i="46"/>
  <c r="J16" i="75" s="1"/>
  <c r="N16" i="75" s="1"/>
  <c r="O16" i="75" s="1"/>
  <c r="J31" i="46"/>
  <c r="K30" i="46" s="1"/>
  <c r="K34" i="46" s="1"/>
  <c r="J17" i="75" s="1"/>
  <c r="N17" i="75" s="1"/>
  <c r="O17" i="75" s="1"/>
  <c r="E17" i="51"/>
  <c r="G27" i="52"/>
  <c r="L13" i="29"/>
  <c r="M13" i="29" s="1"/>
  <c r="T17" i="75" l="1"/>
  <c r="I20" i="65"/>
  <c r="I57" i="65"/>
  <c r="K31" i="46"/>
  <c r="M21" i="75"/>
  <c r="N13" i="29"/>
  <c r="L30" i="46" l="1"/>
  <c r="L34" i="46" s="1"/>
  <c r="M22" i="75"/>
  <c r="H26" i="52"/>
  <c r="J18" i="75" l="1"/>
  <c r="N18" i="75" s="1"/>
  <c r="O18" i="75" s="1"/>
  <c r="L31" i="46"/>
  <c r="M30" i="46" s="1"/>
  <c r="M23" i="75"/>
  <c r="F17" i="51"/>
  <c r="H27" i="52"/>
  <c r="M34" i="46" l="1"/>
  <c r="J19" i="75" s="1"/>
  <c r="N19" i="75" s="1"/>
  <c r="O19" i="75" s="1"/>
  <c r="M31" i="46"/>
  <c r="M24" i="75"/>
  <c r="I26" i="52"/>
  <c r="M25" i="75" l="1"/>
  <c r="I27" i="52"/>
  <c r="M26" i="75" l="1"/>
  <c r="J26" i="52"/>
  <c r="M27" i="75" l="1"/>
  <c r="J27" i="52"/>
  <c r="M28" i="75" l="1"/>
  <c r="K26" i="52"/>
  <c r="M29" i="75" l="1"/>
  <c r="K27" i="52"/>
  <c r="M30" i="75" l="1"/>
  <c r="L26" i="52"/>
  <c r="M31" i="75" l="1"/>
  <c r="L27" i="52"/>
  <c r="M32" i="75" l="1"/>
  <c r="M26" i="52"/>
  <c r="M33" i="75" l="1"/>
  <c r="M27" i="52"/>
  <c r="M34" i="75" l="1"/>
  <c r="R17" i="51"/>
  <c r="M35" i="75" l="1"/>
  <c r="L12" i="45"/>
  <c r="H17" i="45" s="1"/>
  <c r="L11" i="45"/>
  <c r="H24" i="45" s="1"/>
  <c r="M36" i="75" l="1"/>
  <c r="D12" i="52"/>
  <c r="M37" i="75" l="1"/>
  <c r="E12" i="52"/>
  <c r="E15" i="52" s="1"/>
  <c r="M38" i="75" l="1"/>
  <c r="E29" i="52"/>
  <c r="F12" i="52"/>
  <c r="F15" i="52" l="1"/>
  <c r="F29" i="52" s="1"/>
  <c r="G12" i="52"/>
  <c r="G15" i="52" s="1"/>
  <c r="B10" i="51" l="1"/>
  <c r="G29" i="52"/>
  <c r="H12" i="52"/>
  <c r="H15" i="52" s="1"/>
  <c r="H29" i="52" l="1"/>
  <c r="I12" i="52"/>
  <c r="I15" i="52" s="1"/>
  <c r="J12" i="52" l="1"/>
  <c r="J15" i="52" s="1"/>
  <c r="I29" i="52"/>
  <c r="K12" i="52" l="1"/>
  <c r="K15" i="52" s="1"/>
  <c r="J29" i="52"/>
  <c r="L12" i="52" l="1"/>
  <c r="L15" i="52" s="1"/>
  <c r="K29" i="52"/>
  <c r="M12" i="52" l="1"/>
  <c r="M15" i="52" s="1"/>
  <c r="L29" i="52"/>
  <c r="N13" i="52"/>
  <c r="N12" i="52" l="1"/>
  <c r="M29" i="52"/>
  <c r="O13" i="52"/>
  <c r="P13" i="52" l="1"/>
  <c r="O12" i="52"/>
  <c r="P12" i="52" l="1"/>
  <c r="Q13" i="52"/>
  <c r="R13" i="52" l="1"/>
  <c r="Q12" i="52"/>
  <c r="N14" i="52"/>
  <c r="N15" i="52" s="1"/>
  <c r="O14" i="52" l="1"/>
  <c r="O15" i="52" s="1"/>
  <c r="N29" i="52"/>
  <c r="R12" i="52"/>
  <c r="O29" i="52" l="1"/>
  <c r="P14" i="52"/>
  <c r="P15" i="52" s="1"/>
  <c r="Q14" i="52" l="1"/>
  <c r="Q15" i="52" s="1"/>
  <c r="P29" i="52"/>
  <c r="R14" i="52" l="1"/>
  <c r="R15" i="52" s="1"/>
  <c r="Q29" i="52"/>
  <c r="R29" i="52" l="1"/>
  <c r="R13" i="51" l="1"/>
  <c r="R9" i="51" l="1"/>
  <c r="R10" i="51" l="1"/>
  <c r="K10" i="60" l="1"/>
  <c r="AD10" i="60" s="1"/>
  <c r="D9" i="52" l="1"/>
  <c r="D15" i="52" s="1"/>
  <c r="D29" i="52" s="1"/>
  <c r="D31" i="52" s="1"/>
  <c r="E30" i="52" s="1"/>
  <c r="E31" i="52" s="1"/>
  <c r="F30" i="52" s="1"/>
  <c r="F31" i="52" s="1"/>
  <c r="G30" i="52" s="1"/>
  <c r="G31" i="52" s="1"/>
  <c r="H30" i="52" s="1"/>
  <c r="H31" i="52" s="1"/>
  <c r="I30" i="52" s="1"/>
  <c r="I31" i="52" s="1"/>
  <c r="J30" i="52" s="1"/>
  <c r="J31" i="52" s="1"/>
  <c r="K30" i="52" s="1"/>
  <c r="K31" i="52" s="1"/>
  <c r="L30" i="52" s="1"/>
  <c r="L31" i="52" s="1"/>
  <c r="M30" i="52" s="1"/>
  <c r="M31" i="52" s="1"/>
  <c r="N30" i="52" s="1"/>
  <c r="N31" i="52" s="1"/>
  <c r="O30" i="52" s="1"/>
  <c r="O31" i="52" s="1"/>
  <c r="P30" i="52" s="1"/>
  <c r="P31" i="52" s="1"/>
  <c r="Q30" i="52" s="1"/>
  <c r="Q31" i="52" s="1"/>
  <c r="R30" i="52" s="1"/>
  <c r="R31" i="52" s="1"/>
  <c r="AB14" i="60" l="1"/>
  <c r="AB12" i="60"/>
  <c r="AB13" i="60"/>
  <c r="AB18" i="60"/>
  <c r="AB21" i="60"/>
  <c r="AB22" i="60" s="1"/>
  <c r="AB20" i="60"/>
  <c r="AB19" i="60"/>
  <c r="AB16" i="60"/>
  <c r="AB17" i="60"/>
  <c r="AB15" i="60"/>
  <c r="C12" i="51" l="1"/>
  <c r="C14" i="51" s="1"/>
  <c r="C15" i="51" s="1"/>
  <c r="C18" i="51" s="1"/>
  <c r="E13" i="52"/>
  <c r="B12" i="51"/>
  <c r="D13" i="52"/>
  <c r="F13" i="52" l="1"/>
  <c r="D12" i="51"/>
  <c r="D14" i="51" s="1"/>
  <c r="D15" i="51" s="1"/>
  <c r="D18" i="51" s="1"/>
  <c r="AD22" i="60"/>
  <c r="H11" i="60"/>
  <c r="K11" i="60" s="1"/>
  <c r="B14" i="51"/>
  <c r="AD11" i="60" l="1"/>
  <c r="H12" i="60" s="1"/>
  <c r="K12" i="60" s="1"/>
  <c r="AD12" i="60" s="1"/>
  <c r="H13" i="60" s="1"/>
  <c r="K13" i="60" s="1"/>
  <c r="AD13" i="60" s="1"/>
  <c r="H14" i="60" s="1"/>
  <c r="K14" i="60" s="1"/>
  <c r="AD14" i="60" s="1"/>
  <c r="H15" i="60" s="1"/>
  <c r="K15" i="60" s="1"/>
  <c r="AD15" i="60" s="1"/>
  <c r="H16" i="60" s="1"/>
  <c r="K16" i="60" s="1"/>
  <c r="AD16" i="60" s="1"/>
  <c r="H17" i="60" s="1"/>
  <c r="K17" i="60" s="1"/>
  <c r="AD17" i="60" s="1"/>
  <c r="H18" i="60" s="1"/>
  <c r="K18" i="60" s="1"/>
  <c r="AD18" i="60" s="1"/>
  <c r="H19" i="60" s="1"/>
  <c r="K19" i="60" s="1"/>
  <c r="AD19" i="60" s="1"/>
  <c r="H20" i="60" s="1"/>
  <c r="K20" i="60" s="1"/>
  <c r="AD20" i="60" s="1"/>
  <c r="H21" i="60" s="1"/>
  <c r="K21" i="60" s="1"/>
  <c r="AD21" i="60" s="1"/>
  <c r="G13" i="52"/>
  <c r="E12" i="51"/>
  <c r="R14" i="51"/>
  <c r="B15" i="51"/>
  <c r="E14" i="51" l="1"/>
  <c r="E15" i="51" s="1"/>
  <c r="E18" i="51" s="1"/>
  <c r="H13" i="52"/>
  <c r="F12" i="51"/>
  <c r="F14" i="51" s="1"/>
  <c r="F15" i="51" s="1"/>
  <c r="F18" i="51" s="1"/>
  <c r="R15" i="51"/>
  <c r="B18" i="51"/>
  <c r="D14" i="52"/>
  <c r="B19" i="51"/>
  <c r="R19" i="51" s="1"/>
  <c r="AA22" i="60"/>
  <c r="C19" i="51"/>
  <c r="C20" i="51" s="1"/>
  <c r="E14" i="52"/>
  <c r="I11" i="38" l="1"/>
  <c r="Y11" i="38"/>
  <c r="S11" i="38"/>
  <c r="G12" i="51"/>
  <c r="G14" i="51" s="1"/>
  <c r="G15" i="51" s="1"/>
  <c r="G18" i="51" s="1"/>
  <c r="I13" i="52"/>
  <c r="S10" i="38"/>
  <c r="F14" i="52"/>
  <c r="D19" i="51"/>
  <c r="D20" i="51" s="1"/>
  <c r="B20" i="51"/>
  <c r="R20" i="51" s="1"/>
  <c r="R18" i="51"/>
  <c r="L10" i="38" l="1"/>
  <c r="J13" i="52"/>
  <c r="H12" i="51"/>
  <c r="H14" i="51" s="1"/>
  <c r="H15" i="51" s="1"/>
  <c r="H18" i="51" s="1"/>
  <c r="G14" i="52"/>
  <c r="E19" i="51"/>
  <c r="E20" i="51" s="1"/>
  <c r="Y12" i="38"/>
  <c r="L11" i="38"/>
  <c r="V45" i="38" s="1"/>
  <c r="M10" i="38" l="1"/>
  <c r="V44" i="38" s="1"/>
  <c r="V46" i="38" s="1"/>
  <c r="F49" i="38" s="1"/>
  <c r="L12" i="38"/>
  <c r="H14" i="52"/>
  <c r="F19" i="51"/>
  <c r="F20" i="51" s="1"/>
  <c r="I12" i="51"/>
  <c r="I14" i="51" s="1"/>
  <c r="I15" i="51" s="1"/>
  <c r="I18" i="51" s="1"/>
  <c r="K13" i="52"/>
  <c r="Y13" i="38"/>
  <c r="S13" i="38"/>
  <c r="I13" i="38"/>
  <c r="M11" i="38" l="1"/>
  <c r="AL9" i="66"/>
  <c r="J12" i="51"/>
  <c r="J14" i="51" s="1"/>
  <c r="J15" i="51" s="1"/>
  <c r="J18" i="51" s="1"/>
  <c r="L13" i="52"/>
  <c r="D11" i="66"/>
  <c r="L13" i="38"/>
  <c r="I14" i="52"/>
  <c r="G19" i="51"/>
  <c r="G20" i="51" s="1"/>
  <c r="I14" i="38"/>
  <c r="Y14" i="38"/>
  <c r="S14" i="38"/>
  <c r="M12" i="38" l="1"/>
  <c r="M13" i="38" s="1"/>
  <c r="S15" i="38"/>
  <c r="Y15" i="38"/>
  <c r="I15" i="38"/>
  <c r="H19" i="51"/>
  <c r="H20" i="51" s="1"/>
  <c r="J14" i="52"/>
  <c r="AL10" i="66"/>
  <c r="AM10" i="66" s="1"/>
  <c r="E10" i="66"/>
  <c r="L14" i="38"/>
  <c r="M13" i="52" l="1"/>
  <c r="K12" i="51"/>
  <c r="K14" i="51" s="1"/>
  <c r="K15" i="51" s="1"/>
  <c r="K18" i="51" s="1"/>
  <c r="M14" i="38"/>
  <c r="R12" i="51"/>
  <c r="E11" i="66"/>
  <c r="E23" i="66"/>
  <c r="L15" i="38"/>
  <c r="I19" i="51"/>
  <c r="I20" i="51" s="1"/>
  <c r="K14" i="52"/>
  <c r="Y16" i="38"/>
  <c r="S16" i="38"/>
  <c r="I16" i="38"/>
  <c r="L16" i="38" s="1"/>
  <c r="M15" i="38" l="1"/>
  <c r="E24" i="66"/>
  <c r="AL11" i="66" s="1"/>
  <c r="AM11" i="66" s="1"/>
  <c r="F10" i="66"/>
  <c r="J19" i="51"/>
  <c r="J20" i="51" s="1"/>
  <c r="L14" i="52"/>
  <c r="I17" i="38"/>
  <c r="S17" i="38"/>
  <c r="Y17" i="38"/>
  <c r="M16" i="38" l="1"/>
  <c r="F11" i="66"/>
  <c r="F23" i="66"/>
  <c r="L17" i="38"/>
  <c r="I18" i="38"/>
  <c r="Y18" i="38"/>
  <c r="M44" i="38" s="1"/>
  <c r="S18" i="38"/>
  <c r="K19" i="51"/>
  <c r="K20" i="51" s="1"/>
  <c r="M14" i="52"/>
  <c r="M47" i="38" l="1"/>
  <c r="F47" i="38" s="1"/>
  <c r="M17" i="38"/>
  <c r="F24" i="66"/>
  <c r="AL12" i="66" s="1"/>
  <c r="AM12" i="66" s="1"/>
  <c r="G10" i="66"/>
  <c r="L18" i="38"/>
  <c r="S19" i="38"/>
  <c r="M50" i="38" s="1"/>
  <c r="I19" i="38"/>
  <c r="Q6" i="38" s="1"/>
  <c r="L19" i="38" l="1"/>
  <c r="F46" i="38" s="1"/>
  <c r="F45" i="38"/>
  <c r="M52" i="38"/>
  <c r="F48" i="38" s="1"/>
  <c r="I56" i="38"/>
  <c r="M18" i="38"/>
  <c r="G11" i="66"/>
  <c r="G23" i="66"/>
  <c r="M19" i="38" l="1"/>
  <c r="M20" i="38" s="1"/>
  <c r="M21" i="38" s="1"/>
  <c r="M22" i="38" s="1"/>
  <c r="M23" i="38" s="1"/>
  <c r="M24" i="38" s="1"/>
  <c r="M25" i="38" s="1"/>
  <c r="M26" i="38" s="1"/>
  <c r="M27" i="38" s="1"/>
  <c r="M28" i="38" s="1"/>
  <c r="M29" i="38" s="1"/>
  <c r="M30" i="38" s="1"/>
  <c r="M31" i="38" s="1"/>
  <c r="M32" i="38" s="1"/>
  <c r="M33" i="38" s="1"/>
  <c r="M34" i="38" s="1"/>
  <c r="M35" i="38" s="1"/>
  <c r="M36" i="38" s="1"/>
  <c r="M37" i="38" s="1"/>
  <c r="M38" i="38" s="1"/>
  <c r="M39" i="38" s="1"/>
  <c r="I54" i="65"/>
  <c r="I17" i="65"/>
  <c r="F52" i="38"/>
  <c r="F53" i="38"/>
  <c r="I55" i="38"/>
  <c r="F56" i="38"/>
  <c r="G54" i="38"/>
  <c r="I16" i="65"/>
  <c r="I53" i="65"/>
  <c r="G24" i="66"/>
  <c r="AL13" i="66" s="1"/>
  <c r="AM13" i="66" s="1"/>
  <c r="H10" i="66"/>
  <c r="O29" i="38" l="1"/>
  <c r="P29" i="38" s="1"/>
  <c r="O13" i="38"/>
  <c r="P13" i="38" s="1"/>
  <c r="O39" i="38"/>
  <c r="P39" i="38" s="1"/>
  <c r="O20" i="38"/>
  <c r="P20" i="38" s="1"/>
  <c r="O35" i="38"/>
  <c r="P35" i="38" s="1"/>
  <c r="O15" i="38"/>
  <c r="P15" i="38" s="1"/>
  <c r="O31" i="38"/>
  <c r="P31" i="38" s="1"/>
  <c r="O34" i="38"/>
  <c r="P34" i="38" s="1"/>
  <c r="O19" i="38"/>
  <c r="P19" i="38" s="1"/>
  <c r="O38" i="38"/>
  <c r="P38" i="38" s="1"/>
  <c r="O36" i="38"/>
  <c r="P36" i="38" s="1"/>
  <c r="O23" i="38"/>
  <c r="P23" i="38" s="1"/>
  <c r="O14" i="38"/>
  <c r="P14" i="38" s="1"/>
  <c r="O30" i="38"/>
  <c r="P30" i="38" s="1"/>
  <c r="O21" i="38"/>
  <c r="P21" i="38" s="1"/>
  <c r="O26" i="38"/>
  <c r="P26" i="38" s="1"/>
  <c r="O25" i="38"/>
  <c r="P25" i="38" s="1"/>
  <c r="O18" i="38"/>
  <c r="P18" i="38" s="1"/>
  <c r="O37" i="38"/>
  <c r="P37" i="38" s="1"/>
  <c r="O16" i="38"/>
  <c r="P16" i="38" s="1"/>
  <c r="O17" i="38"/>
  <c r="P17" i="38" s="1"/>
  <c r="O27" i="38"/>
  <c r="P27" i="38" s="1"/>
  <c r="O22" i="38"/>
  <c r="P22" i="38" s="1"/>
  <c r="O11" i="38"/>
  <c r="P11" i="38" s="1"/>
  <c r="O28" i="38"/>
  <c r="P28" i="38" s="1"/>
  <c r="O32" i="38"/>
  <c r="P32" i="38" s="1"/>
  <c r="O24" i="38"/>
  <c r="P24" i="38" s="1"/>
  <c r="O12" i="38"/>
  <c r="P12" i="38" s="1"/>
  <c r="O33" i="38"/>
  <c r="P33" i="38" s="1"/>
  <c r="O9" i="38"/>
  <c r="P9" i="38" s="1"/>
  <c r="Q9" i="38" s="1"/>
  <c r="O10" i="38"/>
  <c r="P10" i="38" s="1"/>
  <c r="I51" i="65"/>
  <c r="I18" i="65"/>
  <c r="I55" i="65"/>
  <c r="H11" i="66"/>
  <c r="H23" i="66"/>
  <c r="H24" i="66" s="1"/>
  <c r="Q10" i="38" l="1"/>
  <c r="Q11" i="38" s="1"/>
  <c r="Q12" i="38" s="1"/>
  <c r="Q13" i="38" s="1"/>
  <c r="Q14" i="38" s="1"/>
  <c r="Q15" i="38" s="1"/>
  <c r="Q16" i="38" s="1"/>
  <c r="Q17" i="38" s="1"/>
  <c r="Q18" i="38" s="1"/>
  <c r="Q19" i="38" s="1"/>
  <c r="Q20" i="38" s="1"/>
  <c r="Q21" i="38" s="1"/>
  <c r="Q22" i="38" s="1"/>
  <c r="Q23" i="38" s="1"/>
  <c r="Q24" i="38" s="1"/>
  <c r="Q25" i="38" s="1"/>
  <c r="Q26" i="38" s="1"/>
  <c r="Q27" i="38" s="1"/>
  <c r="Q28" i="38" s="1"/>
  <c r="Q29" i="38" s="1"/>
  <c r="Q30" i="38" s="1"/>
  <c r="Q31" i="38" s="1"/>
  <c r="Q32" i="38" s="1"/>
  <c r="Q33" i="38" s="1"/>
  <c r="Q34" i="38" s="1"/>
  <c r="Q35" i="38" s="1"/>
  <c r="Q36" i="38" s="1"/>
  <c r="Q37" i="38" s="1"/>
  <c r="Q38" i="38" s="1"/>
  <c r="Q39" i="38" s="1"/>
  <c r="I15" i="65"/>
  <c r="I52" i="65"/>
  <c r="I14" i="65"/>
  <c r="AL14" i="66"/>
  <c r="AM14" i="66" s="1"/>
  <c r="I10" i="66"/>
  <c r="I11" i="66" l="1"/>
  <c r="I23" i="66"/>
  <c r="I24" i="66" s="1"/>
  <c r="AL15" i="66" l="1"/>
  <c r="AM15" i="66" s="1"/>
  <c r="J10" i="66"/>
  <c r="J11" i="66" l="1"/>
  <c r="J23" i="66"/>
  <c r="J24" i="66" l="1"/>
  <c r="AL16" i="66" s="1"/>
  <c r="AM16" i="66" s="1"/>
  <c r="K10" i="66"/>
  <c r="K11" i="66" l="1"/>
  <c r="K23" i="66"/>
  <c r="K24" i="66" s="1"/>
  <c r="AL17" i="66" l="1"/>
  <c r="AM17" i="66" s="1"/>
  <c r="L10" i="66"/>
  <c r="L23" i="66" l="1"/>
  <c r="L11" i="66"/>
  <c r="L24" i="66" l="1"/>
  <c r="AL18" i="66" s="1"/>
  <c r="AM18" i="66" s="1"/>
  <c r="M10" i="66"/>
  <c r="D47" i="64"/>
  <c r="D43" i="64"/>
  <c r="M11" i="66" l="1"/>
  <c r="M23" i="66"/>
  <c r="N10" i="66" l="1"/>
  <c r="M24" i="66"/>
  <c r="AL19" i="66" s="1"/>
  <c r="AM19" i="66" s="1"/>
  <c r="N23" i="66" l="1"/>
  <c r="N11" i="66"/>
  <c r="O10" i="66" l="1"/>
  <c r="N24" i="66"/>
  <c r="AL20" i="66" s="1"/>
  <c r="AM20" i="66" s="1"/>
  <c r="O23" i="66" l="1"/>
  <c r="O11" i="66"/>
  <c r="P10" i="66" l="1"/>
  <c r="O24" i="66"/>
  <c r="AL21" i="66" s="1"/>
  <c r="AM21" i="66" s="1"/>
  <c r="P23" i="66" l="1"/>
  <c r="P11" i="66"/>
  <c r="Q10" i="66" l="1"/>
  <c r="P24" i="66"/>
  <c r="AL22" i="66" s="1"/>
  <c r="AM22" i="66" s="1"/>
  <c r="Q23" i="66" l="1"/>
  <c r="Q11" i="66"/>
  <c r="R10" i="66" l="1"/>
  <c r="Q24" i="66"/>
  <c r="AL23" i="66" s="1"/>
  <c r="AM23" i="66" s="1"/>
  <c r="R23" i="66" l="1"/>
  <c r="R11" i="66"/>
  <c r="S10" i="66" l="1"/>
  <c r="R24" i="66"/>
  <c r="AL24" i="66" s="1"/>
  <c r="AM24" i="66" s="1"/>
  <c r="S23" i="66" l="1"/>
  <c r="S11" i="66"/>
  <c r="T10" i="66" l="1"/>
  <c r="S24" i="66"/>
  <c r="AL25" i="66" s="1"/>
  <c r="AM25" i="66" s="1"/>
  <c r="T23" i="66" l="1"/>
  <c r="T11" i="66"/>
  <c r="U10" i="66" l="1"/>
  <c r="T24" i="66"/>
  <c r="AL26" i="66" s="1"/>
  <c r="AM26" i="66" s="1"/>
  <c r="U23" i="66" l="1"/>
  <c r="U11" i="66"/>
  <c r="V10" i="66" l="1"/>
  <c r="U24" i="66"/>
  <c r="AL27" i="66" s="1"/>
  <c r="AM27" i="66" s="1"/>
  <c r="V23" i="66" l="1"/>
  <c r="V11" i="66"/>
  <c r="W10" i="66" l="1"/>
  <c r="V24" i="66"/>
  <c r="AL28" i="66" s="1"/>
  <c r="AM28" i="66" s="1"/>
  <c r="W23" i="66" l="1"/>
  <c r="W11" i="66"/>
  <c r="X10" i="66" l="1"/>
  <c r="W24" i="66"/>
  <c r="AL29" i="66" s="1"/>
  <c r="AM29" i="66" s="1"/>
  <c r="X23" i="66" l="1"/>
  <c r="X11" i="66"/>
  <c r="Y10" i="66" l="1"/>
  <c r="X24" i="66"/>
  <c r="AL30" i="66" s="1"/>
  <c r="AM30" i="66" s="1"/>
  <c r="Y23" i="66" l="1"/>
  <c r="Y11" i="66"/>
  <c r="Z10" i="66" l="1"/>
  <c r="Y24" i="66"/>
  <c r="AL31" i="66" s="1"/>
  <c r="AM31" i="66" s="1"/>
  <c r="Z23" i="66" l="1"/>
  <c r="Z11" i="66"/>
  <c r="AA10" i="66" l="1"/>
  <c r="Z24" i="66"/>
  <c r="AL32" i="66" s="1"/>
  <c r="AM32" i="66" s="1"/>
  <c r="AA23" i="66" l="1"/>
  <c r="AA11" i="66"/>
  <c r="AB10" i="66" l="1"/>
  <c r="AA24" i="66"/>
  <c r="AL33" i="66" s="1"/>
  <c r="AM33" i="66" s="1"/>
  <c r="AB23" i="66" l="1"/>
  <c r="AB11" i="66"/>
  <c r="AC10" i="66" l="1"/>
  <c r="AB24" i="66"/>
  <c r="AL34" i="66" s="1"/>
  <c r="AM34" i="66" s="1"/>
  <c r="AC23" i="66" l="1"/>
  <c r="AC11" i="66"/>
  <c r="AD10" i="66" l="1"/>
  <c r="AC24" i="66"/>
  <c r="AL35" i="66" s="1"/>
  <c r="AM35" i="66" s="1"/>
  <c r="AD23" i="66" l="1"/>
  <c r="AD11" i="66"/>
  <c r="AE10" i="66" l="1"/>
  <c r="AD24" i="66"/>
  <c r="AL36" i="66" s="1"/>
  <c r="AM36" i="66" s="1"/>
  <c r="AE23" i="66" l="1"/>
  <c r="AE11" i="66"/>
  <c r="AF10" i="66" l="1"/>
  <c r="AE24" i="66"/>
  <c r="AL37" i="66" s="1"/>
  <c r="AM37" i="66" s="1"/>
  <c r="AF23" i="66" l="1"/>
  <c r="AF24" i="66" s="1"/>
  <c r="AL38" i="66" s="1"/>
  <c r="AM38" i="66" s="1"/>
  <c r="AF11" i="66"/>
  <c r="N11" i="75" l="1"/>
  <c r="O11" i="75" s="1"/>
  <c r="N12" i="75" l="1"/>
  <c r="O12" i="75" s="1"/>
  <c r="N30" i="46" l="1"/>
  <c r="N34" i="46" l="1"/>
  <c r="J20" i="75" s="1"/>
  <c r="N20" i="75" s="1"/>
  <c r="O20" i="75" s="1"/>
  <c r="N31" i="46"/>
  <c r="O30" i="46" s="1"/>
  <c r="O34" i="46" s="1"/>
  <c r="J21" i="75" s="1"/>
  <c r="N21" i="75" s="1"/>
  <c r="O21" i="75" s="1"/>
  <c r="O31" i="46" l="1"/>
  <c r="P30" i="46" s="1"/>
  <c r="P34" i="46" s="1"/>
  <c r="J22" i="75" s="1"/>
  <c r="N22" i="75" s="1"/>
  <c r="O22" i="75" s="1"/>
  <c r="P31" i="46" l="1"/>
  <c r="Q30" i="46"/>
  <c r="Q34" i="46" s="1"/>
  <c r="J23" i="75" s="1"/>
  <c r="N23" i="75" s="1"/>
  <c r="O23" i="75" s="1"/>
  <c r="Q31" i="46" l="1"/>
  <c r="R30" i="46" s="1"/>
  <c r="R34" i="46" s="1"/>
  <c r="J24" i="75" s="1"/>
  <c r="N24" i="75" s="1"/>
  <c r="O24" i="75" s="1"/>
  <c r="R31" i="46" l="1"/>
  <c r="S30" i="46" s="1"/>
  <c r="S34" i="46" s="1"/>
  <c r="J25" i="75" s="1"/>
  <c r="N25" i="75" s="1"/>
  <c r="O25" i="75" s="1"/>
  <c r="S31" i="46" l="1"/>
  <c r="T30" i="46" s="1"/>
  <c r="T34" i="46" s="1"/>
  <c r="J26" i="75" s="1"/>
  <c r="N26" i="75" s="1"/>
  <c r="O26" i="75" s="1"/>
  <c r="T31" i="46" l="1"/>
  <c r="U30" i="46" s="1"/>
  <c r="U34" i="46" s="1"/>
  <c r="J27" i="75" s="1"/>
  <c r="N27" i="75" s="1"/>
  <c r="O27" i="75" s="1"/>
  <c r="U31" i="46" l="1"/>
  <c r="V30" i="46" s="1"/>
  <c r="V34" i="46" s="1"/>
  <c r="J28" i="75" s="1"/>
  <c r="N28" i="75" s="1"/>
  <c r="O28" i="75" s="1"/>
  <c r="V31" i="46" l="1"/>
  <c r="W30" i="46" s="1"/>
  <c r="W34" i="46" s="1"/>
  <c r="J29" i="75" s="1"/>
  <c r="N29" i="75" s="1"/>
  <c r="O29" i="75" s="1"/>
  <c r="W31" i="46" l="1"/>
  <c r="X30" i="46" s="1"/>
  <c r="X34" i="46" s="1"/>
  <c r="J30" i="75" s="1"/>
  <c r="N30" i="75" s="1"/>
  <c r="O30" i="75" s="1"/>
  <c r="X31" i="46" l="1"/>
  <c r="Y30" i="46" s="1"/>
  <c r="Y34" i="46" s="1"/>
  <c r="J31" i="75" s="1"/>
  <c r="N31" i="75" s="1"/>
  <c r="O31" i="75" s="1"/>
  <c r="Y31" i="46" l="1"/>
  <c r="Z30" i="46" s="1"/>
  <c r="Z34" i="46" l="1"/>
  <c r="J32" i="75" s="1"/>
  <c r="N32" i="75" s="1"/>
  <c r="O32" i="75" s="1"/>
  <c r="Z31" i="46"/>
  <c r="AA30" i="46" s="1"/>
  <c r="AA34" i="46" s="1"/>
  <c r="J33" i="75" s="1"/>
  <c r="N33" i="75" s="1"/>
  <c r="O33" i="75" s="1"/>
  <c r="AA31" i="46" l="1"/>
  <c r="AB30" i="46" s="1"/>
  <c r="AB34" i="46" s="1"/>
  <c r="J34" i="75" s="1"/>
  <c r="N34" i="75" s="1"/>
  <c r="O34" i="75" s="1"/>
  <c r="AB31" i="46" l="1"/>
  <c r="AC30" i="46" l="1"/>
  <c r="AC31" i="46" s="1"/>
  <c r="AD30" i="46" s="1"/>
  <c r="AD34" i="46" s="1"/>
  <c r="J36" i="75" s="1"/>
  <c r="N36" i="75" s="1"/>
  <c r="O36" i="75" s="1"/>
  <c r="AC34" i="46" l="1"/>
  <c r="J35" i="75" s="1"/>
  <c r="N35" i="75" s="1"/>
  <c r="O35" i="75" s="1"/>
  <c r="AD31" i="46"/>
  <c r="AE30" i="46" s="1"/>
  <c r="AE34" i="46" s="1"/>
  <c r="J37" i="75" s="1"/>
  <c r="N37" i="75" s="1"/>
  <c r="O37" i="75" s="1"/>
  <c r="AE31" i="46" l="1"/>
  <c r="AF30" i="46" s="1"/>
  <c r="AF34" i="46" s="1"/>
  <c r="J38" i="75" s="1"/>
  <c r="N38" i="75" s="1"/>
  <c r="AF31" i="46" l="1"/>
</calcChain>
</file>

<file path=xl/sharedStrings.xml><?xml version="1.0" encoding="utf-8"?>
<sst xmlns="http://schemas.openxmlformats.org/spreadsheetml/2006/main" count="1915" uniqueCount="1158">
  <si>
    <t>Pra-operational Cost SPI (in idr)</t>
  </si>
  <si>
    <t>No</t>
  </si>
  <si>
    <t>Description</t>
  </si>
  <si>
    <t>Aug'19</t>
  </si>
  <si>
    <t>Sep'19</t>
  </si>
  <si>
    <t>Okt'19</t>
  </si>
  <si>
    <t>Nov'19</t>
  </si>
  <si>
    <t>Dec'19</t>
  </si>
  <si>
    <t>Jan'20</t>
  </si>
  <si>
    <t>Feb'20</t>
  </si>
  <si>
    <t>Mar'20</t>
  </si>
  <si>
    <t>Apr'20</t>
  </si>
  <si>
    <t>May'20</t>
  </si>
  <si>
    <t>Jun'20</t>
  </si>
  <si>
    <t>Jul'20</t>
  </si>
  <si>
    <t>Aug'20</t>
  </si>
  <si>
    <t>Sep'20</t>
  </si>
  <si>
    <t>Oct'20</t>
  </si>
  <si>
    <t>Nov'20</t>
  </si>
  <si>
    <t>Dec'20</t>
  </si>
  <si>
    <t>Jan'21</t>
  </si>
  <si>
    <t>Feb'21</t>
  </si>
  <si>
    <t>Mar'21</t>
  </si>
  <si>
    <t>Total</t>
  </si>
  <si>
    <t>Company Establishment</t>
  </si>
  <si>
    <t>Founder Tim Remuneration</t>
  </si>
  <si>
    <t>Project Tim</t>
  </si>
  <si>
    <t>Security Tim</t>
  </si>
  <si>
    <t>Technical Audit (Chematur)</t>
  </si>
  <si>
    <t>Jakarta Office Rent (Incl. utilities)</t>
  </si>
  <si>
    <t>Lhoksemauwe Office Rent (Incl. renovation, furniture)</t>
  </si>
  <si>
    <t>Down Payment (Factory Rent)</t>
  </si>
  <si>
    <t>Warranty Deposit (Cashflow)</t>
  </si>
  <si>
    <t>Goodwill (Plant Rent, Raw Mat. Supply Agree., Product Offtake Agree., Setup Tim)</t>
  </si>
  <si>
    <t>Office Equipment</t>
  </si>
  <si>
    <t>Operational Cost (Business Trip,  Survey etc)</t>
  </si>
  <si>
    <t>DCS</t>
  </si>
  <si>
    <t>Working Capital (raw mat., chemical,  etc)</t>
  </si>
  <si>
    <t>Project Cost</t>
  </si>
  <si>
    <t>Exchange Rate</t>
  </si>
  <si>
    <t>Gas Price</t>
  </si>
  <si>
    <t>usd/mmbtu</t>
  </si>
  <si>
    <t>idr/ 1 usd</t>
  </si>
  <si>
    <t>Variabel Production Cost</t>
  </si>
  <si>
    <t>Production Volume (Concentrate 60%)</t>
  </si>
  <si>
    <t>Sales Volume</t>
  </si>
  <si>
    <t>/year</t>
  </si>
  <si>
    <t>Inflation Rate</t>
  </si>
  <si>
    <t>Discount Rate</t>
  </si>
  <si>
    <t>Sales Price</t>
  </si>
  <si>
    <t>/mton</t>
  </si>
  <si>
    <t>usd/mton</t>
  </si>
  <si>
    <t>years</t>
  </si>
  <si>
    <t>USD</t>
  </si>
  <si>
    <t>Utilities</t>
  </si>
  <si>
    <t>Discount Factor</t>
  </si>
  <si>
    <t>B</t>
  </si>
  <si>
    <t>fd</t>
  </si>
  <si>
    <t>No.</t>
  </si>
  <si>
    <t>Sources:</t>
  </si>
  <si>
    <t>%</t>
  </si>
  <si>
    <t>IDR/USD</t>
  </si>
  <si>
    <t>% per year</t>
  </si>
  <si>
    <t>Depreciation</t>
  </si>
  <si>
    <t>% of net profit/loss before tax</t>
  </si>
  <si>
    <t>Minimum Acceptable ROR (MARR)</t>
  </si>
  <si>
    <t>Note:</t>
  </si>
  <si>
    <t>Assumptions:</t>
  </si>
  <si>
    <t>Assumption:</t>
  </si>
  <si>
    <t>Position</t>
  </si>
  <si>
    <t>Number</t>
  </si>
  <si>
    <t>Packaging</t>
  </si>
  <si>
    <t>Cumulative</t>
  </si>
  <si>
    <t>Tax holiday</t>
  </si>
  <si>
    <t>Operating Expenses:</t>
  </si>
  <si>
    <t>Plant overhead</t>
  </si>
  <si>
    <t>Electricity</t>
  </si>
  <si>
    <t>Years</t>
  </si>
  <si>
    <t>Net Present Value (NPV)</t>
  </si>
  <si>
    <t>Profitability Index (PI)</t>
  </si>
  <si>
    <t>Interest Rate =</t>
  </si>
  <si>
    <t>Unlevered Free Cash Flow</t>
  </si>
  <si>
    <t>Net Free Cash Flow (FCF)</t>
  </si>
  <si>
    <t>Discounted Free Cash Flow</t>
  </si>
  <si>
    <t>Cumulative Discounted Free Cash Flow</t>
  </si>
  <si>
    <t>E</t>
  </si>
  <si>
    <t>THEORY</t>
  </si>
  <si>
    <t>Variable production costs:</t>
  </si>
  <si>
    <t>Raw materials</t>
  </si>
  <si>
    <t>Operating labor</t>
  </si>
  <si>
    <t>Operating supervision</t>
  </si>
  <si>
    <t>Utilities:</t>
  </si>
  <si>
    <t>Fuel</t>
  </si>
  <si>
    <t>Refrigeration</t>
  </si>
  <si>
    <t>Steam</t>
  </si>
  <si>
    <t>Waste treatment &amp; disposal</t>
  </si>
  <si>
    <t>Water, process</t>
  </si>
  <si>
    <t>Water, cooling</t>
  </si>
  <si>
    <t>Maintenance &amp; repairs</t>
  </si>
  <si>
    <t>Operating supplies</t>
  </si>
  <si>
    <t>Laboratory charges</t>
  </si>
  <si>
    <t>Royalties (if not on lump-sum basis)</t>
  </si>
  <si>
    <t>Catalyst and solvents</t>
  </si>
  <si>
    <t>Fixed charges:</t>
  </si>
  <si>
    <t>Medical</t>
  </si>
  <si>
    <t>Safety &amp; protection</t>
  </si>
  <si>
    <t>General plant overhead</t>
  </si>
  <si>
    <t>Payroll overhead</t>
  </si>
  <si>
    <t>Restaurant</t>
  </si>
  <si>
    <t>Recreation</t>
  </si>
  <si>
    <t>Salvage</t>
  </si>
  <si>
    <t>Control laboratories</t>
  </si>
  <si>
    <t>Plant superintendence</t>
  </si>
  <si>
    <t>Storage facilities</t>
  </si>
  <si>
    <t>Administration expenses:</t>
  </si>
  <si>
    <t>Sales offices</t>
  </si>
  <si>
    <t>Sales personnel expenses</t>
  </si>
  <si>
    <t>Shipping</t>
  </si>
  <si>
    <t>Advertising</t>
  </si>
  <si>
    <t>Technical sales service</t>
  </si>
  <si>
    <t>Variable production costs</t>
  </si>
  <si>
    <t>Fixed charges</t>
  </si>
  <si>
    <t>Taxes (property)</t>
  </si>
  <si>
    <t>Financing (interest)</t>
  </si>
  <si>
    <t>Insurance</t>
  </si>
  <si>
    <t>Rent</t>
  </si>
  <si>
    <t>Plant overhead cost:</t>
  </si>
  <si>
    <t>xxxxx</t>
  </si>
  <si>
    <t>Executive salaries</t>
  </si>
  <si>
    <t>Clerical wages</t>
  </si>
  <si>
    <t>Engineering</t>
  </si>
  <si>
    <t>Legas costs</t>
  </si>
  <si>
    <t>Office maintenance</t>
  </si>
  <si>
    <t>Communications</t>
  </si>
  <si>
    <t>Distribution &amp; Marketing expenses:</t>
  </si>
  <si>
    <t>Manufacturing, Operating or Production costs:</t>
  </si>
  <si>
    <t>Plant overhead costs</t>
  </si>
  <si>
    <t>General Expenses:</t>
  </si>
  <si>
    <t>Administration expenses</t>
  </si>
  <si>
    <t>Distribution &amp; marketing expenses</t>
  </si>
  <si>
    <t>Estimation Of Total Product Costs</t>
  </si>
  <si>
    <t>Total Product Costs</t>
  </si>
  <si>
    <t>TOTAL PRODUCT COSTS</t>
  </si>
  <si>
    <t>GENERAL EXPENSES</t>
  </si>
  <si>
    <t>MANUFACTURING COSTS (PRODUCTION OR OPERATING COSTS)</t>
  </si>
  <si>
    <t>Max S. Pieters &amp; K.D Timmerhouse</t>
  </si>
  <si>
    <t>Handbook - Plant design and Economics for Chemical Engineers</t>
  </si>
  <si>
    <t>Operating Expenses</t>
  </si>
  <si>
    <t>1).</t>
  </si>
  <si>
    <t>2).</t>
  </si>
  <si>
    <t>3).</t>
  </si>
  <si>
    <t>4).</t>
  </si>
  <si>
    <t>5).</t>
  </si>
  <si>
    <t>6).</t>
  </si>
  <si>
    <t>of FCI</t>
  </si>
  <si>
    <t>of maintenance &amp; repairs</t>
  </si>
  <si>
    <t>of operating labor</t>
  </si>
  <si>
    <t>of total product cost</t>
  </si>
  <si>
    <t>Others:</t>
  </si>
  <si>
    <t>Principal of loan will be paid in the first year of commercial production.</t>
  </si>
  <si>
    <t>The intesrest will be paid in the first year of commercial production.</t>
  </si>
  <si>
    <t>Sales Revenue</t>
  </si>
  <si>
    <t>Production years</t>
  </si>
  <si>
    <t>Cost of Goods Sold</t>
  </si>
  <si>
    <t>Gross Margin</t>
  </si>
  <si>
    <t>Operating Profit</t>
  </si>
  <si>
    <t xml:space="preserve">  Interest expense</t>
  </si>
  <si>
    <t>Earning Before Tax</t>
  </si>
  <si>
    <t xml:space="preserve">  Income tax expense</t>
  </si>
  <si>
    <t>Net Income</t>
  </si>
  <si>
    <t>Capital Investment Draw-down</t>
  </si>
  <si>
    <t>Plant overhead costs include costs for the following: general plant upkeep &amp; overhead,</t>
  </si>
  <si>
    <t>payroll overhead, packaging, medical services, safety &amp; protection, restaurants, recreation,</t>
  </si>
  <si>
    <t>Escalation per year for:</t>
  </si>
  <si>
    <t>- Salary &amp; wages</t>
  </si>
  <si>
    <t>Salary &amp; wages</t>
  </si>
  <si>
    <t>per year (inflation rate basis)</t>
  </si>
  <si>
    <t>Ʃ(H)</t>
  </si>
  <si>
    <t>Internal Rate of Return (IRR)</t>
  </si>
  <si>
    <t>Payback Period (PBT)</t>
  </si>
  <si>
    <t>Project valuation:</t>
  </si>
  <si>
    <t>10 - 20%</t>
  </si>
  <si>
    <t>of TPC</t>
  </si>
  <si>
    <t>2 - 10%</t>
  </si>
  <si>
    <t>15%</t>
  </si>
  <si>
    <t>0.5 - 1.0%</t>
  </si>
  <si>
    <t>1 - 4%</t>
  </si>
  <si>
    <t>0.4 - 1.0%</t>
  </si>
  <si>
    <t>&lt; 10%</t>
  </si>
  <si>
    <t>(1)</t>
  </si>
  <si>
    <t>50 - 70%</t>
  </si>
  <si>
    <t>of operating labor, supervision &amp; maintenance</t>
  </si>
  <si>
    <t>5 - 15%</t>
  </si>
  <si>
    <t>(2)</t>
  </si>
  <si>
    <t>15 - 25%</t>
  </si>
  <si>
    <t>2 - 5%</t>
  </si>
  <si>
    <t>(3)</t>
  </si>
  <si>
    <t>2 - 20%</t>
  </si>
  <si>
    <t>(4)</t>
  </si>
  <si>
    <t>Operating supplies: consumable items such as charts, lubricants, test chemicals, custodial supplies, and</t>
  </si>
  <si>
    <t>similar supplies cannot be considered as raw materials or maintenance &amp; repairs material.</t>
  </si>
  <si>
    <t>Laboratory charges: the cost of laboratory tests for control of operations and for product quality control.</t>
  </si>
  <si>
    <t>Financing interest: the compensation paid for the use of borrowed capital. Event though it should not be</t>
  </si>
  <si>
    <t xml:space="preserve">considered as a manufacturing cost, but that it should be listed as a separate expense under the general heading </t>
  </si>
  <si>
    <t>of management or financing cost.</t>
  </si>
  <si>
    <t>Cost Factorial Checking</t>
  </si>
  <si>
    <t xml:space="preserve">Plant overhead costs for chemical plants is about 50 to 70% of the total expenses for operating labor, supervision, and </t>
  </si>
  <si>
    <t>Administrative costs is about 15 to 25% of costs of operating labor, supervision and maintenance.</t>
  </si>
  <si>
    <t>It includes costs for executive salaries, clerical wages, computer support, legal fees, office supplies and communications.</t>
  </si>
  <si>
    <t>Distribution &amp; marketing costs is about 2 to 20% of the total product cost.</t>
  </si>
  <si>
    <t>It includes costs for sales offices, sales people, shipping and advertising.</t>
  </si>
  <si>
    <t>maintenance.</t>
  </si>
  <si>
    <t>(5)</t>
  </si>
  <si>
    <t>(6)</t>
  </si>
  <si>
    <t>Cost of Goods Manufacturing:</t>
  </si>
  <si>
    <t>Chemicals &amp; catalyst</t>
  </si>
  <si>
    <t>TPC</t>
  </si>
  <si>
    <t>FCI</t>
  </si>
  <si>
    <t>Operating labor, supervision &amp; maintenance</t>
  </si>
  <si>
    <t>Factor</t>
  </si>
  <si>
    <t>Theoritical</t>
  </si>
  <si>
    <t>Application</t>
  </si>
  <si>
    <t>10-80%</t>
  </si>
  <si>
    <t xml:space="preserve">Distribution &amp; Marketing </t>
  </si>
  <si>
    <t xml:space="preserve">Administrative </t>
  </si>
  <si>
    <t xml:space="preserve">Plant overhead </t>
  </si>
  <si>
    <t>Excl. Salary for executives</t>
  </si>
  <si>
    <t>Exclude salary for analysts</t>
  </si>
  <si>
    <t>Excl. Packaging cost</t>
  </si>
  <si>
    <t>(7)</t>
  </si>
  <si>
    <t>Excl. Salary for non-operating labor</t>
  </si>
  <si>
    <t>As local rate</t>
  </si>
  <si>
    <t>Refer to similar plant experience</t>
  </si>
  <si>
    <t>As market info</t>
  </si>
  <si>
    <t>- Project Financing</t>
  </si>
  <si>
    <t>Beginning Balance</t>
  </si>
  <si>
    <t>Ending Balance</t>
  </si>
  <si>
    <t>Projection Years</t>
  </si>
  <si>
    <t>Net cash flow from operating activities</t>
  </si>
  <si>
    <t>Cash flow from operating activities</t>
  </si>
  <si>
    <t>Cash flow from investment activities</t>
  </si>
  <si>
    <t>Cash flow from financing activities</t>
  </si>
  <si>
    <t>- Capital (equity)</t>
  </si>
  <si>
    <t>- Interest payment</t>
  </si>
  <si>
    <t>- Repayment loan</t>
  </si>
  <si>
    <t xml:space="preserve">     Income from customer</t>
  </si>
  <si>
    <t xml:space="preserve">     Less: Payment to supplier</t>
  </si>
  <si>
    <t xml:space="preserve">              Cash income tax</t>
  </si>
  <si>
    <t>Net cash change</t>
  </si>
  <si>
    <t xml:space="preserve">     Project cost (fixed capital)</t>
  </si>
  <si>
    <t>WACC =</t>
  </si>
  <si>
    <t>a.</t>
  </si>
  <si>
    <t>b.</t>
  </si>
  <si>
    <t>per month</t>
  </si>
  <si>
    <t>Formula:</t>
  </si>
  <si>
    <t>Dalam hal ini:</t>
  </si>
  <si>
    <t>Income tax rate</t>
  </si>
  <si>
    <t>Knowns:</t>
  </si>
  <si>
    <t>No preferred and common share of capital</t>
  </si>
  <si>
    <t>Debt portion</t>
  </si>
  <si>
    <t>Loan interest rate</t>
  </si>
  <si>
    <t>Then</t>
  </si>
  <si>
    <t>Profit margin:</t>
  </si>
  <si>
    <t xml:space="preserve">     Working capital</t>
  </si>
  <si>
    <t>CUMULATIVE</t>
  </si>
  <si>
    <t>Capital Investment</t>
  </si>
  <si>
    <t>Total capital investment</t>
  </si>
  <si>
    <t>Annex-Projected Income Statement</t>
  </si>
  <si>
    <t>Annex-Projected Cash Flow</t>
  </si>
  <si>
    <t>Structure of Income Statement</t>
  </si>
  <si>
    <t>Beginning inventories</t>
  </si>
  <si>
    <t>Variable production cost</t>
  </si>
  <si>
    <t>Less: Ending inventories</t>
  </si>
  <si>
    <t>Less: Cost of goods sold:</t>
  </si>
  <si>
    <t>xxxxxxx</t>
  </si>
  <si>
    <t>(xxxxxxx)</t>
  </si>
  <si>
    <t>Less: SG &amp; A:</t>
  </si>
  <si>
    <t>Selling expenses</t>
  </si>
  <si>
    <t>General &amp; Administrative expenses</t>
  </si>
  <si>
    <t>Selling, General &amp; Administrative expenses</t>
  </si>
  <si>
    <t>Less: Interest expenses</t>
  </si>
  <si>
    <t>Earning Before Taxes</t>
  </si>
  <si>
    <t>Less: Income tax expenses</t>
  </si>
  <si>
    <t>Gross Profit</t>
  </si>
  <si>
    <t>Net Sales</t>
  </si>
  <si>
    <t>Chemicals</t>
  </si>
  <si>
    <t>Plant overhead:</t>
  </si>
  <si>
    <t>Maintenance &amp; repair</t>
  </si>
  <si>
    <t>Plant depreciation</t>
  </si>
  <si>
    <t>Selling expenses:</t>
  </si>
  <si>
    <t>Typical cost - Sources PT. KKA Budget 2007</t>
  </si>
  <si>
    <t>Insurance (building, vehicles, and finished goods stock)</t>
  </si>
  <si>
    <t>Insurance (building, machine &amp; equipment, vehicles)</t>
  </si>
  <si>
    <t>Services (legal, product distribution &amp; transportation)</t>
  </si>
  <si>
    <t>General &amp; Administrative:</t>
  </si>
  <si>
    <t>Depreciation (building, office, house, vehicles)</t>
  </si>
  <si>
    <t>Insurance (site facilities, vehicles)</t>
  </si>
  <si>
    <t>Services (consultant, legal, audit, bank charge)</t>
  </si>
  <si>
    <t>Laboratorium</t>
  </si>
  <si>
    <t>See KKA budget</t>
  </si>
  <si>
    <t>Recalculate</t>
  </si>
  <si>
    <t>Need to check</t>
  </si>
  <si>
    <t>Administrative (travel, meeting, office supplies, communication, etc)</t>
  </si>
  <si>
    <t>Full or Absorption Costing</t>
  </si>
  <si>
    <t>Production Costs and Operating Expenses</t>
  </si>
  <si>
    <t>Basis:</t>
  </si>
  <si>
    <t>Production costs = Biaya produksi = Costs</t>
  </si>
  <si>
    <t>Operating expenses = Biaya operasi = Biaya non produksi = Expenses</t>
  </si>
  <si>
    <t>Variable cost</t>
  </si>
  <si>
    <t>Tipikal biaya produksi:</t>
  </si>
  <si>
    <t>Bahan baku</t>
  </si>
  <si>
    <t>Utilitas</t>
  </si>
  <si>
    <t>Bahan kemasan</t>
  </si>
  <si>
    <t>Penyusutan fasilitas pabrik</t>
  </si>
  <si>
    <t>Pemeliharaan dan perbaikan peralatan produksi</t>
  </si>
  <si>
    <t>Asuransi fasilitas pabrik</t>
  </si>
  <si>
    <t>Pajak properti pabrik</t>
  </si>
  <si>
    <t>Fixed overhead cost</t>
  </si>
  <si>
    <t>Tipikal biaya operasi:</t>
  </si>
  <si>
    <t>Beginning finished goods inventory</t>
  </si>
  <si>
    <t>Costs of goods produced:</t>
  </si>
  <si>
    <t>Fixed cost (or fixed plant overhead)</t>
  </si>
  <si>
    <t>Costs of goods available for sale</t>
  </si>
  <si>
    <t>xxxx</t>
  </si>
  <si>
    <t>Ending finished goods inventory</t>
  </si>
  <si>
    <t>(xxxx)</t>
  </si>
  <si>
    <t>Costs of goods sold (COGS)</t>
  </si>
  <si>
    <t>Cost of goods available for sale = Harga pokok produksi</t>
  </si>
  <si>
    <t>Cost of goods sold = Harga pokok penjualan</t>
  </si>
  <si>
    <t>Biaya administrasi &amp; umum:</t>
  </si>
  <si>
    <t>Gaji &amp; upah karyawan pabrik</t>
  </si>
  <si>
    <t>Gaji &amp; upah karyawan kantor</t>
  </si>
  <si>
    <t>Penyusutan peralatan &amp; kenderaan kantor</t>
  </si>
  <si>
    <t>Asuransi gedung &amp; kenderaan kantor</t>
  </si>
  <si>
    <t>Perjalanan dinas</t>
  </si>
  <si>
    <t>Office supplies</t>
  </si>
  <si>
    <t>Biaya komunikasi</t>
  </si>
  <si>
    <t>Pajak - pajak</t>
  </si>
  <si>
    <t>Sewa kenderaan &amp; biaya bahan bakar</t>
  </si>
  <si>
    <t>Biaya listrik kantor</t>
  </si>
  <si>
    <t>Biaya rapat</t>
  </si>
  <si>
    <t>Biaya penjualan &amp; pemasaran:</t>
  </si>
  <si>
    <t>Gaji eksekutif perusahaan</t>
  </si>
  <si>
    <t>Gaji &amp; upah karyawan pemasaran/penjualan</t>
  </si>
  <si>
    <t>Biaya pengiriman</t>
  </si>
  <si>
    <t>Biaya promosi</t>
  </si>
  <si>
    <t>Biaya pemasaran</t>
  </si>
  <si>
    <t>Biaya sewa gedung (kantor)</t>
  </si>
  <si>
    <t>Biaya legal</t>
  </si>
  <si>
    <t>Biaya riset &amp; pengembangan</t>
  </si>
  <si>
    <t>Selling, General &amp; Administrative (SG&amp;A):</t>
  </si>
  <si>
    <t>Cost of Goods Sold (COGS):</t>
  </si>
  <si>
    <t>General &amp; Adminstrative expenses</t>
  </si>
  <si>
    <t>Sales revenue</t>
  </si>
  <si>
    <t>Other Income</t>
  </si>
  <si>
    <t>Earning Before Interest &amp; Taxes</t>
  </si>
  <si>
    <t>Interest Expenses</t>
  </si>
  <si>
    <t>Corporate Tax</t>
  </si>
  <si>
    <t>Packaging materials</t>
  </si>
  <si>
    <t>Plant turn around</t>
  </si>
  <si>
    <t>Others (building &amp; heavy vehicles rent, promotion)</t>
  </si>
  <si>
    <t>Maintenance &amp; repair (building, office equipment, site facilities)</t>
  </si>
  <si>
    <t>Rp/USD</t>
  </si>
  <si>
    <t xml:space="preserve">Grand Total </t>
  </si>
  <si>
    <t>as capitalized interest.</t>
  </si>
  <si>
    <t xml:space="preserve">          -----&gt; Matching?</t>
  </si>
  <si>
    <t>Selling, General &amp; Administrative</t>
  </si>
  <si>
    <t xml:space="preserve">   General &amp; Administrative</t>
  </si>
  <si>
    <t xml:space="preserve">   Selling expenses</t>
  </si>
  <si>
    <t xml:space="preserve">              Plant overhead</t>
  </si>
  <si>
    <t xml:space="preserve">              SG &amp; A</t>
  </si>
  <si>
    <t>Rp/kg</t>
  </si>
  <si>
    <t>Semester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</si>
  <si>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</si>
  <si>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</si>
  <si>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</si>
  <si>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</si>
  <si>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</si>
  <si>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</si>
  <si>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</si>
  <si>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</si>
  <si>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</si>
  <si>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</si>
  <si>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</si>
  <si>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</si>
  <si>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Cash Usage</t>
  </si>
  <si>
    <t>+1</t>
  </si>
  <si>
    <t>Rp</t>
  </si>
  <si>
    <t>Overhead</t>
  </si>
  <si>
    <t>% per year (Bank Aceh rate)</t>
  </si>
  <si>
    <t>Rp, proposed as "working capital sheet"</t>
  </si>
  <si>
    <t>Rp/year</t>
  </si>
  <si>
    <t>in Rupiah (Rp)</t>
  </si>
  <si>
    <t>Yearly average, Rp =</t>
  </si>
  <si>
    <t>in Rupiah (Rp, millions)</t>
  </si>
  <si>
    <t>Perhitungan cost of equity:</t>
  </si>
  <si>
    <t>(1). Metode Capital Asset Pricing Model (CAPM)</t>
  </si>
  <si>
    <t>(2). Metode dividen saham (constant growth valuation model)</t>
  </si>
  <si>
    <t>(3). Metode Edward Bell Ohlson model</t>
  </si>
  <si>
    <t>Ada 4 metode:</t>
  </si>
  <si>
    <t>(4). Pendekatan investasi bebas risiko plus premi risiko</t>
  </si>
  <si>
    <t xml:space="preserve">Rumus metode (4): </t>
  </si>
  <si>
    <t>Cost of equity = Imbal hasil bebas risiko + premi risiko</t>
  </si>
  <si>
    <t xml:space="preserve">  Dapat diambil pertimbangan contoh SBN atau SBR yang mendapat jaminan dari</t>
  </si>
  <si>
    <t xml:space="preserve">  Pemerintah (misal 7%).</t>
  </si>
  <si>
    <t>- Imbal hasil bebas risiko (risk free rate):</t>
  </si>
  <si>
    <t>- Premi risiko (risk premium):</t>
  </si>
  <si>
    <t xml:space="preserve">  Merupakan sejumlah uang/modal yang rela dilepaskan oleh pengambil keputusan</t>
  </si>
  <si>
    <t xml:space="preserve">  untuk dapat menghindari risiko dari suatu kejadian tidak pasti yang dihadapi.</t>
  </si>
  <si>
    <t xml:space="preserve">  Angka premi risiko akan sangat berbeda tergantung terhadap risiko yang timbul dari </t>
  </si>
  <si>
    <t xml:space="preserve">  variabel yang dipertimbangkan. Sebagai contoh, dari website diperoleh  Indonesia</t>
  </si>
  <si>
    <t xml:space="preserve">  memiliki risk premium sebesar 8.03%.</t>
  </si>
  <si>
    <t>Risk free rate =</t>
  </si>
  <si>
    <t>Mature market risk premium =</t>
  </si>
  <si>
    <t>Country risk premium =</t>
  </si>
  <si>
    <t>5.30%</t>
  </si>
  <si>
    <t>5.16%</t>
  </si>
  <si>
    <t>7.08%</t>
  </si>
  <si>
    <t>WACC = Equity portion*Cost of equity</t>
  </si>
  <si>
    <t>Equity portion</t>
  </si>
  <si>
    <t>Risk free rate</t>
  </si>
  <si>
    <t>Risk premium</t>
  </si>
  <si>
    <t>Assume</t>
  </si>
  <si>
    <t>Cost of equity</t>
  </si>
  <si>
    <t>Rp (excluded IDP)</t>
  </si>
  <si>
    <t>%/year</t>
  </si>
  <si>
    <t>Gudang Asal</t>
  </si>
  <si>
    <t>TUJUAN KIRIMAN</t>
  </si>
  <si>
    <t>VOLUME / KOLI</t>
  </si>
  <si>
    <t>Berat (Tonase)</t>
  </si>
  <si>
    <t>Berat (Kg)</t>
  </si>
  <si>
    <t>Biaya Truking</t>
  </si>
  <si>
    <t>Bongkar Muat</t>
  </si>
  <si>
    <t>Biaya Administrasi</t>
  </si>
  <si>
    <t>Biaya Lain-lain</t>
  </si>
  <si>
    <t>Jumlah Biaya Dasar</t>
  </si>
  <si>
    <t>Cost Of Fund</t>
  </si>
  <si>
    <t>Total Beban</t>
  </si>
  <si>
    <t>Margin Kotor</t>
  </si>
  <si>
    <t>Tarif Dasar</t>
  </si>
  <si>
    <t>Ppn Pos</t>
  </si>
  <si>
    <t>Penawaran</t>
  </si>
  <si>
    <t>GD. Kr. Geukueh Aceh Utara</t>
  </si>
  <si>
    <t>Banda Aceh / Aceh Besar</t>
  </si>
  <si>
    <t>Pidie</t>
  </si>
  <si>
    <t>Pidie Jaya</t>
  </si>
  <si>
    <t>Bireun</t>
  </si>
  <si>
    <t>Lhokseumawe</t>
  </si>
  <si>
    <t>Aceh Utara</t>
  </si>
  <si>
    <t>Aceh Timur / Langsa</t>
  </si>
  <si>
    <t>Aceh Tamiang</t>
  </si>
  <si>
    <t>Aceh Tengah</t>
  </si>
  <si>
    <t>Bener Meriah</t>
  </si>
  <si>
    <t>Aceh Jaya</t>
  </si>
  <si>
    <t>Aceh Barat</t>
  </si>
  <si>
    <t>Nagan Raya</t>
  </si>
  <si>
    <t>Aceh Barat Daya</t>
  </si>
  <si>
    <t>Aceh Selatan</t>
  </si>
  <si>
    <t>Subulussalam</t>
  </si>
  <si>
    <t>Singkil</t>
  </si>
  <si>
    <t>Aceh Tenggara</t>
  </si>
  <si>
    <t>Gayo Lues</t>
  </si>
  <si>
    <t>Sabang</t>
  </si>
  <si>
    <t>Simeulue</t>
  </si>
  <si>
    <t>Pekanbaru</t>
  </si>
  <si>
    <t>Padang</t>
  </si>
  <si>
    <t>Jarak Tempuh (KM)</t>
  </si>
  <si>
    <t>Selected market area</t>
  </si>
  <si>
    <t>Sales quantity, ton</t>
  </si>
  <si>
    <t>Plant site - Indrapuri</t>
  </si>
  <si>
    <t>See TransportReference sheet</t>
  </si>
  <si>
    <t>- Aceh Jaya</t>
  </si>
  <si>
    <t>- Aceh Barat</t>
  </si>
  <si>
    <t>- Nagan Raya</t>
  </si>
  <si>
    <t>- Aceh Barat (Meulaboh city)</t>
  </si>
  <si>
    <t>- Aceh Jaya (Lamno city)</t>
  </si>
  <si>
    <t>- Nagan Raya (Jeuram city)</t>
  </si>
  <si>
    <t>Original Port</t>
  </si>
  <si>
    <t>Destination Port</t>
  </si>
  <si>
    <t>Distance</t>
  </si>
  <si>
    <t>Rate (Rp/kg)</t>
  </si>
  <si>
    <t>Rate (Rp/kg/KM)</t>
  </si>
  <si>
    <t>Distance, KM</t>
  </si>
  <si>
    <t>Distance of destination:</t>
  </si>
  <si>
    <t>Original port</t>
  </si>
  <si>
    <t>Destination port:</t>
  </si>
  <si>
    <t>- Banda Aceh / Aceh Besar</t>
  </si>
  <si>
    <t>- Pidie</t>
  </si>
  <si>
    <t>- Pidie Jaya</t>
  </si>
  <si>
    <t>- Bireun</t>
  </si>
  <si>
    <t>- Lhokseumawe</t>
  </si>
  <si>
    <t>- Aceh Utara</t>
  </si>
  <si>
    <t>- Aceh Timur</t>
  </si>
  <si>
    <t>- Aceh Tamiang</t>
  </si>
  <si>
    <t>- Aceh Tengah</t>
  </si>
  <si>
    <t>- Bener Meriah</t>
  </si>
  <si>
    <t>- Aceh Barat Daya</t>
  </si>
  <si>
    <t>- Aceh Selatan</t>
  </si>
  <si>
    <t>- Subulussalam</t>
  </si>
  <si>
    <t>- Singkil</t>
  </si>
  <si>
    <t>- Aceh Tenggara</t>
  </si>
  <si>
    <t>- Gayo Lues</t>
  </si>
  <si>
    <t>- Sabang</t>
  </si>
  <si>
    <t>- Simeulue</t>
  </si>
  <si>
    <t>- Pekanbaru</t>
  </si>
  <si>
    <t>- Padang</t>
  </si>
  <si>
    <t>Year-1, Semester II</t>
  </si>
  <si>
    <t>Months (during initial production stage)</t>
  </si>
  <si>
    <t xml:space="preserve">     Add: Amortization</t>
  </si>
  <si>
    <t xml:space="preserve">  Amortization</t>
  </si>
  <si>
    <t>Freight or Transportation Cost</t>
  </si>
  <si>
    <t>Freight or Transportation, Rp</t>
  </si>
  <si>
    <t>Freight cost (total)</t>
  </si>
  <si>
    <t>Kilo meter</t>
  </si>
  <si>
    <t>Rp/kg/KM</t>
  </si>
  <si>
    <t>KM</t>
  </si>
  <si>
    <t>Method (4)</t>
  </si>
  <si>
    <t>Average</t>
  </si>
  <si>
    <t>Loan interest during initial production stage is capitalized into the principal of loan and known</t>
  </si>
  <si>
    <t>Transportation Cost - Refer to POSLOG offering proposal</t>
  </si>
  <si>
    <t>Year +1</t>
  </si>
  <si>
    <t>I</t>
  </si>
  <si>
    <t>Self-financing</t>
  </si>
  <si>
    <t>Rp (see "capital investment sheet")</t>
  </si>
  <si>
    <t>Rp (see CapitalInvestment and LoanInterest sheets")</t>
  </si>
  <si>
    <t>% (see "CapitalInvestment sheet")</t>
  </si>
  <si>
    <t>Present Value for Profitability Index Calculation</t>
  </si>
  <si>
    <t>Source of Capital</t>
  </si>
  <si>
    <t>Portion</t>
  </si>
  <si>
    <t>Total Salary</t>
  </si>
  <si>
    <t>TOTAL</t>
  </si>
  <si>
    <t>- Salary &amp; Wages</t>
  </si>
  <si>
    <t>1.</t>
  </si>
  <si>
    <t>Basic Study</t>
  </si>
  <si>
    <t>Financial performance:</t>
  </si>
  <si>
    <t>- NPV</t>
  </si>
  <si>
    <t>- IRR</t>
  </si>
  <si>
    <t>- Profitability index</t>
  </si>
  <si>
    <t>- Payback period</t>
  </si>
  <si>
    <t>- Gross profit margin (GPM)</t>
  </si>
  <si>
    <t>- Net profit margin (NPM)</t>
  </si>
  <si>
    <t>Proyeksi Perubahan Modal (ekuitas)</t>
  </si>
  <si>
    <t>Tahun</t>
  </si>
  <si>
    <t>Catatan:</t>
  </si>
  <si>
    <t>Laba Operasi</t>
  </si>
  <si>
    <t>Laba Sebelum Pajak Penghasilan Badan</t>
  </si>
  <si>
    <t>Laba Bersih</t>
  </si>
  <si>
    <t>Proyeksi Laba/(rugi)</t>
  </si>
  <si>
    <t>Proyeksi Arus Kas</t>
  </si>
  <si>
    <t>Metode langsung</t>
  </si>
  <si>
    <t>Arus kas dari aktivitas operasi:</t>
  </si>
  <si>
    <t xml:space="preserve">     Penerimaan kas dari pelanggan</t>
  </si>
  <si>
    <t xml:space="preserve">      (-): Pembayaran/pelunasan untuk:</t>
  </si>
  <si>
    <t xml:space="preserve">            Pajak penghasilan badan</t>
  </si>
  <si>
    <t>Arus kas bersih dari aktivitas operasi</t>
  </si>
  <si>
    <t>Arus kas dari aktivitas investasi:</t>
  </si>
  <si>
    <t xml:space="preserve">     Penerimaan kas untuk modal investasi tetap</t>
  </si>
  <si>
    <t xml:space="preserve">     Penerimaan kas untuk modal kerja</t>
  </si>
  <si>
    <t>Arus kas bersih untuk aktivitas investasi</t>
  </si>
  <si>
    <t>Arus kas dari aktivitas pendanaan:</t>
  </si>
  <si>
    <t xml:space="preserve">     Pengeluaran untuk modal investasi tetap</t>
  </si>
  <si>
    <t xml:space="preserve">     Pelunasan pinjaman pokok</t>
  </si>
  <si>
    <t xml:space="preserve">     Pembayaran bunga pinjaman</t>
  </si>
  <si>
    <t>Arus kas bersih untuk aktivitas pendanaan</t>
  </si>
  <si>
    <t>Kenaikan/(penurunan) bersih kas</t>
  </si>
  <si>
    <t>Saldo kas awal tahun</t>
  </si>
  <si>
    <r>
      <t>years since commercial production start</t>
    </r>
    <r>
      <rPr>
        <vertAlign val="superscript"/>
        <sz val="8"/>
        <color theme="1"/>
        <rFont val="Calibri"/>
        <family val="2"/>
        <scheme val="minor"/>
      </rPr>
      <t xml:space="preserve"> (3)</t>
    </r>
  </si>
  <si>
    <t>Asumsi</t>
  </si>
  <si>
    <t>Financial Pre-Feasibility Study</t>
  </si>
  <si>
    <t>Umum</t>
  </si>
  <si>
    <t>bulan/tahun</t>
  </si>
  <si>
    <t>tahun</t>
  </si>
  <si>
    <t>Nilai tukar mata uang</t>
  </si>
  <si>
    <t>Umur bisnis</t>
  </si>
  <si>
    <t>Finansial</t>
  </si>
  <si>
    <t>Total modal investasi (TCI)</t>
  </si>
  <si>
    <t>Modal investasi tetap (FCI)</t>
  </si>
  <si>
    <t>Modal kerja (WCI)</t>
  </si>
  <si>
    <t>Bunga pinjaman masa konstruksi pabrik (IDC)</t>
  </si>
  <si>
    <t>Modal pinjaman</t>
  </si>
  <si>
    <t>Modal sendiri (ekuitas)</t>
  </si>
  <si>
    <t>Bunga pinjaman</t>
  </si>
  <si>
    <t>Masa pembayaran pinjaman (tenor)</t>
  </si>
  <si>
    <t>Masa tangguhan pembayaran pinjaman (grace period)</t>
  </si>
  <si>
    <t>Laju inflasi</t>
  </si>
  <si>
    <t>Depresiasi/amortisasi</t>
  </si>
  <si>
    <t>Pajak pertambahan nilai (Value Added Tax, VAT)</t>
  </si>
  <si>
    <t>Pajak badan (corporate tax)</t>
  </si>
  <si>
    <t>Laba Operasi (Earning Before Tax &amp; Interest, EBIT)</t>
  </si>
  <si>
    <t>A</t>
  </si>
  <si>
    <t>C</t>
  </si>
  <si>
    <t>Beban Pajak Penghasilan Badan (Corporate Tax Expenses)</t>
  </si>
  <si>
    <t>Amortisasi atau Depresiasi</t>
  </si>
  <si>
    <t>F=D+E</t>
  </si>
  <si>
    <t>H=fd*F</t>
  </si>
  <si>
    <t>I=fd*F</t>
  </si>
  <si>
    <t>Ʃ(J)</t>
  </si>
  <si>
    <t>Operasional</t>
  </si>
  <si>
    <t>Analisis Sensitivitas</t>
  </si>
  <si>
    <t>Modal Investasi dan Pengeluarannya (draw-down)</t>
  </si>
  <si>
    <t>Modal investasi tetap (FCI):</t>
  </si>
  <si>
    <t>Bunga pinjaman masa pra-operasional(IDC)</t>
  </si>
  <si>
    <t>Modal Investasi</t>
  </si>
  <si>
    <t>Pengeluaran Modal Investasi</t>
  </si>
  <si>
    <t>Modal Kerja</t>
  </si>
  <si>
    <t>Bulan</t>
  </si>
  <si>
    <t>Modal kerja:</t>
  </si>
  <si>
    <t>Saldo Awal</t>
  </si>
  <si>
    <t>Saldo Akhir</t>
  </si>
  <si>
    <t>Ringkasan</t>
  </si>
  <si>
    <t>Dalam satuan rupiah (Rp)</t>
  </si>
  <si>
    <t>Dalam stuan rupiah (Rp)</t>
  </si>
  <si>
    <t>Gaji &amp; Upah</t>
  </si>
  <si>
    <t>Beban Penjualan, Umum dan Administrasi</t>
  </si>
  <si>
    <t>Rp/tahun</t>
  </si>
  <si>
    <t>Gaji dan Upah</t>
  </si>
  <si>
    <t>Pinjaman dan Bunga Pinjaman</t>
  </si>
  <si>
    <t>Pencairan pinjaman</t>
  </si>
  <si>
    <t>a. Bunga penjaman</t>
  </si>
  <si>
    <t>b. Masa pengembalian pinjaman</t>
  </si>
  <si>
    <t>c. Tangguhan pengembalian pinjaman</t>
  </si>
  <si>
    <t>d. Nilai tukar</t>
  </si>
  <si>
    <t>Bunga masa pra-operasional (IDC):</t>
  </si>
  <si>
    <t>Penggunaan Pinjaman (loan drawdown)</t>
  </si>
  <si>
    <t>Saldo pinjaman awal tahun</t>
  </si>
  <si>
    <t>Pembayaran Pokok Pinjaman (Loan Payment)</t>
  </si>
  <si>
    <t>Saldo pinjaman akhir tahun</t>
  </si>
  <si>
    <t>Bunga Pinjaman (Interest Owned)</t>
  </si>
  <si>
    <t>Pembayaran Bunga Pinjaman (Interest Payment)</t>
  </si>
  <si>
    <t>Amortisasi</t>
  </si>
  <si>
    <t>Amortisasi/Depresiasi</t>
  </si>
  <si>
    <t>Depresiasi/amortisasi tahunan</t>
  </si>
  <si>
    <t>Periode depresiasi/amortisasi</t>
  </si>
  <si>
    <t>Bagi Hasil (Dividen)</t>
  </si>
  <si>
    <t>a. PEMA</t>
  </si>
  <si>
    <t>b. Mitra</t>
  </si>
  <si>
    <t>D=A-B+C</t>
  </si>
  <si>
    <t>COGS</t>
  </si>
  <si>
    <t xml:space="preserve">   Saldo laba ditahan</t>
  </si>
  <si>
    <t>Perubahan Saldo</t>
  </si>
  <si>
    <t>Catatan</t>
  </si>
  <si>
    <t xml:space="preserve">   Jumlah saldo awal</t>
  </si>
  <si>
    <t xml:space="preserve">   Modal disetor</t>
  </si>
  <si>
    <t xml:space="preserve">   Modal disetor:</t>
  </si>
  <si>
    <t xml:space="preserve">   - Tambahan setoran modal</t>
  </si>
  <si>
    <t xml:space="preserve">   Saldo laba ditahan:</t>
  </si>
  <si>
    <t xml:space="preserve">   Laba ditahan</t>
  </si>
  <si>
    <t xml:space="preserve">   Jumlah saldo akhir</t>
  </si>
  <si>
    <t xml:space="preserve">   - Penarikan modal yang disetor</t>
  </si>
  <si>
    <t xml:space="preserve">   - Perubahan modal disetor</t>
  </si>
  <si>
    <t xml:space="preserve">   - Laba bersih tahun berjalan</t>
  </si>
  <si>
    <t xml:space="preserve">   - Dividen kas</t>
  </si>
  <si>
    <t xml:space="preserve">   - Laba ditahan tahun berjalan</t>
  </si>
  <si>
    <t>Valuasi Investasi_JO</t>
  </si>
  <si>
    <t>Keuangan</t>
  </si>
  <si>
    <t>Dalam satuan ribu rupiah (Rp, ribu)</t>
  </si>
  <si>
    <t xml:space="preserve">   </t>
  </si>
  <si>
    <t/>
  </si>
  <si>
    <t>Present Value</t>
  </si>
  <si>
    <t>Future Value</t>
  </si>
  <si>
    <t>Present and Future Values of Cash Flow for MIRR calculation</t>
  </si>
  <si>
    <t>Present Value Cash Outflow 
(PVCF)</t>
  </si>
  <si>
    <t>Compound Rate</t>
  </si>
  <si>
    <t>Future Value Cash Inflow 
(FVCF)</t>
  </si>
  <si>
    <t>cr</t>
  </si>
  <si>
    <t>MIRR calculations:</t>
  </si>
  <si>
    <t>Present value cash out flow, PVCF</t>
  </si>
  <si>
    <t>Future value cash inflow, FVCF</t>
  </si>
  <si>
    <t>Cost of capital</t>
  </si>
  <si>
    <t>Project life</t>
  </si>
  <si>
    <t>Cost of Capital =</t>
  </si>
  <si>
    <t>I=fd*E</t>
  </si>
  <si>
    <t>J=cr*D</t>
  </si>
  <si>
    <t>Perhitungan Waktu balik modal :</t>
  </si>
  <si>
    <t>Tahun sebelum balik modal yang di diskontokan terjadi</t>
  </si>
  <si>
    <t>Kumulatif Cash flow sebelum balik modal</t>
  </si>
  <si>
    <t>Discounted cash flow setelah balik modal</t>
  </si>
  <si>
    <t>Waktu Balik Modal (Payback Period)</t>
  </si>
  <si>
    <t>Perhitungan indeks profitabilitas :</t>
  </si>
  <si>
    <t>Cumulative discounted free cash inflow</t>
  </si>
  <si>
    <t>Cumulative discounted free cash outflow</t>
  </si>
  <si>
    <t>Cost of Capital</t>
  </si>
  <si>
    <t>Modified IRR</t>
  </si>
  <si>
    <t>Modal diterima (cash received)</t>
  </si>
  <si>
    <t>- MIRR</t>
  </si>
  <si>
    <t>Perubahan terhadap basis</t>
  </si>
  <si>
    <t>Periode penyewaan</t>
  </si>
  <si>
    <t>Kg/tahun</t>
  </si>
  <si>
    <t>Security</t>
  </si>
  <si>
    <t>Teknisi</t>
  </si>
  <si>
    <t>Leader Production</t>
  </si>
  <si>
    <t>kg/tahun</t>
  </si>
  <si>
    <t>Usage rate</t>
  </si>
  <si>
    <t>Unit price</t>
  </si>
  <si>
    <t>orang</t>
  </si>
  <si>
    <t>Rp/bulan</t>
  </si>
  <si>
    <t>Retribusi Parkir</t>
  </si>
  <si>
    <t>Sanitasi</t>
  </si>
  <si>
    <t>Maintenance</t>
  </si>
  <si>
    <t>- Retribusi Parkir</t>
  </si>
  <si>
    <t>- Konsumsi</t>
  </si>
  <si>
    <t>rooms</t>
  </si>
  <si>
    <t>Rp/kWh</t>
  </si>
  <si>
    <t xml:space="preserve">              + Debt portion*After tax cost of debt</t>
  </si>
  <si>
    <t>Perhitungan:</t>
  </si>
  <si>
    <t>Cost of capital (discount rate)</t>
  </si>
  <si>
    <t>% per tahun (see "Costofcapital" sheet)</t>
  </si>
  <si>
    <t>Nilai Satuan</t>
  </si>
  <si>
    <t>a. Gaji pekerja/buruh</t>
  </si>
  <si>
    <t xml:space="preserve">    - Plastik</t>
  </si>
  <si>
    <t xml:space="preserve">    - Tali</t>
  </si>
  <si>
    <t xml:space="preserve">    - Goni</t>
  </si>
  <si>
    <t>kg/bulan</t>
  </si>
  <si>
    <t xml:space="preserve">    - Freon</t>
  </si>
  <si>
    <t xml:space="preserve">    - Blower</t>
  </si>
  <si>
    <t xml:space="preserve">    - Mesin</t>
  </si>
  <si>
    <t xml:space="preserve">    - Oli</t>
  </si>
  <si>
    <t xml:space="preserve">    - Gedung</t>
  </si>
  <si>
    <t>Rp/kotak</t>
  </si>
  <si>
    <t>sertifikat/bulan</t>
  </si>
  <si>
    <t>paket/bulan</t>
  </si>
  <si>
    <t>Rp/sertifikat</t>
  </si>
  <si>
    <t>Rp/paket</t>
  </si>
  <si>
    <t>- Bongkar Muat</t>
  </si>
  <si>
    <t>d. Es (ice)</t>
  </si>
  <si>
    <t>Rp/kg ikan/tim</t>
  </si>
  <si>
    <t>tim (25 prs/tim)</t>
  </si>
  <si>
    <t>tim</t>
  </si>
  <si>
    <t>IDR/number</t>
  </si>
  <si>
    <t>Hari kerja</t>
  </si>
  <si>
    <t>hari/bulan (kegiatan proses pembekuan oleh pekerja)</t>
  </si>
  <si>
    <t>Charge rate (tarif pemrosesan ikan)</t>
  </si>
  <si>
    <t>Kenaikan charge rate</t>
  </si>
  <si>
    <t>% per tahun</t>
  </si>
  <si>
    <t>The sections are:</t>
  </si>
  <si>
    <t>The unit consists of 2 sections, which 2 rooms for each section.</t>
  </si>
  <si>
    <t>a. Freezing section or Air Blast Freezer (ABF) with the capacity of 4 tons per section, and</t>
  </si>
  <si>
    <t>b. Cold storage with the capacity of 100 tons per section.</t>
  </si>
  <si>
    <t>About Intergrated Cold Storage (ICS):</t>
  </si>
  <si>
    <t>The electricity consumption is given as the following:</t>
  </si>
  <si>
    <t>a. Freezing section:</t>
  </si>
  <si>
    <t xml:space="preserve">    - 50 ampere per room</t>
  </si>
  <si>
    <t xml:space="preserve">    - 60 ampere per room</t>
  </si>
  <si>
    <t>hr/day</t>
  </si>
  <si>
    <t>V</t>
  </si>
  <si>
    <t>Ampere/room</t>
  </si>
  <si>
    <t xml:space="preserve">    - 3 phase, 380 volt</t>
  </si>
  <si>
    <t xml:space="preserve">    - Duration</t>
  </si>
  <si>
    <t xml:space="preserve">    - Voltage (3 phase)</t>
  </si>
  <si>
    <t xml:space="preserve">    - Current</t>
  </si>
  <si>
    <t>Freezing Section</t>
  </si>
  <si>
    <t>Cold Storage Section</t>
  </si>
  <si>
    <t>Pendapatan Penjualan (Revenue)</t>
  </si>
  <si>
    <t>Quality Control</t>
  </si>
  <si>
    <t>Sheet Classification</t>
  </si>
  <si>
    <t>Operasional ICS</t>
  </si>
  <si>
    <t>Umum &amp; ADM</t>
  </si>
  <si>
    <t>(akun), yaitu:</t>
  </si>
  <si>
    <t xml:space="preserve">Gaji/upah diklasifikasikan atas 2 pos pengeluaran </t>
  </si>
  <si>
    <t>1). Pos pengeluaran beban terkait operasional ICS</t>
  </si>
  <si>
    <t>2). Pos pengeluaran beban terkait umum dan</t>
  </si>
  <si>
    <t xml:space="preserve">     administrasi.</t>
  </si>
  <si>
    <t>c.</t>
  </si>
  <si>
    <t>d.</t>
  </si>
  <si>
    <t>e.</t>
  </si>
  <si>
    <t>Gaji/upah</t>
  </si>
  <si>
    <t>Alat Tulis Kantor (ATK)</t>
  </si>
  <si>
    <t>Konsumsi (lunch)</t>
  </si>
  <si>
    <t>- Alat tulis kantor (ATK)</t>
  </si>
  <si>
    <t>See Salary sheet</t>
  </si>
  <si>
    <t>See Assumption sheet</t>
  </si>
  <si>
    <t>Besaran beban di atas untuk tahun pertama operasional.</t>
  </si>
  <si>
    <t>Es (ice)</t>
  </si>
  <si>
    <t>f.</t>
  </si>
  <si>
    <t>Pengemasan (packaging)</t>
  </si>
  <si>
    <t>Listrik</t>
  </si>
  <si>
    <t>g.</t>
  </si>
  <si>
    <t>Salary sheet</t>
  </si>
  <si>
    <t>Assumption sheet</t>
  </si>
  <si>
    <t>- Es (ice)</t>
  </si>
  <si>
    <t>- Pengemasan (packaging)</t>
  </si>
  <si>
    <t>- Perbaikan (maintenance)</t>
  </si>
  <si>
    <t>- Listrik</t>
  </si>
  <si>
    <t>Pendapatan Usaha</t>
  </si>
  <si>
    <t>Beban Bunga Pinjaman</t>
  </si>
  <si>
    <t>Net Profit Margin, NPM</t>
  </si>
  <si>
    <t>Gross Profit Margin, GPM</t>
  </si>
  <si>
    <t>1. Margin laba kotor: ((pendapatan total – harga pokok penjualan) : pendapatan total) x 100.</t>
  </si>
  <si>
    <t>2. Margin Laba Bersih = ((Pendapatan – (HPP + biaya operasional + bunga + pajak + biaya lain) : Pendapatan) x 100.</t>
  </si>
  <si>
    <t>Data:</t>
  </si>
  <si>
    <t>Perhitungan Marjin Laba Kotor dan Marjin Laba Bersih:</t>
  </si>
  <si>
    <t>Cost of Services Sold</t>
  </si>
  <si>
    <t>Beban penjualan, umum dan administrasi atau Selling, General and Administrative</t>
  </si>
  <si>
    <t>(SG&amp;A) yang tidak terkait langsung dengan operasional ICS. Beban ini terdiri dari:</t>
  </si>
  <si>
    <t>Harga Pokok Penjualan Layanan</t>
  </si>
  <si>
    <t>3. Harga Pokok Penjualan Layanan = Cost of Services Sold (COSS).</t>
  </si>
  <si>
    <t>Laba Kotor</t>
  </si>
  <si>
    <t>Beban Pajak Penghasilan Badan</t>
  </si>
  <si>
    <t>Selling, General &amp; Administrative Expenses</t>
  </si>
  <si>
    <t>Beban Penjualan, Umum &amp; Administrasi</t>
  </si>
  <si>
    <t>Operating Income</t>
  </si>
  <si>
    <t>Earnings Before Tax</t>
  </si>
  <si>
    <t>Revenue</t>
  </si>
  <si>
    <t>Supply</t>
  </si>
  <si>
    <t>Akumulasi</t>
  </si>
  <si>
    <t>Delivery</t>
  </si>
  <si>
    <t>Sisa di Cool Room</t>
  </si>
  <si>
    <t>Simulasi Supply, Processing dan Delivery</t>
  </si>
  <si>
    <t>Date</t>
  </si>
  <si>
    <t>Basis Case, tons</t>
  </si>
  <si>
    <t>Maximum Case, tons</t>
  </si>
  <si>
    <t>Minimum Case, tons</t>
  </si>
  <si>
    <t>Moderate Case, tons</t>
  </si>
  <si>
    <t>Storing Q'ty</t>
  </si>
  <si>
    <t>Delivery Freq.</t>
  </si>
  <si>
    <t>Modified internal rate of return, MIRR</t>
  </si>
  <si>
    <t>Tahun (End of Year)</t>
  </si>
  <si>
    <t>a. PVCF = Cash for investment</t>
  </si>
  <si>
    <t>b. FVCF = Cash to be distributed</t>
  </si>
  <si>
    <t>SG &amp; A</t>
  </si>
  <si>
    <t>Corporate Income Tax</t>
  </si>
  <si>
    <t>a. Gross profit margin (GPM)</t>
  </si>
  <si>
    <t>b. Net profit margin (NPM)</t>
  </si>
  <si>
    <t>Volume ikan diproses</t>
  </si>
  <si>
    <t>Charge rate</t>
  </si>
  <si>
    <t>2.</t>
  </si>
  <si>
    <t>Basic</t>
  </si>
  <si>
    <t>Minimum</t>
  </si>
  <si>
    <t>Moderate</t>
  </si>
  <si>
    <t>Maximum</t>
  </si>
  <si>
    <t>Working capital</t>
  </si>
  <si>
    <t>Rp, juta</t>
  </si>
  <si>
    <t>ton/bulan</t>
  </si>
  <si>
    <t xml:space="preserve">            Cost of Services Sold</t>
  </si>
  <si>
    <t xml:space="preserve">            Beban Penjualan, Umum &amp; ADM</t>
  </si>
  <si>
    <t>COSS dan SG&amp;A</t>
  </si>
  <si>
    <t>COSS</t>
  </si>
  <si>
    <t>SG&amp;A</t>
  </si>
  <si>
    <t>h.</t>
  </si>
  <si>
    <t>Beban kontribusi</t>
  </si>
  <si>
    <t>Beban Kontribusi</t>
  </si>
  <si>
    <t>Basic Theory</t>
  </si>
  <si>
    <t>Calculations:</t>
  </si>
  <si>
    <t>Indonesia data (2 February 2016)</t>
  </si>
  <si>
    <t>Hence:</t>
  </si>
  <si>
    <t>Cost of Services Sold (excl. contribution cost)</t>
  </si>
  <si>
    <t>Contribution Cost</t>
  </si>
  <si>
    <t>Terms of payment by customer at product outflow</t>
  </si>
  <si>
    <t>Salary/wages</t>
  </si>
  <si>
    <t>Block ice</t>
  </si>
  <si>
    <t>Contribution expenses</t>
  </si>
  <si>
    <t>Lunch</t>
  </si>
  <si>
    <t>Parking fee</t>
  </si>
  <si>
    <t>Interest expenses</t>
  </si>
  <si>
    <t>Income tax</t>
  </si>
  <si>
    <t>Expenses:</t>
  </si>
  <si>
    <t>-</t>
  </si>
  <si>
    <t>Cost of Services Sold (COSS) merupaka beban yang terkait langsung dengan kegiatan operasional ICS.</t>
  </si>
  <si>
    <t>kg/kg ikan</t>
  </si>
  <si>
    <t>- Tali</t>
  </si>
  <si>
    <t>- Goni</t>
  </si>
  <si>
    <t>- Duration</t>
  </si>
  <si>
    <t>- Voltage (3 phase)</t>
  </si>
  <si>
    <t>- Current</t>
  </si>
  <si>
    <t>- No. room usage</t>
  </si>
  <si>
    <t>kWh</t>
  </si>
  <si>
    <t>h. Listrik:</t>
  </si>
  <si>
    <t>i. Beban kontribusi untuk pemilik unit</t>
  </si>
  <si>
    <t>j. Konsumsi (Makan Siang)</t>
  </si>
  <si>
    <t>k. Retribusi Parkir</t>
  </si>
  <si>
    <t>Kapasitas pemrosesan</t>
  </si>
  <si>
    <t>m. Alat Tulis Kantor (ATK)</t>
  </si>
  <si>
    <t xml:space="preserve">    - No. room usage (fungsi kapasitas ruang)</t>
  </si>
  <si>
    <r>
      <t xml:space="preserve">Kg/bulan </t>
    </r>
    <r>
      <rPr>
        <vertAlign val="superscript"/>
        <sz val="8"/>
        <color theme="1"/>
        <rFont val="Calibri"/>
        <family val="2"/>
        <scheme val="minor"/>
      </rPr>
      <t>(1)</t>
    </r>
  </si>
  <si>
    <t>-----&gt; Tanpa revitalisasi, kapasitas olahan</t>
  </si>
  <si>
    <t xml:space="preserve">          maksimum …......... Ton.</t>
  </si>
  <si>
    <t>ton/hari</t>
  </si>
  <si>
    <t>Air bersih:</t>
  </si>
  <si>
    <t>Rp/m3</t>
  </si>
  <si>
    <t>Harga</t>
  </si>
  <si>
    <t>Konsumsi</t>
  </si>
  <si>
    <t>Ikan</t>
  </si>
  <si>
    <t>Tagihan bulanan</t>
  </si>
  <si>
    <t>kg/ton ikan</t>
  </si>
  <si>
    <t>m3/ton ikan</t>
  </si>
  <si>
    <t>m3/bulan</t>
  </si>
  <si>
    <t>Harga air (truck)</t>
  </si>
  <si>
    <t>kWh/bulan</t>
  </si>
  <si>
    <t>- Daily consumption teoritis</t>
  </si>
  <si>
    <t>Perhitungan spesific consumption:</t>
  </si>
  <si>
    <t>Bila:</t>
  </si>
  <si>
    <t>Konsumsi air</t>
  </si>
  <si>
    <t>Konsumsi garam</t>
  </si>
  <si>
    <t>Harga per unit</t>
  </si>
  <si>
    <t>Komisaris Utama</t>
  </si>
  <si>
    <t>Komisaris</t>
  </si>
  <si>
    <t>Direktur Utama</t>
  </si>
  <si>
    <t>Direktur</t>
  </si>
  <si>
    <t>n. Beban promosi</t>
  </si>
  <si>
    <t>paket/tahun</t>
  </si>
  <si>
    <t>Beban Promosi</t>
  </si>
  <si>
    <t>Beban promosi</t>
  </si>
  <si>
    <t>l. Health Certificate (fish)</t>
  </si>
  <si>
    <t>Garam - untuk pencucian ikan tahap I:</t>
  </si>
  <si>
    <t>kg/m3 air (std air laut)</t>
  </si>
  <si>
    <t>Raw material (fish) processing</t>
  </si>
  <si>
    <t>- Beban Promosi</t>
  </si>
  <si>
    <t>Rp/month</t>
  </si>
  <si>
    <t xml:space="preserve">    - Price rate (golongan B-2/TR, Oct-Dec 2023)</t>
  </si>
  <si>
    <t>b. Air bersih (truck)</t>
  </si>
  <si>
    <t>Air bersih</t>
  </si>
  <si>
    <t>Air Bersih</t>
  </si>
  <si>
    <t>Garam</t>
  </si>
  <si>
    <t>kWh/day</t>
  </si>
  <si>
    <t>kg/m3 air bersih</t>
  </si>
  <si>
    <t>THR</t>
  </si>
  <si>
    <t>- Air bersih</t>
  </si>
  <si>
    <t>- Garam</t>
  </si>
  <si>
    <t>Salt</t>
  </si>
  <si>
    <t>Water</t>
  </si>
  <si>
    <t>Promosi</t>
  </si>
  <si>
    <t>----------------&gt;</t>
  </si>
  <si>
    <t>Sering pencucian ikan menggunakan air laut.</t>
  </si>
  <si>
    <t>Untuk kasus ini, diasumsikan kebutuhan air untuk pencucian</t>
  </si>
  <si>
    <t>Manajer</t>
  </si>
  <si>
    <t>Kepala produksi</t>
  </si>
  <si>
    <t>Pekerja/Buruh</t>
  </si>
  <si>
    <t>Pengamanan</t>
  </si>
  <si>
    <t>Keuangan, Logistik dan Umum</t>
  </si>
  <si>
    <t>Direktur Keuangan, Logistik dan Umum</t>
  </si>
  <si>
    <t>Direktur Operasional</t>
  </si>
  <si>
    <t>Dewan Komisaris</t>
  </si>
  <si>
    <t>3 orang</t>
  </si>
  <si>
    <t>Pekerja (buruh, 1 tim)</t>
  </si>
  <si>
    <t>Perhitungan upah pekerja/buruh)</t>
  </si>
  <si>
    <t>a. Jumlah tim</t>
  </si>
  <si>
    <t>b. Jumlah pekerja</t>
  </si>
  <si>
    <t>orang/tim</t>
  </si>
  <si>
    <t>c. Tarif upah</t>
  </si>
  <si>
    <t>d. Besaran upah</t>
  </si>
  <si>
    <t>d. Jumlah ikan diproses</t>
  </si>
  <si>
    <t>(excl. BOC/BOD)</t>
  </si>
  <si>
    <t>Rp/bulan/tim</t>
  </si>
  <si>
    <t>Rp/bulan/orang</t>
  </si>
  <si>
    <t>kotak/hari (salary sheet)</t>
  </si>
  <si>
    <t>Sehingga:</t>
  </si>
  <si>
    <t>Rp/orang/kg ikan</t>
  </si>
  <si>
    <t>Tarif upah pekerja/buruh</t>
  </si>
  <si>
    <t>Struktur Biaya</t>
  </si>
  <si>
    <t>Data - Rerata tahunan</t>
  </si>
  <si>
    <t>Rp/tahun (rata-rata)</t>
  </si>
  <si>
    <t>Total Beban/Biaya</t>
  </si>
  <si>
    <t>Fraction</t>
  </si>
  <si>
    <t>T o t a l</t>
  </si>
  <si>
    <t>Persen</t>
  </si>
  <si>
    <t xml:space="preserve">Harga Pokok Penjualan Layanan </t>
  </si>
  <si>
    <t xml:space="preserve">Pengemasan </t>
  </si>
  <si>
    <t>Es</t>
  </si>
  <si>
    <t>Komponen</t>
  </si>
  <si>
    <t xml:space="preserve">Alat Tulis Kantor </t>
  </si>
  <si>
    <t>Biaya/beban Operasional</t>
  </si>
  <si>
    <t xml:space="preserve">    - Cos ϴ = 0.8</t>
  </si>
  <si>
    <t>Kuantitas ikan diproses</t>
  </si>
  <si>
    <t>Charge rate tahun pertama</t>
  </si>
  <si>
    <t>Tahun Operasional</t>
  </si>
  <si>
    <t>Kas yang Diperoleh di awal bulan berjalan (cash generate)</t>
  </si>
  <si>
    <t>Kas yang Tersedia di awal bulan berjalan (cash available)</t>
  </si>
  <si>
    <t>Pengaruh Perubahan volume ikan diproses</t>
  </si>
  <si>
    <t>Bisnis Penyewaan INTEGRATED COLD STORAGE - Revitalitation</t>
  </si>
  <si>
    <t>Tahun 1</t>
  </si>
  <si>
    <t>Fixed capital (repair cost)</t>
  </si>
  <si>
    <t>See "WorkingCapital sheets"</t>
  </si>
  <si>
    <t>Penyusutan</t>
  </si>
  <si>
    <t>Amortization</t>
  </si>
  <si>
    <t xml:space="preserve">Tahun sejak mulai </t>
  </si>
  <si>
    <t>beroperasi (tahun 2)</t>
  </si>
  <si>
    <t>Repair</t>
  </si>
  <si>
    <t>Dividen atau bagi hasil didasarkan atas laba bersih.</t>
  </si>
  <si>
    <t>Sisa laba bersih yang tidak dibagikan (laba ditahan) mampu</t>
  </si>
  <si>
    <t>berikutnya.</t>
  </si>
  <si>
    <t>Besaran dividen</t>
  </si>
  <si>
    <t>Porsi bagi hasil:</t>
  </si>
  <si>
    <t>b. MITRA (Pemerintah)</t>
  </si>
  <si>
    <t>% dari laba dibagi</t>
  </si>
  <si>
    <t>membiayai operasional perusahaan bulan pertama tahun</t>
  </si>
  <si>
    <t>Laba bersih</t>
  </si>
  <si>
    <t>Saldo akhir sebelum dividen</t>
  </si>
  <si>
    <t>Saldo akhir setelah dividen</t>
  </si>
  <si>
    <t>Bagian laba bersih dibagi</t>
  </si>
  <si>
    <t>Akumulasi besaran dividen</t>
  </si>
  <si>
    <t>a</t>
  </si>
  <si>
    <t>b</t>
  </si>
  <si>
    <t>c</t>
  </si>
  <si>
    <t>d</t>
  </si>
  <si>
    <t>e = b*c</t>
  </si>
  <si>
    <r>
      <t xml:space="preserve">f = </t>
    </r>
    <r>
      <rPr>
        <sz val="8"/>
        <color theme="1"/>
        <rFont val="Calibri"/>
        <family val="2"/>
      </rPr>
      <t>Σe</t>
    </r>
  </si>
  <si>
    <t xml:space="preserve">Perhitungan Dividen </t>
  </si>
  <si>
    <t>h = g-a(n+1)</t>
  </si>
  <si>
    <t>n</t>
  </si>
  <si>
    <t>beban operasi bulan pertama tahun berikutnya.</t>
  </si>
  <si>
    <t>1). a(n+1):</t>
  </si>
  <si>
    <t>3). Bila laba bersih dibagi semua maka berdampak negatif terhadap nilai perusahaan (ekuitas konstan).</t>
  </si>
  <si>
    <t>2). bila "h" positif berarti besaran dividen dapat diterima.</t>
  </si>
  <si>
    <t>Bagi Hasil</t>
  </si>
  <si>
    <t>PEMA</t>
  </si>
  <si>
    <t>MITRA (Pemerintah)</t>
  </si>
  <si>
    <t>---&gt; See Dividen Sheet</t>
  </si>
  <si>
    <t>Proyeksi Dividen (Bagi hasil)</t>
  </si>
  <si>
    <t>Penarikan modal, % dari modal disetor</t>
  </si>
  <si>
    <t>Perubahan Nilai Perusahaan</t>
  </si>
  <si>
    <t>Perubahan Nilai (Rp, ribu)</t>
  </si>
  <si>
    <t>Persen perubahan, %</t>
  </si>
  <si>
    <t>3.</t>
  </si>
  <si>
    <t>NPV = 0</t>
  </si>
  <si>
    <t>Volume</t>
  </si>
  <si>
    <t>e. Pengemasan:</t>
  </si>
  <si>
    <t>g. Perawatan:</t>
  </si>
  <si>
    <t>Perawatan (maintenance)</t>
  </si>
  <si>
    <t>Peawatan (maintenance)</t>
  </si>
  <si>
    <t>Perawatan</t>
  </si>
  <si>
    <t>Pengemasan</t>
  </si>
  <si>
    <t>Rp/kg (excl. PPh 4, ayat 2).</t>
  </si>
  <si>
    <t>Tarif pajak PPh 4 ayat 2</t>
  </si>
  <si>
    <t>Rp/kg (incl. PPh 4, ayat 2).</t>
  </si>
  <si>
    <t xml:space="preserve">  - Kebutuhan air bersih</t>
  </si>
  <si>
    <t>Air garam (for rinse phase I):</t>
  </si>
  <si>
    <t xml:space="preserve">  - Kebutuhan garam</t>
  </si>
  <si>
    <t>Kadar garam air laut 30 kg/m3 air.</t>
  </si>
  <si>
    <t>tahap I = 20% dari total kebutuhan air bersih.</t>
  </si>
  <si>
    <t>Sehingga kebutuhan garam = (30*20%) = 6 kg/m3 air bersih.</t>
  </si>
  <si>
    <t>Konsumsi air untuk air garam</t>
  </si>
  <si>
    <t>% dari total konsumsi air</t>
  </si>
  <si>
    <t>Konsentrasi air garam</t>
  </si>
  <si>
    <t xml:space="preserve">kg/m3 air </t>
  </si>
  <si>
    <t>Air garam - untuk pencucian ikan tahap I:</t>
  </si>
  <si>
    <t>c. Air garam (untuk pencucian tahap I)</t>
  </si>
  <si>
    <t xml:space="preserve">    - Kebutuhan garam</t>
  </si>
  <si>
    <t xml:space="preserve">    - Kebutuhan air bersih untuk air garam</t>
  </si>
  <si>
    <t>Fixed capital (for revitalitation)</t>
  </si>
  <si>
    <t>Modal tetap</t>
  </si>
  <si>
    <t>Maksimum</t>
  </si>
  <si>
    <t>Purchasing and Finance</t>
  </si>
  <si>
    <t>Admin</t>
  </si>
  <si>
    <t>Produksi</t>
  </si>
  <si>
    <t>Keterangan</t>
  </si>
  <si>
    <t>13 Orang Sortir Biayanya Rp 100/Kg</t>
  </si>
  <si>
    <t>12 Orang Proses biayanya Rp 400 /Kg</t>
  </si>
  <si>
    <t>Anggota CS Rp 50/Kg</t>
  </si>
  <si>
    <t>Bongkar Muat 100/kg</t>
  </si>
  <si>
    <t>Listrik disesuaikan dengan jumlah produksi ikan di ICS</t>
  </si>
  <si>
    <t>Perminggu kebutuhan Air Bersih Rp. 300.000</t>
  </si>
  <si>
    <t>Perminggu kebutuhan Garam Rp. 300.000</t>
  </si>
  <si>
    <t>Harga Plastik 1 Lembar Rp 2.000 dan dipacking per 10 Kg jadi  per packing adalah Rp 200 dan di bagi 10 Kg jadinya per Kg adalah Rp. 20</t>
  </si>
  <si>
    <t>Maintenance ini dibuatkan bedasarkan rata-rata pengeluaran biaya maintenence yang pernah terjadi pada pengelola sebelumnya sehingga di asumsikan Rp. 10.000.000/ bulan untuk service mesin dan lainnya.</t>
  </si>
  <si>
    <t>Makan siang diberikan agar buruh tidak keluar masuk area ICS sehingga proses kerja sesuai target</t>
  </si>
  <si>
    <t>Dibayarkan setiap bulannya dan buruh yang bekerja di ICS akan diberikan stiker sehingga tidak membayar biaya masuk kawasan lampulo</t>
  </si>
  <si>
    <t>HC di berikan ke customer per 20 Ton dan dibebankan ke ICS</t>
  </si>
  <si>
    <t>Promosi kita anggarkan Rp. 10.000.000/ Tahun include biaya entertain didalamnya.</t>
  </si>
  <si>
    <t>Kontribusi Tetap di tetapkan oleh pemilik BMA sesuai dengan isi KSP dan dibayarkan perbulan</t>
  </si>
  <si>
    <t>Listrik Cool room</t>
  </si>
  <si>
    <t>Listrik ABF</t>
  </si>
  <si>
    <t>Konsumsi (Lunch)</t>
  </si>
  <si>
    <t>Biaya Promosi</t>
  </si>
  <si>
    <t>Volume ikan di proses Tahun 1</t>
  </si>
  <si>
    <t>Volume ikan di proses Tahun 2</t>
  </si>
  <si>
    <t>Volume ikan di proses Tahun 3</t>
  </si>
  <si>
    <t>Volume ikan di proses Tahun 4</t>
  </si>
  <si>
    <t>Volume ikan di proses Tahun 5</t>
  </si>
  <si>
    <t>Volume ikan di proses Tahun 6</t>
  </si>
  <si>
    <t>Volume ikan di proses Tahun 7</t>
  </si>
  <si>
    <t>Volume ikan di proses Tahun 8</t>
  </si>
  <si>
    <t>Volume ikan di proses Tahun 9</t>
  </si>
  <si>
    <t>Volume ikan di proses Tahun 10</t>
  </si>
  <si>
    <t>Price &amp; Quantity Sensitivity</t>
  </si>
  <si>
    <t>Quantity Sold (Kg)</t>
  </si>
  <si>
    <t>Price per Unit (Kg)</t>
  </si>
  <si>
    <t>Kenaikan Produksi</t>
  </si>
  <si>
    <t>Sensitivity Analysis</t>
  </si>
  <si>
    <t>Quantity Sold</t>
  </si>
  <si>
    <t>Assumptions</t>
  </si>
  <si>
    <t>Income Statement</t>
  </si>
  <si>
    <t>Units sold</t>
  </si>
  <si>
    <t>Price per Unit</t>
  </si>
  <si>
    <t>Price per unit</t>
  </si>
  <si>
    <t>Cost per unit</t>
  </si>
  <si>
    <t>Taxes</t>
  </si>
  <si>
    <t>Tax rate</t>
  </si>
  <si>
    <t>Net Income (Loss)</t>
  </si>
  <si>
    <t>Constraints</t>
  </si>
  <si>
    <t>Scenario Analysis</t>
  </si>
  <si>
    <t>$ in actual figures</t>
  </si>
  <si>
    <t>Revenues</t>
  </si>
  <si>
    <t>Costs</t>
  </si>
  <si>
    <t>EBT</t>
  </si>
  <si>
    <t>TAX (22%)</t>
  </si>
  <si>
    <t>Choose Scenario</t>
  </si>
  <si>
    <t>Revenue Scenarios</t>
  </si>
  <si>
    <t>1. Best Case</t>
  </si>
  <si>
    <t>2. Base Case</t>
  </si>
  <si>
    <t>3. Worst Case</t>
  </si>
  <si>
    <t>Cost Scenarios</t>
  </si>
  <si>
    <t>90 Ton</t>
  </si>
  <si>
    <t>110 Ton</t>
  </si>
  <si>
    <t>130 Ton</t>
  </si>
  <si>
    <t>150 Ton</t>
  </si>
  <si>
    <t>170 Ton</t>
  </si>
  <si>
    <t>1 ton air</t>
  </si>
  <si>
    <t>1 ton ikan</t>
  </si>
  <si>
    <t>1000 L</t>
  </si>
  <si>
    <t>1000 kg</t>
  </si>
  <si>
    <t>1 L</t>
  </si>
  <si>
    <t>1 Kg</t>
  </si>
  <si>
    <t>3 persen garam dari 1 ton air</t>
  </si>
  <si>
    <t>30 gr</t>
  </si>
  <si>
    <t>m3 air (std air laut)</t>
  </si>
  <si>
    <t>1 Kg dibutuhkan 1/2 Kg Es untuk harga Es per 60 kg adalah Rp. 19.000 harga di asumsi adalah harga rata-rata dari beberapa sumber sehingga menjadi 158,88/kg tetapi dibulatkan ke 16-/kg</t>
  </si>
  <si>
    <t>Goni/20Kg</t>
  </si>
  <si>
    <t>Rp/Goni</t>
  </si>
  <si>
    <t>Kenutuhan Goni 100 per bulan untuk 200 Ton</t>
  </si>
  <si>
    <t>- Plastik dan Goni</t>
  </si>
  <si>
    <t>1 Goni untuk 20 Kg dan pergoni harganya Rp. 5000 untuk kapasitas 200 Ton dibutuhkan 10000Goni perbulan.</t>
  </si>
  <si>
    <t>Health certificate</t>
  </si>
  <si>
    <t>Upah Pekerja</t>
  </si>
  <si>
    <t>Gaji Tim Teknis</t>
  </si>
  <si>
    <t>Sub Total</t>
  </si>
  <si>
    <t xml:space="preserve">Variable </t>
  </si>
  <si>
    <t xml:space="preserve">Fix </t>
  </si>
  <si>
    <t>Gaji Tim Produksi</t>
  </si>
  <si>
    <t>140 Ton</t>
  </si>
  <si>
    <t>120 Ton</t>
  </si>
  <si>
    <t>100 Ton</t>
  </si>
  <si>
    <t>160 Ton</t>
  </si>
  <si>
    <t>180 Ton</t>
  </si>
  <si>
    <t>190 Ton</t>
  </si>
  <si>
    <t>200 Ton</t>
  </si>
  <si>
    <t>80 Ton</t>
  </si>
  <si>
    <t>70 Ton</t>
  </si>
  <si>
    <t>Dalam satuan rupiah (Rp,)</t>
  </si>
  <si>
    <t>- Kontribusi Tetap</t>
  </si>
  <si>
    <t>g = c-e</t>
  </si>
  <si>
    <t>- Inflasi</t>
  </si>
  <si>
    <t>Beban operasi bulan pertama (incl. depr.)</t>
  </si>
  <si>
    <t>Beban operasi bulan pertama (excl. depr.)</t>
  </si>
  <si>
    <t xml:space="preserve">     Pembayaran Dividen oleh Perusahaan</t>
  </si>
  <si>
    <t>saldo kas akhir tahun sebelum dividen</t>
  </si>
  <si>
    <t>Kopiah</t>
  </si>
  <si>
    <t>PEMA x Kopiah</t>
  </si>
  <si>
    <t xml:space="preserve">Saldo kas akhir tahun </t>
  </si>
  <si>
    <t>/kg ikan</t>
  </si>
  <si>
    <t>jumlah ikan hasil produksi</t>
  </si>
  <si>
    <t>plastik/bulan</t>
  </si>
  <si>
    <t>plastik/tahun</t>
  </si>
  <si>
    <t>Asumsi kebutuhan goni 2% dari total produksi</t>
  </si>
  <si>
    <t xml:space="preserve">HPP </t>
  </si>
  <si>
    <t>Kas yang tersedia setelah pembagian Dividen</t>
  </si>
  <si>
    <t>ROI</t>
  </si>
  <si>
    <t>Total Investasi PT PEMA</t>
  </si>
  <si>
    <t>Return on Investment,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</si>
</sst>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-* #,##0_-;\-* #,##0_-;_-* &quot;-&quot;??_-;_-@_-"/>
    <numFmt numFmtId="168" formatCode="0.0"/>
    <numFmt numFmtId="169" formatCode="_-* #,##0.0_-;\-* #,##0.0_-;_-* &quot;-&quot;??_-;_-@_-"/>
    <numFmt numFmtId="170" formatCode="_(* #,##0.0_);_(* \(#,##0.0\);_(* &quot;-&quot;??_);_(@_)"/>
    <numFmt numFmtId="171" formatCode="_(* #,##0_);_(* \(#,##0\);_(* &quot;-&quot;?_);_(@_)"/>
    <numFmt numFmtId="172" formatCode="#,##0_ ;[Red]\-#,##0\ "/>
    <numFmt numFmtId="173" formatCode="#,##0.0;[Red]\-#,##0.0"/>
    <numFmt numFmtId="174" formatCode="#,##0.0000;[Red]\-#,##0.0000"/>
    <numFmt numFmtId="175" formatCode="#,##0.000_ ;[Red]\-#,##0.000\ "/>
    <numFmt numFmtId="176" formatCode="#,##0.000"/>
    <numFmt numFmtId="177" formatCode="#,##0.0_ ;[Red]\-#,##0.0\ "/>
    <numFmt numFmtId="178" formatCode="_-* #,##0.0_-;\-* #,##0.0_-;_-* &quot;-&quot;?_-;_-@_-"/>
    <numFmt numFmtId="179" formatCode="_-* #,##0_-;\-* #,##0_-;_-* \-??_-;_-@_-"/>
    <numFmt numFmtId="180" formatCode="_(* #,##0_);_(* \(#,##0\);_(* &quot;-&quot;_);_(@_)"/>
    <numFmt numFmtId="181" formatCode="d\-mmm\-yyyy;@"/>
    <numFmt numFmtId="182" formatCode="_(&quot;Rp&quot;* #,##0_);_(&quot;Rp&quot;* \(#,##0\);_(&quot;Rp&quot;* &quot;-&quot;_);_(@_)"/>
    <numFmt numFmtId="183" formatCode="#,##0_ ;\-#,##0\ "/>
    <numFmt numFmtId="184" formatCode="#,##0.0"/>
    <numFmt numFmtId="185" formatCode="_(* #,##0.000_);_(* \(#,##0.000\);_(* &quot;-&quot;??_);_(@_)"/>
    <numFmt numFmtId="186" formatCode="0.000"/>
    <numFmt numFmtId="187" formatCode="_-* #,##0.0_-;\-* #,##0.0_-;_-* &quot;-&quot;_-;_-@_-"/>
    <numFmt numFmtId="188" formatCode="_-* #,##0.00_-;\-* #,##0.00_-;_-* &quot;-&quot;_-;_-@_-"/>
    <numFmt numFmtId="189" formatCode="mm"/>
    <numFmt numFmtId="190" formatCode="yyyy\E"/>
    <numFmt numFmtId="191" formatCode="_-* #,##0\ _€_-;\-* #,##0\ _€_-;_-* &quot;-&quot;?\ _€_-;_-@_-"/>
    <numFmt numFmtId="192" formatCode="0.0000%"/>
  </numFmts>
  <fonts count="6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Segoe UI"/>
      <family val="2"/>
    </font>
    <font>
      <sz val="8"/>
      <color rgb="FF0000FF"/>
      <name val="Segoe UI"/>
      <family val="2"/>
    </font>
    <font>
      <b/>
      <sz val="10"/>
      <color theme="1"/>
      <name val="Segoe UI"/>
      <family val="2"/>
    </font>
    <font>
      <b/>
      <sz val="8"/>
      <color theme="0"/>
      <name val="Segoe UI"/>
      <family val="2"/>
    </font>
    <font>
      <sz val="8"/>
      <color theme="0"/>
      <name val="Segoe UI"/>
      <family val="2"/>
    </font>
    <font>
      <sz val="8"/>
      <color rgb="FFFF0000"/>
      <name val="Segoe UI"/>
      <family val="2"/>
    </font>
    <font>
      <i/>
      <sz val="8"/>
      <color theme="1"/>
      <name val="Segoe UI"/>
      <family val="2"/>
    </font>
    <font>
      <sz val="8"/>
      <color rgb="FFC00000"/>
      <name val="Segoe UI"/>
      <family val="2"/>
    </font>
    <font>
      <b/>
      <sz val="10"/>
      <color theme="0"/>
      <name val="Segoe UI"/>
      <family val="2"/>
    </font>
    <font>
      <u val="singleAccounting"/>
      <sz val="8"/>
      <color theme="1"/>
      <name val="Segoe UI"/>
      <family val="2"/>
    </font>
    <font>
      <b/>
      <sz val="8"/>
      <name val="Segoe UI"/>
      <family val="2"/>
    </font>
    <font>
      <b/>
      <sz val="8"/>
      <color indexed="8"/>
      <name val="Segoe UI"/>
      <family val="2"/>
    </font>
    <font>
      <sz val="8"/>
      <name val="Segoe UI"/>
      <family val="2"/>
    </font>
    <font>
      <sz val="8"/>
      <color indexed="8"/>
      <name val="Segoe U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4"/>
      <name val="Calibri"/>
      <family val="2"/>
      <scheme val="minor"/>
    </font>
    <font>
      <sz val="8"/>
      <color theme="7"/>
      <name val="Calibri"/>
      <family val="2"/>
      <scheme val="minor"/>
    </font>
    <font>
      <sz val="8"/>
      <color rgb="FFFFC00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0"/>
      <name val="Calibri"/>
      <family val="2"/>
    </font>
    <font>
      <b/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0000FF"/>
      <name val="Calibri"/>
      <family val="2"/>
    </font>
    <font>
      <sz val="8"/>
      <color theme="9" tint="0.79998168889431442"/>
      <name val="Calibri"/>
      <family val="2"/>
      <scheme val="minor"/>
    </font>
    <font>
      <b/>
      <sz val="8"/>
      <color theme="7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4"/>
      <color theme="1"/>
      <name val="Amasis MT Pro Medium"/>
      <family val="1"/>
    </font>
    <font>
      <sz val="14"/>
      <color theme="1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thin">
        <color indexed="64"/>
      </bottom>
      <diagonal/>
    </border>
    <border>
      <left/>
      <right/>
      <top style="thin">
        <color theme="2" tint="-0.2499465926084170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2" tint="-0.2499465926084170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33">
    <xf numFmtId="0" fontId="0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41" fontId="13" fillId="0" borderId="0" applyFont="0" applyFill="0" applyBorder="0" applyAlignment="0" applyProtection="0"/>
    <xf numFmtId="0" fontId="31" fillId="0" borderId="0">
      <alignment vertical="center"/>
    </xf>
    <xf numFmtId="43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54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0" fillId="2" borderId="0" xfId="0" applyFill="1" applyAlignment="1">
      <alignment horizontal="center"/>
    </xf>
    <xf numFmtId="0" fontId="0" fillId="2" borderId="0" xfId="0" applyFill="1"/>
    <xf numFmtId="165" fontId="0" fillId="2" borderId="0" xfId="1" quotePrefix="1" applyNumberFormat="1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0" fillId="3" borderId="0" xfId="1" applyNumberFormat="1" applyFont="1" applyFill="1" applyAlignment="1">
      <alignment horizontal="center"/>
    </xf>
    <xf numFmtId="165" fontId="14" fillId="3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0" fillId="4" borderId="0" xfId="1" applyNumberFormat="1" applyFont="1" applyFill="1"/>
    <xf numFmtId="165" fontId="0" fillId="0" borderId="0" xfId="0" applyNumberFormat="1"/>
    <xf numFmtId="165" fontId="13" fillId="0" borderId="0" xfId="1" applyNumberFormat="1" applyFont="1"/>
    <xf numFmtId="41" fontId="0" fillId="0" borderId="0" xfId="0" applyNumberFormat="1"/>
    <xf numFmtId="165" fontId="0" fillId="3" borderId="0" xfId="1" applyNumberFormat="1" applyFont="1" applyFill="1"/>
    <xf numFmtId="165" fontId="0" fillId="3" borderId="0" xfId="0" applyNumberFormat="1" applyFill="1"/>
    <xf numFmtId="0" fontId="0" fillId="0" borderId="2" xfId="0" applyBorder="1" applyAlignment="1">
      <alignment horizontal="center"/>
    </xf>
    <xf numFmtId="0" fontId="14" fillId="0" borderId="2" xfId="0" applyFont="1" applyBorder="1" applyAlignment="1">
      <alignment horizontal="right"/>
    </xf>
    <xf numFmtId="165" fontId="0" fillId="0" borderId="2" xfId="1" applyNumberFormat="1" applyFont="1" applyBorder="1"/>
    <xf numFmtId="165" fontId="14" fillId="0" borderId="2" xfId="0" applyNumberFormat="1" applyFont="1" applyBorder="1"/>
    <xf numFmtId="0" fontId="0" fillId="0" borderId="0" xfId="0" quotePrefix="1"/>
    <xf numFmtId="9" fontId="0" fillId="0" borderId="0" xfId="2" applyFont="1"/>
    <xf numFmtId="0" fontId="16" fillId="0" borderId="0" xfId="0" applyFont="1"/>
    <xf numFmtId="0" fontId="18" fillId="0" borderId="0" xfId="0" applyFont="1"/>
    <xf numFmtId="0" fontId="12" fillId="0" borderId="0" xfId="0" applyFont="1"/>
    <xf numFmtId="164" fontId="12" fillId="0" borderId="0" xfId="1" quotePrefix="1" applyFont="1" applyAlignment="1">
      <alignment horizontal="right"/>
    </xf>
    <xf numFmtId="164" fontId="12" fillId="0" borderId="7" xfId="1" quotePrefix="1" applyFont="1" applyBorder="1" applyAlignment="1">
      <alignment horizontal="right"/>
    </xf>
    <xf numFmtId="164" fontId="12" fillId="0" borderId="8" xfId="1" quotePrefix="1" applyFont="1" applyBorder="1" applyAlignment="1">
      <alignment horizontal="right"/>
    </xf>
    <xf numFmtId="164" fontId="16" fillId="0" borderId="0" xfId="1" quotePrefix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quotePrefix="1" applyFont="1" applyAlignment="1">
      <alignment horizontal="right"/>
    </xf>
    <xf numFmtId="0" fontId="11" fillId="0" borderId="1" xfId="0" quotePrefix="1" applyFont="1" applyBorder="1" applyAlignment="1">
      <alignment horizontal="right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1" fillId="0" borderId="1" xfId="0" applyFont="1" applyBorder="1"/>
    <xf numFmtId="0" fontId="17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2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right"/>
    </xf>
    <xf numFmtId="0" fontId="21" fillId="0" borderId="0" xfId="0" quotePrefix="1" applyFont="1" applyAlignment="1">
      <alignment horizontal="right"/>
    </xf>
    <xf numFmtId="164" fontId="10" fillId="0" borderId="0" xfId="1" applyFont="1"/>
    <xf numFmtId="0" fontId="10" fillId="0" borderId="1" xfId="0" applyFont="1" applyBorder="1"/>
    <xf numFmtId="0" fontId="24" fillId="0" borderId="0" xfId="0" applyFont="1"/>
    <xf numFmtId="0" fontId="20" fillId="0" borderId="0" xfId="9" applyFont="1"/>
    <xf numFmtId="0" fontId="20" fillId="0" borderId="0" xfId="0" applyFont="1"/>
    <xf numFmtId="164" fontId="20" fillId="0" borderId="0" xfId="1" applyFont="1" applyFill="1" applyBorder="1"/>
    <xf numFmtId="0" fontId="24" fillId="0" borderId="0" xfId="0" applyFont="1" applyAlignment="1">
      <alignment vertical="top"/>
    </xf>
    <xf numFmtId="164" fontId="20" fillId="0" borderId="0" xfId="1" applyFont="1" applyFill="1" applyBorder="1" applyAlignment="1">
      <alignment vertical="center"/>
    </xf>
    <xf numFmtId="0" fontId="20" fillId="0" borderId="0" xfId="0" applyFont="1" applyAlignment="1">
      <alignment vertical="center"/>
    </xf>
    <xf numFmtId="164" fontId="19" fillId="0" borderId="0" xfId="1" applyFont="1" applyFill="1" applyBorder="1" applyAlignment="1">
      <alignment vertical="center"/>
    </xf>
    <xf numFmtId="164" fontId="20" fillId="0" borderId="0" xfId="1" quotePrefix="1" applyFont="1" applyFill="1" applyBorder="1" applyAlignment="1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165" fontId="20" fillId="0" borderId="0" xfId="1" applyNumberFormat="1" applyFont="1" applyFill="1" applyBorder="1" applyAlignment="1">
      <alignment vertical="center"/>
    </xf>
    <xf numFmtId="166" fontId="20" fillId="0" borderId="0" xfId="2" applyNumberFormat="1" applyFont="1" applyFill="1" applyBorder="1" applyAlignment="1">
      <alignment horizontal="center" vertical="center"/>
    </xf>
    <xf numFmtId="9" fontId="20" fillId="0" borderId="0" xfId="2" applyFont="1" applyFill="1" applyBorder="1" applyAlignment="1">
      <alignment horizontal="center" vertical="center"/>
    </xf>
    <xf numFmtId="10" fontId="20" fillId="0" borderId="0" xfId="2" applyNumberFormat="1" applyFont="1" applyFill="1" applyBorder="1" applyAlignment="1">
      <alignment horizontal="center" vertical="center"/>
    </xf>
    <xf numFmtId="4" fontId="20" fillId="0" borderId="0" xfId="0" applyNumberFormat="1" applyFont="1" applyAlignment="1">
      <alignment horizontal="center" vertical="center"/>
    </xf>
    <xf numFmtId="4" fontId="20" fillId="0" borderId="0" xfId="0" quotePrefix="1" applyNumberFormat="1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65" fontId="9" fillId="0" borderId="0" xfId="0" applyNumberFormat="1" applyFont="1"/>
    <xf numFmtId="0" fontId="9" fillId="0" borderId="0" xfId="0" applyFont="1"/>
    <xf numFmtId="2" fontId="17" fillId="0" borderId="0" xfId="0" applyNumberFormat="1" applyFont="1"/>
    <xf numFmtId="0" fontId="9" fillId="6" borderId="0" xfId="0" applyFont="1" applyFill="1"/>
    <xf numFmtId="2" fontId="16" fillId="0" borderId="0" xfId="0" applyNumberFormat="1" applyFont="1"/>
    <xf numFmtId="0" fontId="9" fillId="0" borderId="0" xfId="0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19" fillId="7" borderId="0" xfId="0" applyFont="1" applyFill="1" applyAlignment="1">
      <alignment vertical="center"/>
    </xf>
    <xf numFmtId="0" fontId="19" fillId="7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165" fontId="9" fillId="6" borderId="0" xfId="0" applyNumberFormat="1" applyFont="1" applyFill="1"/>
    <xf numFmtId="2" fontId="9" fillId="0" borderId="0" xfId="0" applyNumberFormat="1" applyFont="1" applyAlignment="1">
      <alignment vertical="center"/>
    </xf>
    <xf numFmtId="2" fontId="17" fillId="0" borderId="0" xfId="0" applyNumberFormat="1" applyFont="1" applyAlignment="1">
      <alignment vertical="center"/>
    </xf>
    <xf numFmtId="2" fontId="9" fillId="0" borderId="0" xfId="1" applyNumberFormat="1" applyFont="1" applyAlignment="1">
      <alignment vertical="center"/>
    </xf>
    <xf numFmtId="2" fontId="9" fillId="0" borderId="0" xfId="1" quotePrefix="1" applyNumberFormat="1" applyFont="1" applyAlignment="1">
      <alignment vertical="center"/>
    </xf>
    <xf numFmtId="165" fontId="9" fillId="6" borderId="0" xfId="0" applyNumberFormat="1" applyFont="1" applyFill="1" applyAlignment="1">
      <alignment vertical="center"/>
    </xf>
    <xf numFmtId="0" fontId="9" fillId="0" borderId="0" xfId="0" quotePrefix="1" applyFont="1" applyAlignment="1">
      <alignment vertical="center"/>
    </xf>
    <xf numFmtId="0" fontId="9" fillId="6" borderId="0" xfId="0" applyFont="1" applyFill="1" applyAlignment="1">
      <alignment vertical="center"/>
    </xf>
    <xf numFmtId="2" fontId="16" fillId="0" borderId="0" xfId="0" applyNumberFormat="1" applyFont="1" applyAlignment="1">
      <alignment vertical="center"/>
    </xf>
    <xf numFmtId="0" fontId="19" fillId="9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6" fillId="0" borderId="0" xfId="0" applyFont="1" applyAlignment="1">
      <alignment vertical="center"/>
    </xf>
    <xf numFmtId="0" fontId="9" fillId="0" borderId="0" xfId="0" applyFont="1" applyAlignment="1">
      <alignment horizontal="center" vertical="top"/>
    </xf>
    <xf numFmtId="0" fontId="9" fillId="8" borderId="0" xfId="0" applyFont="1" applyFill="1" applyAlignment="1">
      <alignment vertical="top"/>
    </xf>
    <xf numFmtId="165" fontId="25" fillId="0" borderId="0" xfId="0" applyNumberFormat="1" applyFont="1"/>
    <xf numFmtId="165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179" fontId="26" fillId="0" borderId="4" xfId="1" applyNumberFormat="1" applyFont="1" applyFill="1" applyBorder="1" applyAlignment="1" applyProtection="1">
      <alignment horizontal="center" vertical="center" wrapText="1"/>
    </xf>
    <xf numFmtId="1" fontId="8" fillId="0" borderId="4" xfId="0" applyNumberFormat="1" applyFont="1" applyBorder="1" applyAlignment="1">
      <alignment horizontal="center" vertical="center"/>
    </xf>
    <xf numFmtId="181" fontId="28" fillId="0" borderId="4" xfId="10" applyNumberFormat="1" applyFont="1" applyFill="1" applyBorder="1" applyAlignment="1"/>
    <xf numFmtId="179" fontId="29" fillId="0" borderId="4" xfId="1" applyNumberFormat="1" applyFont="1" applyFill="1" applyBorder="1" applyAlignment="1" applyProtection="1"/>
    <xf numFmtId="165" fontId="8" fillId="0" borderId="4" xfId="1" applyNumberFormat="1" applyFont="1" applyFill="1" applyBorder="1" applyAlignment="1" applyProtection="1">
      <alignment horizontal="center"/>
    </xf>
    <xf numFmtId="179" fontId="8" fillId="0" borderId="4" xfId="1" applyNumberFormat="1" applyFont="1" applyFill="1" applyBorder="1" applyAlignment="1" applyProtection="1"/>
    <xf numFmtId="179" fontId="8" fillId="0" borderId="17" xfId="1" applyNumberFormat="1" applyFont="1" applyFill="1" applyBorder="1" applyAlignment="1" applyProtection="1"/>
    <xf numFmtId="41" fontId="28" fillId="0" borderId="17" xfId="10" applyFont="1" applyFill="1" applyBorder="1" applyAlignment="1">
      <alignment horizontal="center" wrapText="1"/>
    </xf>
    <xf numFmtId="180" fontId="8" fillId="0" borderId="0" xfId="0" applyNumberFormat="1" applyFont="1" applyAlignment="1">
      <alignment vertical="center"/>
    </xf>
    <xf numFmtId="1" fontId="8" fillId="0" borderId="4" xfId="1" applyNumberFormat="1" applyFont="1" applyFill="1" applyBorder="1" applyAlignment="1" applyProtection="1">
      <alignment horizontal="center"/>
    </xf>
    <xf numFmtId="181" fontId="28" fillId="0" borderId="4" xfId="10" applyNumberFormat="1" applyFont="1" applyFill="1" applyBorder="1" applyAlignment="1">
      <alignment horizontal="center" vertical="center"/>
    </xf>
    <xf numFmtId="181" fontId="28" fillId="0" borderId="4" xfId="10" applyNumberFormat="1" applyFont="1" applyFill="1" applyBorder="1" applyAlignment="1">
      <alignment vertical="center"/>
    </xf>
    <xf numFmtId="165" fontId="8" fillId="0" borderId="4" xfId="1" applyNumberFormat="1" applyFont="1" applyFill="1" applyBorder="1" applyAlignment="1" applyProtection="1"/>
    <xf numFmtId="179" fontId="29" fillId="0" borderId="4" xfId="1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3" fontId="8" fillId="0" borderId="0" xfId="0" applyNumberFormat="1" applyFont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179" fontId="27" fillId="8" borderId="4" xfId="1" applyNumberFormat="1" applyFont="1" applyFill="1" applyBorder="1" applyAlignment="1" applyProtection="1"/>
    <xf numFmtId="179" fontId="27" fillId="8" borderId="4" xfId="1" applyNumberFormat="1" applyFont="1" applyFill="1" applyBorder="1" applyAlignment="1" applyProtection="1">
      <alignment horizontal="center"/>
    </xf>
    <xf numFmtId="179" fontId="27" fillId="8" borderId="4" xfId="1" applyNumberFormat="1" applyFont="1" applyFill="1" applyBorder="1" applyAlignment="1" applyProtection="1">
      <alignment vertical="center" wrapText="1"/>
    </xf>
    <xf numFmtId="166" fontId="27" fillId="8" borderId="4" xfId="2" applyNumberFormat="1" applyFont="1" applyFill="1" applyBorder="1" applyAlignment="1" applyProtection="1"/>
    <xf numFmtId="9" fontId="26" fillId="8" borderId="4" xfId="2" applyFont="1" applyFill="1" applyBorder="1" applyAlignment="1">
      <alignment horizontal="center" vertical="center" wrapText="1"/>
    </xf>
    <xf numFmtId="166" fontId="26" fillId="8" borderId="4" xfId="10" applyNumberFormat="1" applyFont="1" applyFill="1" applyBorder="1" applyAlignment="1">
      <alignment horizontal="center" vertical="center" wrapText="1"/>
    </xf>
    <xf numFmtId="3" fontId="8" fillId="8" borderId="2" xfId="0" applyNumberFormat="1" applyFont="1" applyFill="1" applyBorder="1" applyAlignment="1">
      <alignment horizontal="center" vertical="center"/>
    </xf>
    <xf numFmtId="179" fontId="29" fillId="8" borderId="4" xfId="1" applyNumberFormat="1" applyFont="1" applyFill="1" applyBorder="1" applyAlignment="1" applyProtection="1"/>
    <xf numFmtId="165" fontId="27" fillId="8" borderId="4" xfId="1" applyNumberFormat="1" applyFont="1" applyFill="1" applyBorder="1" applyAlignment="1" applyProtection="1">
      <alignment vertical="center"/>
    </xf>
    <xf numFmtId="182" fontId="27" fillId="8" borderId="4" xfId="1" applyNumberFormat="1" applyFont="1" applyFill="1" applyBorder="1" applyAlignment="1" applyProtection="1">
      <alignment vertical="center"/>
    </xf>
    <xf numFmtId="3" fontId="8" fillId="8" borderId="2" xfId="10" applyNumberFormat="1" applyFont="1" applyFill="1" applyBorder="1" applyAlignment="1">
      <alignment horizontal="center" vertical="center"/>
    </xf>
    <xf numFmtId="179" fontId="29" fillId="3" borderId="4" xfId="1" applyNumberFormat="1" applyFont="1" applyFill="1" applyBorder="1" applyAlignment="1" applyProtection="1"/>
    <xf numFmtId="4" fontId="8" fillId="0" borderId="0" xfId="0" applyNumberFormat="1" applyFont="1" applyAlignment="1">
      <alignment horizontal="center" vertical="center"/>
    </xf>
    <xf numFmtId="4" fontId="8" fillId="8" borderId="2" xfId="10" applyNumberFormat="1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16" fillId="8" borderId="0" xfId="0" applyFont="1" applyFill="1" applyAlignment="1">
      <alignment horizontal="right" vertical="top" wrapText="1"/>
    </xf>
    <xf numFmtId="1" fontId="8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7" fontId="8" fillId="0" borderId="0" xfId="0" applyNumberFormat="1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181" fontId="28" fillId="0" borderId="0" xfId="10" applyNumberFormat="1" applyFont="1" applyFill="1" applyBorder="1" applyAlignment="1"/>
    <xf numFmtId="1" fontId="8" fillId="0" borderId="0" xfId="1" applyNumberFormat="1" applyFont="1" applyFill="1" applyBorder="1" applyAlignment="1" applyProtection="1">
      <alignment horizontal="center"/>
    </xf>
    <xf numFmtId="0" fontId="6" fillId="0" borderId="0" xfId="0" quotePrefix="1" applyFont="1" applyAlignment="1">
      <alignment vertical="center"/>
    </xf>
    <xf numFmtId="179" fontId="29" fillId="0" borderId="0" xfId="1" quotePrefix="1" applyNumberFormat="1" applyFont="1" applyFill="1" applyBorder="1" applyAlignment="1" applyProtection="1"/>
    <xf numFmtId="179" fontId="29" fillId="3" borderId="0" xfId="1" quotePrefix="1" applyNumberFormat="1" applyFont="1" applyFill="1" applyBorder="1" applyAlignment="1" applyProtection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79" fontId="6" fillId="0" borderId="0" xfId="0" applyNumberFormat="1" applyFont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5" fillId="0" borderId="0" xfId="0" applyFont="1"/>
    <xf numFmtId="3" fontId="17" fillId="0" borderId="19" xfId="10" applyNumberFormat="1" applyFont="1" applyBorder="1" applyAlignment="1">
      <alignment vertical="center"/>
    </xf>
    <xf numFmtId="3" fontId="6" fillId="0" borderId="0" xfId="0" applyNumberFormat="1" applyFont="1" applyAlignment="1">
      <alignment horizontal="right" vertical="center"/>
    </xf>
    <xf numFmtId="3" fontId="8" fillId="0" borderId="19" xfId="0" applyNumberFormat="1" applyFont="1" applyBorder="1" applyAlignment="1">
      <alignment vertical="center"/>
    </xf>
    <xf numFmtId="3" fontId="29" fillId="0" borderId="19" xfId="1" applyNumberFormat="1" applyFont="1" applyFill="1" applyBorder="1" applyAlignment="1" applyProtection="1">
      <alignment horizontal="center"/>
    </xf>
    <xf numFmtId="3" fontId="6" fillId="0" borderId="0" xfId="0" applyNumberFormat="1" applyFont="1" applyAlignment="1">
      <alignment vertical="center"/>
    </xf>
    <xf numFmtId="3" fontId="29" fillId="0" borderId="18" xfId="1" applyNumberFormat="1" applyFont="1" applyFill="1" applyBorder="1" applyAlignment="1" applyProtection="1">
      <alignment horizontal="center"/>
    </xf>
    <xf numFmtId="4" fontId="5" fillId="0" borderId="19" xfId="1" applyNumberFormat="1" applyFont="1" applyFill="1" applyBorder="1" applyAlignment="1" applyProtection="1">
      <alignment horizontal="center"/>
    </xf>
    <xf numFmtId="4" fontId="29" fillId="0" borderId="18" xfId="1" applyNumberFormat="1" applyFont="1" applyFill="1" applyBorder="1" applyAlignment="1" applyProtection="1">
      <alignment horizontal="center"/>
    </xf>
    <xf numFmtId="2" fontId="5" fillId="0" borderId="0" xfId="1" applyNumberFormat="1" applyFont="1" applyAlignment="1">
      <alignment vertical="center"/>
    </xf>
    <xf numFmtId="3" fontId="32" fillId="0" borderId="0" xfId="0" applyNumberFormat="1" applyFont="1"/>
    <xf numFmtId="3" fontId="32" fillId="0" borderId="0" xfId="0" applyNumberFormat="1" applyFont="1" applyAlignment="1">
      <alignment horizontal="center"/>
    </xf>
    <xf numFmtId="3" fontId="32" fillId="0" borderId="0" xfId="1" applyNumberFormat="1" applyFont="1" applyFill="1" applyBorder="1"/>
    <xf numFmtId="3" fontId="33" fillId="0" borderId="0" xfId="0" applyNumberFormat="1" applyFont="1" applyAlignment="1">
      <alignment horizontal="center"/>
    </xf>
    <xf numFmtId="3" fontId="32" fillId="0" borderId="4" xfId="0" applyNumberFormat="1" applyFont="1" applyBorder="1" applyAlignment="1">
      <alignment horizontal="center"/>
    </xf>
    <xf numFmtId="3" fontId="32" fillId="9" borderId="0" xfId="0" applyNumberFormat="1" applyFont="1" applyFill="1"/>
    <xf numFmtId="3" fontId="32" fillId="6" borderId="0" xfId="0" applyNumberFormat="1" applyFont="1" applyFill="1" applyAlignment="1">
      <alignment horizontal="center"/>
    </xf>
    <xf numFmtId="3" fontId="32" fillId="6" borderId="0" xfId="0" applyNumberFormat="1" applyFont="1" applyFill="1"/>
    <xf numFmtId="3" fontId="32" fillId="0" borderId="4" xfId="0" applyNumberFormat="1" applyFont="1" applyBorder="1"/>
    <xf numFmtId="3" fontId="32" fillId="0" borderId="0" xfId="0" applyNumberFormat="1" applyFont="1" applyAlignment="1">
      <alignment vertical="top"/>
    </xf>
    <xf numFmtId="3" fontId="32" fillId="0" borderId="0" xfId="0" applyNumberFormat="1" applyFont="1" applyAlignment="1">
      <alignment horizontal="right" vertical="top"/>
    </xf>
    <xf numFmtId="3" fontId="33" fillId="12" borderId="6" xfId="1" applyNumberFormat="1" applyFont="1" applyFill="1" applyBorder="1" applyAlignment="1">
      <alignment horizontal="center"/>
    </xf>
    <xf numFmtId="2" fontId="35" fillId="5" borderId="0" xfId="0" applyNumberFormat="1" applyFont="1" applyFill="1" applyAlignment="1">
      <alignment horizontal="left" vertical="center"/>
    </xf>
    <xf numFmtId="0" fontId="32" fillId="5" borderId="0" xfId="0" applyFont="1" applyFill="1"/>
    <xf numFmtId="0" fontId="37" fillId="5" borderId="0" xfId="0" applyFont="1" applyFill="1"/>
    <xf numFmtId="0" fontId="32" fillId="5" borderId="0" xfId="0" quotePrefix="1" applyFont="1" applyFill="1"/>
    <xf numFmtId="3" fontId="33" fillId="5" borderId="5" xfId="1" applyNumberFormat="1" applyFont="1" applyFill="1" applyBorder="1" applyAlignment="1">
      <alignment horizontal="center"/>
    </xf>
    <xf numFmtId="3" fontId="32" fillId="5" borderId="4" xfId="0" applyNumberFormat="1" applyFont="1" applyFill="1" applyBorder="1"/>
    <xf numFmtId="3" fontId="32" fillId="5" borderId="0" xfId="0" applyNumberFormat="1" applyFont="1" applyFill="1"/>
    <xf numFmtId="184" fontId="32" fillId="5" borderId="4" xfId="0" applyNumberFormat="1" applyFont="1" applyFill="1" applyBorder="1"/>
    <xf numFmtId="0" fontId="34" fillId="9" borderId="0" xfId="0" applyFont="1" applyFill="1"/>
    <xf numFmtId="0" fontId="32" fillId="9" borderId="0" xfId="0" applyFont="1" applyFill="1"/>
    <xf numFmtId="184" fontId="33" fillId="5" borderId="5" xfId="1" applyNumberFormat="1" applyFont="1" applyFill="1" applyBorder="1" applyAlignment="1">
      <alignment horizontal="center"/>
    </xf>
    <xf numFmtId="2" fontId="35" fillId="0" borderId="0" xfId="0" applyNumberFormat="1" applyFont="1" applyAlignment="1">
      <alignment vertical="center"/>
    </xf>
    <xf numFmtId="0" fontId="32" fillId="0" borderId="0" xfId="0" applyFont="1" applyAlignment="1">
      <alignment vertical="center"/>
    </xf>
    <xf numFmtId="2" fontId="33" fillId="0" borderId="0" xfId="0" applyNumberFormat="1" applyFont="1" applyAlignment="1">
      <alignment vertical="center"/>
    </xf>
    <xf numFmtId="41" fontId="32" fillId="0" borderId="0" xfId="10" applyFont="1" applyAlignment="1">
      <alignment vertical="center"/>
    </xf>
    <xf numFmtId="183" fontId="32" fillId="0" borderId="0" xfId="0" applyNumberFormat="1" applyFont="1" applyAlignment="1">
      <alignment vertical="center"/>
    </xf>
    <xf numFmtId="0" fontId="32" fillId="8" borderId="0" xfId="0" applyFont="1" applyFill="1" applyAlignment="1">
      <alignment vertical="center"/>
    </xf>
    <xf numFmtId="0" fontId="34" fillId="7" borderId="0" xfId="0" applyFont="1" applyFill="1" applyAlignment="1">
      <alignment vertical="center"/>
    </xf>
    <xf numFmtId="0" fontId="34" fillId="7" borderId="0" xfId="0" applyFont="1" applyFill="1" applyAlignment="1">
      <alignment horizontal="center" vertical="center"/>
    </xf>
    <xf numFmtId="165" fontId="32" fillId="0" borderId="0" xfId="0" applyNumberFormat="1" applyFont="1" applyAlignment="1">
      <alignment vertical="center"/>
    </xf>
    <xf numFmtId="2" fontId="32" fillId="0" borderId="0" xfId="1" applyNumberFormat="1" applyFont="1" applyAlignment="1">
      <alignment vertical="center"/>
    </xf>
    <xf numFmtId="2" fontId="32" fillId="0" borderId="0" xfId="1" quotePrefix="1" applyNumberFormat="1" applyFont="1" applyAlignment="1">
      <alignment vertical="center"/>
    </xf>
    <xf numFmtId="2" fontId="32" fillId="0" borderId="0" xfId="0" applyNumberFormat="1" applyFont="1" applyAlignment="1">
      <alignment vertical="center"/>
    </xf>
    <xf numFmtId="3" fontId="32" fillId="0" borderId="0" xfId="0" applyNumberFormat="1" applyFont="1" applyAlignment="1">
      <alignment vertical="center"/>
    </xf>
    <xf numFmtId="0" fontId="32" fillId="6" borderId="0" xfId="0" applyFont="1" applyFill="1" applyAlignment="1">
      <alignment vertical="center"/>
    </xf>
    <xf numFmtId="165" fontId="32" fillId="6" borderId="0" xfId="0" applyNumberFormat="1" applyFont="1" applyFill="1" applyAlignment="1">
      <alignment vertical="center"/>
    </xf>
    <xf numFmtId="0" fontId="35" fillId="0" borderId="0" xfId="0" applyFont="1" applyAlignment="1">
      <alignment vertical="center"/>
    </xf>
    <xf numFmtId="0" fontId="32" fillId="0" borderId="0" xfId="0" quotePrefix="1" applyFont="1" applyAlignment="1">
      <alignment vertical="center"/>
    </xf>
    <xf numFmtId="3" fontId="32" fillId="0" borderId="0" xfId="10" applyNumberFormat="1" applyFont="1" applyFill="1" applyAlignment="1">
      <alignment vertical="center"/>
    </xf>
    <xf numFmtId="2" fontId="35" fillId="0" borderId="0" xfId="0" applyNumberFormat="1" applyFont="1"/>
    <xf numFmtId="0" fontId="32" fillId="0" borderId="0" xfId="0" applyFont="1"/>
    <xf numFmtId="2" fontId="33" fillId="0" borderId="0" xfId="0" applyNumberFormat="1" applyFont="1"/>
    <xf numFmtId="165" fontId="32" fillId="0" borderId="0" xfId="0" applyNumberFormat="1" applyFont="1"/>
    <xf numFmtId="183" fontId="32" fillId="0" borderId="0" xfId="0" applyNumberFormat="1" applyFont="1"/>
    <xf numFmtId="0" fontId="32" fillId="10" borderId="0" xfId="0" applyFont="1" applyFill="1"/>
    <xf numFmtId="41" fontId="34" fillId="13" borderId="0" xfId="10" applyFont="1" applyFill="1" applyAlignment="1">
      <alignment horizontal="right" vertical="center"/>
    </xf>
    <xf numFmtId="3" fontId="32" fillId="10" borderId="0" xfId="0" applyNumberFormat="1" applyFont="1" applyFill="1"/>
    <xf numFmtId="0" fontId="32" fillId="6" borderId="0" xfId="0" applyFont="1" applyFill="1"/>
    <xf numFmtId="0" fontId="32" fillId="0" borderId="0" xfId="0" quotePrefix="1" applyFont="1"/>
    <xf numFmtId="9" fontId="32" fillId="0" borderId="0" xfId="0" applyNumberFormat="1" applyFont="1"/>
    <xf numFmtId="165" fontId="32" fillId="0" borderId="0" xfId="1" applyNumberFormat="1" applyFont="1"/>
    <xf numFmtId="2" fontId="32" fillId="0" borderId="0" xfId="1" quotePrefix="1" applyNumberFormat="1" applyFont="1"/>
    <xf numFmtId="2" fontId="35" fillId="8" borderId="0" xfId="1" quotePrefix="1" applyNumberFormat="1" applyFont="1" applyFill="1"/>
    <xf numFmtId="2" fontId="32" fillId="0" borderId="0" xfId="0" applyNumberFormat="1" applyFont="1"/>
    <xf numFmtId="164" fontId="32" fillId="0" borderId="0" xfId="1" applyFont="1" applyBorder="1"/>
    <xf numFmtId="41" fontId="32" fillId="0" borderId="0" xfId="10" applyFont="1" applyAlignment="1">
      <alignment vertical="top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right" vertical="center" wrapText="1"/>
    </xf>
    <xf numFmtId="164" fontId="32" fillId="0" borderId="0" xfId="1" applyFont="1"/>
    <xf numFmtId="178" fontId="32" fillId="0" borderId="0" xfId="0" applyNumberFormat="1" applyFont="1"/>
    <xf numFmtId="2" fontId="35" fillId="8" borderId="0" xfId="0" applyNumberFormat="1" applyFont="1" applyFill="1"/>
    <xf numFmtId="165" fontId="36" fillId="0" borderId="0" xfId="1" applyNumberFormat="1" applyFont="1"/>
    <xf numFmtId="165" fontId="32" fillId="0" borderId="4" xfId="1" applyNumberFormat="1" applyFont="1" applyFill="1" applyBorder="1"/>
    <xf numFmtId="170" fontId="32" fillId="0" borderId="4" xfId="1" applyNumberFormat="1" applyFont="1" applyBorder="1"/>
    <xf numFmtId="170" fontId="32" fillId="0" borderId="0" xfId="0" applyNumberFormat="1" applyFont="1"/>
    <xf numFmtId="41" fontId="32" fillId="0" borderId="0" xfId="10" applyFont="1"/>
    <xf numFmtId="10" fontId="32" fillId="0" borderId="0" xfId="0" applyNumberFormat="1" applyFont="1"/>
    <xf numFmtId="164" fontId="32" fillId="0" borderId="0" xfId="1" applyFont="1" applyFill="1" applyBorder="1"/>
    <xf numFmtId="170" fontId="33" fillId="0" borderId="4" xfId="1" applyNumberFormat="1" applyFont="1" applyBorder="1"/>
    <xf numFmtId="0" fontId="32" fillId="0" borderId="0" xfId="0" applyFont="1" applyAlignment="1">
      <alignment horizontal="center"/>
    </xf>
    <xf numFmtId="0" fontId="32" fillId="5" borderId="0" xfId="0" quotePrefix="1" applyFont="1" applyFill="1" applyAlignment="1">
      <alignment vertical="top"/>
    </xf>
    <xf numFmtId="164" fontId="32" fillId="5" borderId="0" xfId="1" applyFont="1" applyFill="1" applyAlignment="1">
      <alignment vertical="center"/>
    </xf>
    <xf numFmtId="0" fontId="32" fillId="5" borderId="0" xfId="0" applyFont="1" applyFill="1" applyAlignment="1">
      <alignment vertical="center"/>
    </xf>
    <xf numFmtId="2" fontId="33" fillId="5" borderId="0" xfId="0" applyNumberFormat="1" applyFont="1" applyFill="1" applyAlignment="1">
      <alignment horizontal="left" vertical="center"/>
    </xf>
    <xf numFmtId="0" fontId="32" fillId="5" borderId="0" xfId="0" applyFont="1" applyFill="1" applyAlignment="1">
      <alignment horizontal="left" vertical="center"/>
    </xf>
    <xf numFmtId="172" fontId="32" fillId="5" borderId="0" xfId="0" applyNumberFormat="1" applyFont="1" applyFill="1"/>
    <xf numFmtId="0" fontId="34" fillId="9" borderId="0" xfId="0" applyFont="1" applyFill="1" applyAlignment="1">
      <alignment horizontal="right" wrapText="1"/>
    </xf>
    <xf numFmtId="166" fontId="35" fillId="6" borderId="0" xfId="2" applyNumberFormat="1" applyFont="1" applyFill="1" applyBorder="1" applyAlignment="1">
      <alignment horizontal="left" vertical="top"/>
    </xf>
    <xf numFmtId="0" fontId="34" fillId="9" borderId="0" xfId="0" applyFont="1" applyFill="1" applyAlignment="1">
      <alignment horizontal="center" vertical="top" wrapText="1"/>
    </xf>
    <xf numFmtId="0" fontId="32" fillId="8" borderId="0" xfId="0" applyFont="1" applyFill="1" applyAlignment="1">
      <alignment horizontal="center" vertical="center" wrapText="1"/>
    </xf>
    <xf numFmtId="164" fontId="32" fillId="5" borderId="0" xfId="1" applyFont="1" applyFill="1" applyAlignment="1">
      <alignment horizontal="center" vertical="center"/>
    </xf>
    <xf numFmtId="0" fontId="32" fillId="5" borderId="0" xfId="0" applyFont="1" applyFill="1" applyAlignment="1">
      <alignment horizontal="center"/>
    </xf>
    <xf numFmtId="175" fontId="32" fillId="5" borderId="0" xfId="0" applyNumberFormat="1" applyFont="1" applyFill="1"/>
    <xf numFmtId="172" fontId="32" fillId="5" borderId="0" xfId="0" applyNumberFormat="1" applyFont="1" applyFill="1" applyAlignment="1">
      <alignment horizontal="center"/>
    </xf>
    <xf numFmtId="168" fontId="32" fillId="0" borderId="0" xfId="0" applyNumberFormat="1" applyFont="1" applyAlignment="1">
      <alignment vertical="center"/>
    </xf>
    <xf numFmtId="0" fontId="32" fillId="8" borderId="0" xfId="0" applyFont="1" applyFill="1" applyAlignment="1">
      <alignment horizontal="left" vertical="center"/>
    </xf>
    <xf numFmtId="3" fontId="32" fillId="8" borderId="0" xfId="0" applyNumberFormat="1" applyFont="1" applyFill="1" applyAlignment="1">
      <alignment vertical="center"/>
    </xf>
    <xf numFmtId="164" fontId="32" fillId="0" borderId="0" xfId="1" applyFont="1" applyAlignment="1">
      <alignment vertical="center"/>
    </xf>
    <xf numFmtId="0" fontId="35" fillId="0" borderId="0" xfId="0" applyFont="1" applyAlignment="1">
      <alignment horizontal="left" vertical="center"/>
    </xf>
    <xf numFmtId="164" fontId="32" fillId="0" borderId="0" xfId="1" applyFont="1" applyAlignment="1">
      <alignment horizontal="left" vertical="center"/>
    </xf>
    <xf numFmtId="173" fontId="32" fillId="0" borderId="5" xfId="0" applyNumberFormat="1" applyFont="1" applyBorder="1" applyAlignment="1">
      <alignment vertical="center"/>
    </xf>
    <xf numFmtId="38" fontId="32" fillId="0" borderId="0" xfId="0" applyNumberFormat="1" applyFont="1" applyAlignment="1">
      <alignment vertical="center"/>
    </xf>
    <xf numFmtId="38" fontId="32" fillId="0" borderId="4" xfId="0" applyNumberFormat="1" applyFont="1" applyBorder="1" applyAlignment="1">
      <alignment vertical="center"/>
    </xf>
    <xf numFmtId="173" fontId="32" fillId="0" borderId="4" xfId="1" applyNumberFormat="1" applyFont="1" applyBorder="1" applyAlignment="1">
      <alignment vertical="center"/>
    </xf>
    <xf numFmtId="165" fontId="32" fillId="0" borderId="0" xfId="1" applyNumberFormat="1" applyFont="1" applyAlignment="1">
      <alignment horizontal="left" vertical="center"/>
    </xf>
    <xf numFmtId="170" fontId="32" fillId="0" borderId="0" xfId="1" applyNumberFormat="1" applyFont="1" applyAlignment="1">
      <alignment horizontal="left" vertical="center"/>
    </xf>
    <xf numFmtId="170" fontId="32" fillId="0" borderId="0" xfId="1" applyNumberFormat="1" applyFont="1" applyAlignment="1">
      <alignment vertical="center"/>
    </xf>
    <xf numFmtId="172" fontId="32" fillId="5" borderId="0" xfId="1" applyNumberFormat="1" applyFont="1" applyFill="1" applyBorder="1" applyAlignment="1">
      <alignment vertical="center"/>
    </xf>
    <xf numFmtId="3" fontId="32" fillId="5" borderId="0" xfId="0" applyNumberFormat="1" applyFont="1" applyFill="1" applyAlignment="1">
      <alignment vertical="center"/>
    </xf>
    <xf numFmtId="2" fontId="35" fillId="0" borderId="0" xfId="0" applyNumberFormat="1" applyFont="1" applyAlignment="1">
      <alignment horizontal="left" vertical="center"/>
    </xf>
    <xf numFmtId="2" fontId="33" fillId="0" borderId="0" xfId="0" applyNumberFormat="1" applyFont="1" applyAlignment="1">
      <alignment horizontal="left" vertical="center"/>
    </xf>
    <xf numFmtId="2" fontId="42" fillId="0" borderId="0" xfId="0" applyNumberFormat="1" applyFont="1" applyAlignment="1">
      <alignment horizontal="left" vertical="center"/>
    </xf>
    <xf numFmtId="0" fontId="34" fillId="9" borderId="0" xfId="0" applyFont="1" applyFill="1" applyAlignment="1">
      <alignment vertical="top"/>
    </xf>
    <xf numFmtId="0" fontId="38" fillId="9" borderId="0" xfId="0" applyFont="1" applyFill="1" applyAlignment="1">
      <alignment vertical="top"/>
    </xf>
    <xf numFmtId="0" fontId="34" fillId="9" borderId="0" xfId="0" applyFont="1" applyFill="1" applyAlignment="1">
      <alignment horizontal="right" vertical="top"/>
    </xf>
    <xf numFmtId="3" fontId="32" fillId="0" borderId="0" xfId="0" applyNumberFormat="1" applyFont="1" applyAlignment="1">
      <alignment horizontal="right"/>
    </xf>
    <xf numFmtId="0" fontId="32" fillId="0" borderId="0" xfId="0" applyFont="1" applyAlignment="1">
      <alignment horizontal="right"/>
    </xf>
    <xf numFmtId="9" fontId="32" fillId="0" borderId="0" xfId="2" applyFont="1" applyAlignment="1">
      <alignment horizontal="right"/>
    </xf>
    <xf numFmtId="0" fontId="32" fillId="0" borderId="0" xfId="0" quotePrefix="1" applyFont="1" applyAlignment="1">
      <alignment vertical="top"/>
    </xf>
    <xf numFmtId="3" fontId="32" fillId="0" borderId="0" xfId="0" quotePrefix="1" applyNumberFormat="1" applyFont="1" applyAlignment="1">
      <alignment vertical="top"/>
    </xf>
    <xf numFmtId="3" fontId="32" fillId="0" borderId="0" xfId="0" quotePrefix="1" applyNumberFormat="1" applyFont="1" applyAlignment="1">
      <alignment horizontal="right" vertical="top"/>
    </xf>
    <xf numFmtId="9" fontId="32" fillId="0" borderId="0" xfId="2" applyFont="1" applyFill="1" applyBorder="1" applyAlignment="1">
      <alignment horizontal="right"/>
    </xf>
    <xf numFmtId="0" fontId="34" fillId="9" borderId="0" xfId="0" applyFont="1" applyFill="1" applyAlignment="1">
      <alignment horizontal="right" vertical="top" wrapText="1"/>
    </xf>
    <xf numFmtId="0" fontId="32" fillId="0" borderId="0" xfId="0" applyFont="1" applyAlignment="1">
      <alignment vertical="top"/>
    </xf>
    <xf numFmtId="164" fontId="34" fillId="9" borderId="0" xfId="1" applyFont="1" applyFill="1" applyBorder="1" applyAlignment="1">
      <alignment horizontal="right" vertical="top" wrapText="1"/>
    </xf>
    <xf numFmtId="164" fontId="34" fillId="0" borderId="0" xfId="1" applyFont="1" applyFill="1" applyBorder="1" applyAlignment="1">
      <alignment horizontal="right" vertical="top" wrapText="1"/>
    </xf>
    <xf numFmtId="3" fontId="33" fillId="0" borderId="0" xfId="0" applyNumberFormat="1" applyFont="1"/>
    <xf numFmtId="0" fontId="32" fillId="8" borderId="0" xfId="0" applyFont="1" applyFill="1" applyAlignment="1">
      <alignment horizontal="center"/>
    </xf>
    <xf numFmtId="0" fontId="32" fillId="8" borderId="0" xfId="0" applyFont="1" applyFill="1"/>
    <xf numFmtId="3" fontId="32" fillId="8" borderId="0" xfId="0" applyNumberFormat="1" applyFont="1" applyFill="1"/>
    <xf numFmtId="0" fontId="32" fillId="0" borderId="0" xfId="0" quotePrefix="1" applyFont="1" applyAlignment="1">
      <alignment horizontal="center"/>
    </xf>
    <xf numFmtId="0" fontId="35" fillId="0" borderId="0" xfId="0" applyFont="1"/>
    <xf numFmtId="4" fontId="32" fillId="0" borderId="0" xfId="0" applyNumberFormat="1" applyFont="1" applyAlignment="1">
      <alignment vertical="top"/>
    </xf>
    <xf numFmtId="0" fontId="33" fillId="0" borderId="0" xfId="0" applyFont="1" applyAlignment="1">
      <alignment vertical="top"/>
    </xf>
    <xf numFmtId="0" fontId="35" fillId="0" borderId="0" xfId="0" applyFont="1" applyAlignment="1">
      <alignment vertical="top"/>
    </xf>
    <xf numFmtId="0" fontId="34" fillId="8" borderId="0" xfId="0" applyFont="1" applyFill="1" applyAlignment="1">
      <alignment vertical="top"/>
    </xf>
    <xf numFmtId="0" fontId="38" fillId="8" borderId="0" xfId="0" applyFont="1" applyFill="1" applyAlignment="1">
      <alignment vertical="top"/>
    </xf>
    <xf numFmtId="0" fontId="32" fillId="9" borderId="0" xfId="0" applyFont="1" applyFill="1" applyAlignment="1">
      <alignment vertical="top"/>
    </xf>
    <xf numFmtId="3" fontId="32" fillId="0" borderId="18" xfId="0" applyNumberFormat="1" applyFont="1" applyBorder="1" applyAlignment="1">
      <alignment vertical="top"/>
    </xf>
    <xf numFmtId="0" fontId="32" fillId="0" borderId="0" xfId="0" applyFont="1" applyAlignment="1">
      <alignment horizontal="center" vertical="top"/>
    </xf>
    <xf numFmtId="3" fontId="32" fillId="0" borderId="18" xfId="0" quotePrefix="1" applyNumberFormat="1" applyFont="1" applyBorder="1" applyAlignment="1">
      <alignment vertical="top"/>
    </xf>
    <xf numFmtId="1" fontId="32" fillId="0" borderId="0" xfId="0" applyNumberFormat="1" applyFont="1" applyAlignment="1">
      <alignment vertical="top"/>
    </xf>
    <xf numFmtId="0" fontId="32" fillId="6" borderId="0" xfId="0" applyFont="1" applyFill="1" applyAlignment="1">
      <alignment vertical="top"/>
    </xf>
    <xf numFmtId="0" fontId="32" fillId="8" borderId="0" xfId="0" applyFont="1" applyFill="1" applyAlignment="1">
      <alignment vertical="top"/>
    </xf>
    <xf numFmtId="3" fontId="32" fillId="8" borderId="0" xfId="0" applyNumberFormat="1" applyFont="1" applyFill="1" applyAlignment="1">
      <alignment vertical="top"/>
    </xf>
    <xf numFmtId="3" fontId="32" fillId="8" borderId="0" xfId="0" applyNumberFormat="1" applyFont="1" applyFill="1" applyAlignment="1">
      <alignment horizontal="right" vertical="top"/>
    </xf>
    <xf numFmtId="0" fontId="32" fillId="0" borderId="0" xfId="0" applyFont="1" applyAlignment="1">
      <alignment horizontal="right" vertical="top"/>
    </xf>
    <xf numFmtId="3" fontId="32" fillId="0" borderId="0" xfId="1" applyNumberFormat="1" applyFont="1" applyBorder="1" applyAlignment="1">
      <alignment vertical="top"/>
    </xf>
    <xf numFmtId="167" fontId="32" fillId="0" borderId="0" xfId="0" applyNumberFormat="1" applyFont="1" applyAlignment="1">
      <alignment vertical="top"/>
    </xf>
    <xf numFmtId="0" fontId="32" fillId="5" borderId="0" xfId="0" applyFont="1" applyFill="1" applyAlignment="1">
      <alignment vertical="top"/>
    </xf>
    <xf numFmtId="0" fontId="35" fillId="5" borderId="0" xfId="0" applyFont="1" applyFill="1"/>
    <xf numFmtId="0" fontId="33" fillId="5" borderId="0" xfId="0" applyFont="1" applyFill="1" applyAlignment="1">
      <alignment vertical="top"/>
    </xf>
    <xf numFmtId="0" fontId="32" fillId="5" borderId="0" xfId="0" quotePrefix="1" applyFont="1" applyFill="1" applyAlignment="1">
      <alignment horizontal="left" vertical="top"/>
    </xf>
    <xf numFmtId="2" fontId="32" fillId="5" borderId="0" xfId="1" applyNumberFormat="1" applyFont="1" applyFill="1" applyBorder="1" applyAlignment="1">
      <alignment vertical="top"/>
    </xf>
    <xf numFmtId="0" fontId="32" fillId="5" borderId="0" xfId="0" applyFont="1" applyFill="1" applyAlignment="1">
      <alignment horizontal="center" vertical="top"/>
    </xf>
    <xf numFmtId="3" fontId="32" fillId="5" borderId="0" xfId="0" applyNumberFormat="1" applyFont="1" applyFill="1" applyAlignment="1">
      <alignment vertical="top"/>
    </xf>
    <xf numFmtId="165" fontId="32" fillId="5" borderId="0" xfId="1" applyNumberFormat="1" applyFont="1" applyFill="1" applyBorder="1" applyAlignment="1">
      <alignment vertical="top"/>
    </xf>
    <xf numFmtId="167" fontId="32" fillId="5" borderId="0" xfId="0" applyNumberFormat="1" applyFont="1" applyFill="1" applyAlignment="1">
      <alignment vertical="top"/>
    </xf>
    <xf numFmtId="167" fontId="43" fillId="5" borderId="0" xfId="1" applyNumberFormat="1" applyFont="1" applyFill="1" applyBorder="1" applyAlignment="1">
      <alignment vertical="top"/>
    </xf>
    <xf numFmtId="0" fontId="32" fillId="6" borderId="0" xfId="0" applyFont="1" applyFill="1" applyAlignment="1">
      <alignment horizontal="right" vertical="top"/>
    </xf>
    <xf numFmtId="167" fontId="35" fillId="6" borderId="4" xfId="0" applyNumberFormat="1" applyFont="1" applyFill="1" applyBorder="1" applyAlignment="1">
      <alignment vertical="top"/>
    </xf>
    <xf numFmtId="0" fontId="32" fillId="6" borderId="0" xfId="0" quotePrefix="1" applyFont="1" applyFill="1" applyAlignment="1">
      <alignment vertical="top"/>
    </xf>
    <xf numFmtId="167" fontId="33" fillId="6" borderId="0" xfId="1" applyNumberFormat="1" applyFont="1" applyFill="1" applyBorder="1" applyAlignment="1">
      <alignment vertical="top"/>
    </xf>
    <xf numFmtId="167" fontId="33" fillId="5" borderId="0" xfId="1" applyNumberFormat="1" applyFont="1" applyFill="1" applyBorder="1" applyAlignment="1">
      <alignment vertical="top"/>
    </xf>
    <xf numFmtId="0" fontId="35" fillId="5" borderId="0" xfId="0" applyFont="1" applyFill="1" applyAlignment="1">
      <alignment vertical="top"/>
    </xf>
    <xf numFmtId="166" fontId="32" fillId="5" borderId="0" xfId="2" applyNumberFormat="1" applyFont="1" applyFill="1" applyBorder="1" applyAlignment="1">
      <alignment horizontal="center" vertical="top"/>
    </xf>
    <xf numFmtId="166" fontId="32" fillId="5" borderId="5" xfId="2" applyNumberFormat="1" applyFont="1" applyFill="1" applyBorder="1" applyAlignment="1">
      <alignment vertical="top"/>
    </xf>
    <xf numFmtId="9" fontId="32" fillId="5" borderId="0" xfId="2" applyFont="1" applyFill="1" applyBorder="1" applyAlignment="1">
      <alignment vertical="top"/>
    </xf>
    <xf numFmtId="41" fontId="34" fillId="9" borderId="0" xfId="10" applyFont="1" applyFill="1" applyAlignment="1">
      <alignment horizontal="right" vertical="top" wrapText="1"/>
    </xf>
    <xf numFmtId="164" fontId="32" fillId="5" borderId="0" xfId="1" applyFont="1" applyFill="1" applyBorder="1" applyAlignment="1">
      <alignment horizontal="right" vertical="top"/>
    </xf>
    <xf numFmtId="164" fontId="32" fillId="0" borderId="0" xfId="1" applyFont="1" applyFill="1" applyBorder="1" applyAlignment="1">
      <alignment horizontal="right" vertical="top"/>
    </xf>
    <xf numFmtId="165" fontId="32" fillId="0" borderId="0" xfId="1" applyNumberFormat="1" applyFont="1" applyBorder="1" applyAlignment="1">
      <alignment vertical="top"/>
    </xf>
    <xf numFmtId="0" fontId="32" fillId="0" borderId="0" xfId="0" quotePrefix="1" applyFont="1" applyAlignment="1">
      <alignment horizontal="left" vertical="top"/>
    </xf>
    <xf numFmtId="2" fontId="32" fillId="0" borderId="0" xfId="1" applyNumberFormat="1" applyFont="1" applyFill="1" applyBorder="1" applyAlignment="1">
      <alignment vertical="top"/>
    </xf>
    <xf numFmtId="165" fontId="32" fillId="0" borderId="0" xfId="0" applyNumberFormat="1" applyFont="1" applyAlignment="1">
      <alignment vertical="top"/>
    </xf>
    <xf numFmtId="165" fontId="44" fillId="0" borderId="0" xfId="1" applyNumberFormat="1" applyFont="1" applyBorder="1" applyAlignment="1">
      <alignment vertical="top"/>
    </xf>
    <xf numFmtId="167" fontId="44" fillId="0" borderId="0" xfId="1" applyNumberFormat="1" applyFont="1" applyBorder="1" applyAlignment="1">
      <alignment vertical="top"/>
    </xf>
    <xf numFmtId="164" fontId="32" fillId="6" borderId="0" xfId="1" applyFont="1" applyFill="1" applyBorder="1" applyAlignment="1">
      <alignment horizontal="left" vertical="top"/>
    </xf>
    <xf numFmtId="166" fontId="32" fillId="0" borderId="0" xfId="2" applyNumberFormat="1" applyFont="1" applyBorder="1" applyAlignment="1">
      <alignment horizontal="center" vertical="top"/>
    </xf>
    <xf numFmtId="166" fontId="32" fillId="0" borderId="5" xfId="2" applyNumberFormat="1" applyFont="1" applyBorder="1" applyAlignment="1">
      <alignment vertical="top"/>
    </xf>
    <xf numFmtId="9" fontId="32" fillId="0" borderId="0" xfId="2" applyFont="1" applyBorder="1" applyAlignment="1">
      <alignment vertical="top"/>
    </xf>
    <xf numFmtId="3" fontId="35" fillId="0" borderId="0" xfId="0" applyNumberFormat="1" applyFont="1"/>
    <xf numFmtId="3" fontId="33" fillId="0" borderId="0" xfId="0" applyNumberFormat="1" applyFont="1" applyAlignment="1">
      <alignment vertical="top"/>
    </xf>
    <xf numFmtId="3" fontId="34" fillId="9" borderId="0" xfId="0" applyNumberFormat="1" applyFont="1" applyFill="1" applyAlignment="1">
      <alignment vertical="top"/>
    </xf>
    <xf numFmtId="3" fontId="38" fillId="9" borderId="0" xfId="0" applyNumberFormat="1" applyFont="1" applyFill="1"/>
    <xf numFmtId="3" fontId="38" fillId="5" borderId="0" xfId="0" applyNumberFormat="1" applyFont="1" applyFill="1"/>
    <xf numFmtId="3" fontId="32" fillId="9" borderId="0" xfId="0" applyNumberFormat="1" applyFont="1" applyFill="1" applyAlignment="1">
      <alignment horizontal="center"/>
    </xf>
    <xf numFmtId="3" fontId="32" fillId="9" borderId="0" xfId="1" applyNumberFormat="1" applyFont="1" applyFill="1" applyBorder="1"/>
    <xf numFmtId="3" fontId="32" fillId="6" borderId="0" xfId="1" applyNumberFormat="1" applyFont="1" applyFill="1" applyBorder="1" applyAlignment="1">
      <alignment horizontal="right"/>
    </xf>
    <xf numFmtId="3" fontId="32" fillId="5" borderId="0" xfId="2" applyNumberFormat="1" applyFont="1" applyFill="1" applyBorder="1" applyAlignment="1">
      <alignment vertical="top"/>
    </xf>
    <xf numFmtId="3" fontId="33" fillId="0" borderId="0" xfId="1" applyNumberFormat="1" applyFont="1" applyFill="1" applyBorder="1"/>
    <xf numFmtId="3" fontId="32" fillId="6" borderId="0" xfId="1" applyNumberFormat="1" applyFont="1" applyFill="1" applyBorder="1"/>
    <xf numFmtId="3" fontId="35" fillId="0" borderId="0" xfId="0" applyNumberFormat="1" applyFont="1" applyAlignment="1">
      <alignment horizontal="left"/>
    </xf>
    <xf numFmtId="171" fontId="32" fillId="0" borderId="0" xfId="0" applyNumberFormat="1" applyFont="1" applyAlignment="1">
      <alignment horizontal="center" vertical="top"/>
    </xf>
    <xf numFmtId="167" fontId="32" fillId="0" borderId="0" xfId="0" applyNumberFormat="1" applyFont="1" applyAlignment="1">
      <alignment horizontal="center" vertical="top"/>
    </xf>
    <xf numFmtId="3" fontId="33" fillId="0" borderId="0" xfId="1" applyNumberFormat="1" applyFont="1" applyAlignment="1">
      <alignment vertical="top"/>
    </xf>
    <xf numFmtId="3" fontId="33" fillId="6" borderId="0" xfId="1" applyNumberFormat="1" applyFont="1" applyFill="1" applyAlignment="1">
      <alignment vertical="top"/>
    </xf>
    <xf numFmtId="165" fontId="32" fillId="0" borderId="5" xfId="1" applyNumberFormat="1" applyFont="1" applyBorder="1" applyAlignment="1">
      <alignment vertical="top"/>
    </xf>
    <xf numFmtId="3" fontId="32" fillId="6" borderId="0" xfId="1" applyNumberFormat="1" applyFont="1" applyFill="1" applyAlignment="1">
      <alignment vertical="top"/>
    </xf>
    <xf numFmtId="170" fontId="32" fillId="0" borderId="5" xfId="1" applyNumberFormat="1" applyFont="1" applyBorder="1" applyAlignment="1">
      <alignment vertical="top"/>
    </xf>
    <xf numFmtId="170" fontId="32" fillId="0" borderId="6" xfId="1" applyNumberFormat="1" applyFont="1" applyBorder="1" applyAlignment="1">
      <alignment vertical="top"/>
    </xf>
    <xf numFmtId="165" fontId="32" fillId="0" borderId="6" xfId="1" applyNumberFormat="1" applyFont="1" applyBorder="1" applyAlignment="1">
      <alignment vertical="top"/>
    </xf>
    <xf numFmtId="3" fontId="32" fillId="0" borderId="4" xfId="0" applyNumberFormat="1" applyFont="1" applyBorder="1" applyAlignment="1">
      <alignment vertical="top"/>
    </xf>
    <xf numFmtId="0" fontId="37" fillId="0" borderId="0" xfId="0" applyFont="1" applyAlignment="1">
      <alignment vertical="top"/>
    </xf>
    <xf numFmtId="0" fontId="34" fillId="9" borderId="0" xfId="0" applyFont="1" applyFill="1" applyAlignment="1">
      <alignment vertical="top" wrapText="1"/>
    </xf>
    <xf numFmtId="164" fontId="32" fillId="0" borderId="0" xfId="1" applyFont="1" applyBorder="1" applyAlignment="1">
      <alignment horizontal="right" vertical="top" wrapText="1"/>
    </xf>
    <xf numFmtId="169" fontId="32" fillId="0" borderId="6" xfId="1" applyNumberFormat="1" applyFont="1" applyBorder="1" applyAlignment="1">
      <alignment vertical="top"/>
    </xf>
    <xf numFmtId="167" fontId="32" fillId="0" borderId="0" xfId="1" applyNumberFormat="1" applyFont="1" applyBorder="1" applyAlignment="1">
      <alignment vertical="top"/>
    </xf>
    <xf numFmtId="167" fontId="32" fillId="0" borderId="6" xfId="1" applyNumberFormat="1" applyFont="1" applyBorder="1" applyAlignment="1">
      <alignment vertical="top"/>
    </xf>
    <xf numFmtId="164" fontId="32" fillId="0" borderId="0" xfId="1" applyFont="1" applyBorder="1" applyAlignment="1">
      <alignment horizontal="right" vertical="top"/>
    </xf>
    <xf numFmtId="9" fontId="33" fillId="0" borderId="0" xfId="2" applyFont="1" applyAlignment="1">
      <alignment vertical="center"/>
    </xf>
    <xf numFmtId="0" fontId="32" fillId="14" borderId="0" xfId="0" applyFont="1" applyFill="1" applyAlignment="1">
      <alignment vertical="center"/>
    </xf>
    <xf numFmtId="185" fontId="32" fillId="0" borderId="0" xfId="0" applyNumberFormat="1" applyFont="1" applyAlignment="1">
      <alignment vertical="center"/>
    </xf>
    <xf numFmtId="0" fontId="30" fillId="0" borderId="0" xfId="0" quotePrefix="1" applyFont="1" applyAlignment="1">
      <alignment vertical="center"/>
    </xf>
    <xf numFmtId="172" fontId="32" fillId="5" borderId="0" xfId="0" applyNumberFormat="1" applyFont="1" applyFill="1" applyAlignment="1">
      <alignment vertical="center"/>
    </xf>
    <xf numFmtId="168" fontId="32" fillId="0" borderId="4" xfId="0" applyNumberFormat="1" applyFont="1" applyBorder="1" applyAlignment="1">
      <alignment vertical="center"/>
    </xf>
    <xf numFmtId="172" fontId="32" fillId="0" borderId="0" xfId="0" applyNumberFormat="1" applyFont="1" applyAlignment="1">
      <alignment vertical="center"/>
    </xf>
    <xf numFmtId="0" fontId="34" fillId="5" borderId="0" xfId="0" applyFont="1" applyFill="1" applyAlignment="1">
      <alignment horizontal="center" vertical="top" wrapText="1"/>
    </xf>
    <xf numFmtId="0" fontId="34" fillId="5" borderId="0" xfId="0" applyFont="1" applyFill="1" applyAlignment="1">
      <alignment horizontal="right" wrapText="1"/>
    </xf>
    <xf numFmtId="165" fontId="35" fillId="0" borderId="0" xfId="0" applyNumberFormat="1" applyFont="1" applyAlignment="1">
      <alignment vertical="center"/>
    </xf>
    <xf numFmtId="186" fontId="32" fillId="0" borderId="0" xfId="0" applyNumberFormat="1" applyFont="1" applyAlignment="1">
      <alignment vertical="center"/>
    </xf>
    <xf numFmtId="164" fontId="32" fillId="5" borderId="0" xfId="1" applyFont="1" applyFill="1" applyBorder="1" applyAlignment="1">
      <alignment vertical="center"/>
    </xf>
    <xf numFmtId="177" fontId="32" fillId="5" borderId="0" xfId="0" applyNumberFormat="1" applyFont="1" applyFill="1" applyAlignment="1">
      <alignment vertical="center"/>
    </xf>
    <xf numFmtId="0" fontId="32" fillId="0" borderId="1" xfId="0" applyFont="1" applyBorder="1"/>
    <xf numFmtId="0" fontId="32" fillId="0" borderId="1" xfId="0" applyFont="1" applyBorder="1" applyAlignment="1">
      <alignment horizontal="right"/>
    </xf>
    <xf numFmtId="41" fontId="34" fillId="9" borderId="0" xfId="10" applyFont="1" applyFill="1" applyAlignment="1">
      <alignment horizontal="center" vertical="top" wrapText="1"/>
    </xf>
    <xf numFmtId="165" fontId="32" fillId="5" borderId="20" xfId="1" applyNumberFormat="1" applyFont="1" applyFill="1" applyBorder="1" applyAlignment="1">
      <alignment vertical="top"/>
    </xf>
    <xf numFmtId="187" fontId="32" fillId="0" borderId="0" xfId="10" applyNumberFormat="1" applyFont="1"/>
    <xf numFmtId="0" fontId="38" fillId="0" borderId="0" xfId="0" applyFont="1" applyAlignment="1">
      <alignment vertical="top"/>
    </xf>
    <xf numFmtId="40" fontId="35" fillId="0" borderId="0" xfId="0" applyNumberFormat="1" applyFont="1" applyAlignment="1">
      <alignment horizontal="left"/>
    </xf>
    <xf numFmtId="173" fontId="33" fillId="0" borderId="0" xfId="0" applyNumberFormat="1" applyFont="1"/>
    <xf numFmtId="38" fontId="32" fillId="0" borderId="0" xfId="0" applyNumberFormat="1" applyFont="1" applyAlignment="1">
      <alignment horizontal="left"/>
    </xf>
    <xf numFmtId="0" fontId="32" fillId="0" borderId="0" xfId="0" applyFont="1" applyAlignment="1">
      <alignment horizontal="left"/>
    </xf>
    <xf numFmtId="174" fontId="32" fillId="0" borderId="0" xfId="1" applyNumberFormat="1" applyFont="1" applyFill="1" applyBorder="1" applyAlignment="1">
      <alignment horizontal="center"/>
    </xf>
    <xf numFmtId="173" fontId="32" fillId="0" borderId="0" xfId="1" applyNumberFormat="1" applyFont="1" applyFill="1" applyBorder="1"/>
    <xf numFmtId="170" fontId="32" fillId="0" borderId="0" xfId="1" applyNumberFormat="1" applyFont="1" applyFill="1" applyBorder="1"/>
    <xf numFmtId="40" fontId="32" fillId="0" borderId="0" xfId="0" applyNumberFormat="1" applyFont="1" applyAlignment="1">
      <alignment horizontal="left"/>
    </xf>
    <xf numFmtId="40" fontId="32" fillId="0" borderId="0" xfId="1" applyNumberFormat="1" applyFont="1" applyFill="1" applyBorder="1" applyAlignment="1">
      <alignment horizontal="center"/>
    </xf>
    <xf numFmtId="38" fontId="32" fillId="0" borderId="0" xfId="1" applyNumberFormat="1" applyFont="1" applyFill="1" applyBorder="1"/>
    <xf numFmtId="164" fontId="32" fillId="0" borderId="0" xfId="1" applyFont="1" applyFill="1" applyBorder="1" applyAlignment="1">
      <alignment horizontal="left"/>
    </xf>
    <xf numFmtId="170" fontId="32" fillId="0" borderId="0" xfId="1" applyNumberFormat="1" applyFont="1" applyFill="1" applyBorder="1" applyAlignment="1"/>
    <xf numFmtId="170" fontId="32" fillId="0" borderId="0" xfId="1" applyNumberFormat="1" applyFont="1" applyFill="1" applyBorder="1" applyAlignment="1">
      <alignment horizontal="right"/>
    </xf>
    <xf numFmtId="172" fontId="32" fillId="0" borderId="0" xfId="0" applyNumberFormat="1" applyFont="1" applyAlignment="1">
      <alignment horizontal="left"/>
    </xf>
    <xf numFmtId="0" fontId="45" fillId="0" borderId="0" xfId="0" quotePrefix="1" applyFont="1"/>
    <xf numFmtId="172" fontId="32" fillId="0" borderId="0" xfId="0" applyNumberFormat="1" applyFont="1"/>
    <xf numFmtId="0" fontId="33" fillId="0" borderId="0" xfId="0" applyFont="1"/>
    <xf numFmtId="0" fontId="35" fillId="0" borderId="0" xfId="0" applyFont="1" applyAlignment="1">
      <alignment horizontal="right"/>
    </xf>
    <xf numFmtId="41" fontId="32" fillId="5" borderId="0" xfId="10" quotePrefix="1" applyFont="1" applyFill="1" applyAlignment="1">
      <alignment vertical="top"/>
    </xf>
    <xf numFmtId="41" fontId="32" fillId="5" borderId="0" xfId="10" quotePrefix="1" applyFont="1" applyFill="1" applyBorder="1" applyAlignment="1">
      <alignment horizontal="left" vertical="top"/>
    </xf>
    <xf numFmtId="3" fontId="32" fillId="0" borderId="6" xfId="1" applyNumberFormat="1" applyFont="1" applyBorder="1" applyAlignment="1">
      <alignment vertical="top"/>
    </xf>
    <xf numFmtId="165" fontId="33" fillId="0" borderId="4" xfId="1" applyNumberFormat="1" applyFont="1" applyBorder="1"/>
    <xf numFmtId="165" fontId="33" fillId="0" borderId="4" xfId="1" applyNumberFormat="1" applyFont="1" applyFill="1" applyBorder="1"/>
    <xf numFmtId="167" fontId="32" fillId="0" borderId="4" xfId="1" applyNumberFormat="1" applyFont="1" applyFill="1" applyBorder="1"/>
    <xf numFmtId="169" fontId="33" fillId="0" borderId="4" xfId="1" applyNumberFormat="1" applyFont="1" applyBorder="1"/>
    <xf numFmtId="3" fontId="32" fillId="0" borderId="21" xfId="0" quotePrefix="1" applyNumberFormat="1" applyFont="1" applyBorder="1" applyAlignment="1">
      <alignment vertical="top"/>
    </xf>
    <xf numFmtId="170" fontId="33" fillId="0" borderId="4" xfId="1" applyNumberFormat="1" applyFont="1" applyFill="1" applyBorder="1"/>
    <xf numFmtId="184" fontId="32" fillId="0" borderId="19" xfId="0" quotePrefix="1" applyNumberFormat="1" applyFont="1" applyBorder="1" applyAlignment="1">
      <alignment vertical="top"/>
    </xf>
    <xf numFmtId="3" fontId="33" fillId="0" borderId="0" xfId="1" applyNumberFormat="1" applyFont="1"/>
    <xf numFmtId="0" fontId="35" fillId="0" borderId="0" xfId="0" applyFont="1" applyAlignment="1">
      <alignment horizontal="left"/>
    </xf>
    <xf numFmtId="165" fontId="32" fillId="0" borderId="0" xfId="1" applyNumberFormat="1" applyFont="1" applyAlignment="1">
      <alignment horizontal="left"/>
    </xf>
    <xf numFmtId="3" fontId="32" fillId="0" borderId="0" xfId="0" quotePrefix="1" applyNumberFormat="1" applyFont="1"/>
    <xf numFmtId="0" fontId="34" fillId="9" borderId="16" xfId="0" applyFont="1" applyFill="1" applyBorder="1" applyAlignment="1">
      <alignment horizontal="right" vertical="top" wrapText="1"/>
    </xf>
    <xf numFmtId="3" fontId="32" fillId="5" borderId="0" xfId="1" applyNumberFormat="1" applyFont="1" applyFill="1" applyBorder="1" applyAlignment="1">
      <alignment vertical="top"/>
    </xf>
    <xf numFmtId="3" fontId="32" fillId="6" borderId="0" xfId="1" applyNumberFormat="1" applyFont="1" applyFill="1" applyBorder="1" applyAlignment="1">
      <alignment vertical="top"/>
    </xf>
    <xf numFmtId="3" fontId="32" fillId="6" borderId="4" xfId="0" applyNumberFormat="1" applyFont="1" applyFill="1" applyBorder="1" applyAlignment="1">
      <alignment vertical="top"/>
    </xf>
    <xf numFmtId="3" fontId="32" fillId="5" borderId="0" xfId="10" quotePrefix="1" applyNumberFormat="1" applyFont="1" applyFill="1" applyAlignment="1">
      <alignment vertical="top"/>
    </xf>
    <xf numFmtId="3" fontId="32" fillId="5" borderId="0" xfId="10" quotePrefix="1" applyNumberFormat="1" applyFont="1" applyFill="1" applyBorder="1" applyAlignment="1">
      <alignment horizontal="left" vertical="top"/>
    </xf>
    <xf numFmtId="166" fontId="32" fillId="0" borderId="0" xfId="2" applyNumberFormat="1" applyFont="1"/>
    <xf numFmtId="0" fontId="32" fillId="5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5" fillId="12" borderId="0" xfId="0" applyFont="1" applyFill="1" applyAlignment="1">
      <alignment vertical="top"/>
    </xf>
    <xf numFmtId="0" fontId="35" fillId="0" borderId="0" xfId="0" applyFont="1" applyAlignment="1">
      <alignment horizontal="center" vertical="top"/>
    </xf>
    <xf numFmtId="0" fontId="35" fillId="0" borderId="0" xfId="0" applyFont="1" applyAlignment="1">
      <alignment horizontal="center"/>
    </xf>
    <xf numFmtId="0" fontId="32" fillId="0" borderId="22" xfId="0" applyFont="1" applyBorder="1" applyAlignment="1">
      <alignment horizontal="center"/>
    </xf>
    <xf numFmtId="0" fontId="32" fillId="0" borderId="22" xfId="0" applyFont="1" applyBorder="1" applyAlignment="1">
      <alignment horizontal="center" vertical="center"/>
    </xf>
    <xf numFmtId="0" fontId="32" fillId="5" borderId="22" xfId="0" applyFont="1" applyFill="1" applyBorder="1" applyAlignment="1">
      <alignment horizontal="center" vertical="center"/>
    </xf>
    <xf numFmtId="0" fontId="35" fillId="0" borderId="22" xfId="0" applyFont="1" applyBorder="1"/>
    <xf numFmtId="0" fontId="35" fillId="15" borderId="0" xfId="0" applyFont="1" applyFill="1" applyAlignment="1">
      <alignment horizontal="center" vertical="top"/>
    </xf>
    <xf numFmtId="0" fontId="35" fillId="15" borderId="0" xfId="0" applyFont="1" applyFill="1" applyAlignment="1">
      <alignment horizontal="center" vertical="top" wrapText="1"/>
    </xf>
    <xf numFmtId="0" fontId="35" fillId="2" borderId="0" xfId="0" applyFont="1" applyFill="1" applyAlignment="1">
      <alignment horizontal="center" vertical="top"/>
    </xf>
    <xf numFmtId="0" fontId="35" fillId="2" borderId="0" xfId="0" applyFont="1" applyFill="1" applyAlignment="1">
      <alignment horizontal="center" vertical="top" wrapText="1"/>
    </xf>
    <xf numFmtId="0" fontId="35" fillId="16" borderId="0" xfId="0" applyFont="1" applyFill="1" applyAlignment="1">
      <alignment horizontal="center" vertical="top"/>
    </xf>
    <xf numFmtId="0" fontId="35" fillId="16" borderId="0" xfId="0" applyFont="1" applyFill="1" applyAlignment="1">
      <alignment horizontal="center" vertical="top" wrapText="1"/>
    </xf>
    <xf numFmtId="0" fontId="35" fillId="4" borderId="0" xfId="0" applyFont="1" applyFill="1" applyAlignment="1">
      <alignment horizontal="center" vertical="top"/>
    </xf>
    <xf numFmtId="0" fontId="35" fillId="4" borderId="0" xfId="0" applyFont="1" applyFill="1" applyAlignment="1">
      <alignment horizontal="center" vertical="top" wrapText="1"/>
    </xf>
    <xf numFmtId="0" fontId="35" fillId="5" borderId="0" xfId="0" applyFont="1" applyFill="1" applyAlignment="1">
      <alignment horizontal="center" vertical="top"/>
    </xf>
    <xf numFmtId="0" fontId="35" fillId="0" borderId="22" xfId="0" applyFont="1" applyBorder="1" applyAlignment="1">
      <alignment horizontal="center"/>
    </xf>
    <xf numFmtId="0" fontId="32" fillId="17" borderId="22" xfId="0" applyFont="1" applyFill="1" applyBorder="1" applyAlignment="1">
      <alignment horizontal="center"/>
    </xf>
    <xf numFmtId="0" fontId="32" fillId="17" borderId="0" xfId="0" applyFont="1" applyFill="1" applyAlignment="1">
      <alignment horizontal="center"/>
    </xf>
    <xf numFmtId="0" fontId="32" fillId="17" borderId="22" xfId="0" applyFont="1" applyFill="1" applyBorder="1" applyAlignment="1">
      <alignment horizontal="center" vertical="center"/>
    </xf>
    <xf numFmtId="0" fontId="32" fillId="17" borderId="0" xfId="0" applyFont="1" applyFill="1"/>
    <xf numFmtId="175" fontId="32" fillId="0" borderId="0" xfId="0" applyNumberFormat="1" applyFont="1" applyAlignment="1">
      <alignment vertical="center"/>
    </xf>
    <xf numFmtId="172" fontId="32" fillId="0" borderId="0" xfId="1" applyNumberFormat="1" applyFont="1" applyAlignment="1">
      <alignment vertical="center"/>
    </xf>
    <xf numFmtId="177" fontId="32" fillId="0" borderId="0" xfId="0" applyNumberFormat="1" applyFont="1" applyAlignment="1">
      <alignment vertical="center"/>
    </xf>
    <xf numFmtId="177" fontId="32" fillId="0" borderId="0" xfId="1" applyNumberFormat="1" applyFont="1" applyAlignment="1">
      <alignment horizontal="left" vertical="center"/>
    </xf>
    <xf numFmtId="177" fontId="32" fillId="0" borderId="0" xfId="1" applyNumberFormat="1" applyFont="1" applyAlignment="1">
      <alignment vertical="center"/>
    </xf>
    <xf numFmtId="0" fontId="46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166" fontId="35" fillId="12" borderId="0" xfId="2" applyNumberFormat="1" applyFont="1" applyFill="1" applyBorder="1" applyAlignment="1">
      <alignment horizontal="left" vertical="top"/>
    </xf>
    <xf numFmtId="164" fontId="34" fillId="9" borderId="0" xfId="1" applyFont="1" applyFill="1" applyBorder="1" applyAlignment="1">
      <alignment vertical="top" wrapText="1"/>
    </xf>
    <xf numFmtId="164" fontId="32" fillId="0" borderId="0" xfId="1" applyFont="1" applyFill="1" applyBorder="1" applyAlignment="1">
      <alignment vertical="center"/>
    </xf>
    <xf numFmtId="0" fontId="45" fillId="5" borderId="0" xfId="0" applyFont="1" applyFill="1" applyAlignment="1">
      <alignment vertical="center"/>
    </xf>
    <xf numFmtId="41" fontId="32" fillId="5" borderId="0" xfId="10" applyFont="1" applyFill="1" applyAlignment="1">
      <alignment vertical="top"/>
    </xf>
    <xf numFmtId="41" fontId="32" fillId="0" borderId="0" xfId="10" applyFont="1" applyFill="1" applyBorder="1"/>
    <xf numFmtId="0" fontId="33" fillId="0" borderId="0" xfId="0" quotePrefix="1" applyFont="1" applyAlignment="1">
      <alignment horizontal="right"/>
    </xf>
    <xf numFmtId="166" fontId="32" fillId="0" borderId="0" xfId="2" applyNumberFormat="1" applyFont="1" applyFill="1" applyBorder="1"/>
    <xf numFmtId="10" fontId="40" fillId="0" borderId="0" xfId="2" applyNumberFormat="1" applyFont="1" applyFill="1" applyBorder="1"/>
    <xf numFmtId="41" fontId="32" fillId="0" borderId="0" xfId="10" applyFont="1" applyFill="1" applyBorder="1" applyAlignment="1">
      <alignment horizontal="left"/>
    </xf>
    <xf numFmtId="166" fontId="35" fillId="0" borderId="4" xfId="0" applyNumberFormat="1" applyFont="1" applyBorder="1"/>
    <xf numFmtId="0" fontId="33" fillId="3" borderId="4" xfId="0" applyFont="1" applyFill="1" applyBorder="1"/>
    <xf numFmtId="0" fontId="32" fillId="5" borderId="0" xfId="0" quotePrefix="1" applyFont="1" applyFill="1" applyAlignment="1">
      <alignment horizontal="center" vertical="top"/>
    </xf>
    <xf numFmtId="2" fontId="32" fillId="5" borderId="0" xfId="10" applyNumberFormat="1" applyFont="1" applyFill="1" applyAlignment="1">
      <alignment vertical="top"/>
    </xf>
    <xf numFmtId="41" fontId="32" fillId="5" borderId="0" xfId="10" applyFont="1" applyFill="1"/>
    <xf numFmtId="41" fontId="32" fillId="5" borderId="0" xfId="10" quotePrefix="1" applyFont="1" applyFill="1"/>
    <xf numFmtId="187" fontId="33" fillId="0" borderId="0" xfId="10" applyNumberFormat="1" applyFont="1"/>
    <xf numFmtId="41" fontId="32" fillId="0" borderId="12" xfId="10" applyFont="1" applyBorder="1"/>
    <xf numFmtId="0" fontId="32" fillId="0" borderId="13" xfId="0" applyFont="1" applyBorder="1"/>
    <xf numFmtId="41" fontId="32" fillId="0" borderId="14" xfId="10" applyFont="1" applyBorder="1"/>
    <xf numFmtId="0" fontId="32" fillId="0" borderId="15" xfId="0" applyFont="1" applyBorder="1"/>
    <xf numFmtId="41" fontId="35" fillId="6" borderId="23" xfId="10" applyFont="1" applyFill="1" applyBorder="1"/>
    <xf numFmtId="0" fontId="32" fillId="6" borderId="2" xfId="0" applyFont="1" applyFill="1" applyBorder="1"/>
    <xf numFmtId="0" fontId="32" fillId="6" borderId="24" xfId="0" applyFont="1" applyFill="1" applyBorder="1"/>
    <xf numFmtId="0" fontId="39" fillId="5" borderId="0" xfId="0" applyFont="1" applyFill="1" applyAlignment="1">
      <alignment horizontal="center" vertical="top"/>
    </xf>
    <xf numFmtId="41" fontId="37" fillId="0" borderId="0" xfId="10" applyFont="1"/>
    <xf numFmtId="188" fontId="32" fillId="0" borderId="0" xfId="10" applyNumberFormat="1" applyFont="1"/>
    <xf numFmtId="188" fontId="37" fillId="0" borderId="0" xfId="10" applyNumberFormat="1" applyFont="1"/>
    <xf numFmtId="0" fontId="37" fillId="5" borderId="0" xfId="0" applyFont="1" applyFill="1" applyAlignment="1">
      <alignment vertical="top"/>
    </xf>
    <xf numFmtId="167" fontId="32" fillId="5" borderId="0" xfId="1" applyNumberFormat="1" applyFont="1" applyFill="1" applyBorder="1" applyAlignment="1">
      <alignment vertical="top"/>
    </xf>
    <xf numFmtId="3" fontId="32" fillId="5" borderId="6" xfId="0" applyNumberFormat="1" applyFont="1" applyFill="1" applyBorder="1" applyAlignment="1">
      <alignment vertical="top"/>
    </xf>
    <xf numFmtId="41" fontId="32" fillId="5" borderId="5" xfId="10" applyFont="1" applyFill="1" applyBorder="1" applyAlignment="1">
      <alignment vertical="top"/>
    </xf>
    <xf numFmtId="41" fontId="32" fillId="5" borderId="6" xfId="10" applyFont="1" applyFill="1" applyBorder="1" applyAlignment="1">
      <alignment vertical="top"/>
    </xf>
    <xf numFmtId="3" fontId="32" fillId="5" borderId="0" xfId="0" applyNumberFormat="1" applyFont="1" applyFill="1" applyAlignment="1">
      <alignment horizontal="center"/>
    </xf>
    <xf numFmtId="41" fontId="32" fillId="5" borderId="5" xfId="10" quotePrefix="1" applyFont="1" applyFill="1" applyBorder="1" applyAlignment="1">
      <alignment horizontal="left" vertical="top"/>
    </xf>
    <xf numFmtId="3" fontId="32" fillId="5" borderId="6" xfId="0" applyNumberFormat="1" applyFont="1" applyFill="1" applyBorder="1"/>
    <xf numFmtId="4" fontId="32" fillId="5" borderId="5" xfId="10" quotePrefix="1" applyNumberFormat="1" applyFont="1" applyFill="1" applyBorder="1" applyAlignment="1">
      <alignment horizontal="right" vertical="top"/>
    </xf>
    <xf numFmtId="168" fontId="32" fillId="5" borderId="6" xfId="0" applyNumberFormat="1" applyFont="1" applyFill="1" applyBorder="1" applyAlignment="1">
      <alignment vertical="top"/>
    </xf>
    <xf numFmtId="41" fontId="32" fillId="5" borderId="6" xfId="0" applyNumberFormat="1" applyFont="1" applyFill="1" applyBorder="1" applyAlignment="1">
      <alignment vertical="top"/>
    </xf>
    <xf numFmtId="41" fontId="32" fillId="5" borderId="0" xfId="10" applyFont="1" applyFill="1" applyBorder="1" applyAlignment="1">
      <alignment vertical="top"/>
    </xf>
    <xf numFmtId="172" fontId="32" fillId="10" borderId="0" xfId="0" applyNumberFormat="1" applyFont="1" applyFill="1"/>
    <xf numFmtId="172" fontId="39" fillId="10" borderId="0" xfId="0" applyNumberFormat="1" applyFont="1" applyFill="1"/>
    <xf numFmtId="172" fontId="32" fillId="0" borderId="0" xfId="10" applyNumberFormat="1" applyFont="1"/>
    <xf numFmtId="170" fontId="32" fillId="0" borderId="0" xfId="0" quotePrefix="1" applyNumberFormat="1" applyFont="1"/>
    <xf numFmtId="3" fontId="32" fillId="0" borderId="3" xfId="0" applyNumberFormat="1" applyFont="1" applyBorder="1"/>
    <xf numFmtId="3" fontId="32" fillId="0" borderId="11" xfId="0" applyNumberFormat="1" applyFont="1" applyBorder="1"/>
    <xf numFmtId="3" fontId="32" fillId="0" borderId="13" xfId="0" applyNumberFormat="1" applyFont="1" applyBorder="1"/>
    <xf numFmtId="3" fontId="32" fillId="0" borderId="1" xfId="0" applyNumberFormat="1" applyFont="1" applyBorder="1"/>
    <xf numFmtId="3" fontId="32" fillId="0" borderId="15" xfId="0" applyNumberFormat="1" applyFont="1" applyBorder="1"/>
    <xf numFmtId="41" fontId="32" fillId="0" borderId="10" xfId="10" applyFont="1" applyBorder="1"/>
    <xf numFmtId="3" fontId="32" fillId="0" borderId="0" xfId="0" applyNumberFormat="1" applyFont="1" applyAlignment="1">
      <alignment horizontal="left"/>
    </xf>
    <xf numFmtId="41" fontId="32" fillId="0" borderId="0" xfId="10" applyFont="1" applyAlignment="1"/>
    <xf numFmtId="41" fontId="32" fillId="0" borderId="0" xfId="10" applyFont="1" applyAlignment="1">
      <alignment horizontal="center"/>
    </xf>
    <xf numFmtId="166" fontId="32" fillId="0" borderId="1" xfId="2" applyNumberFormat="1" applyFont="1" applyBorder="1"/>
    <xf numFmtId="166" fontId="35" fillId="0" borderId="0" xfId="2" applyNumberFormat="1" applyFont="1"/>
    <xf numFmtId="41" fontId="33" fillId="0" borderId="0" xfId="10" applyFont="1" applyAlignment="1"/>
    <xf numFmtId="0" fontId="48" fillId="0" borderId="0" xfId="0" applyFont="1"/>
    <xf numFmtId="0" fontId="4" fillId="0" borderId="0" xfId="0" applyFont="1" applyAlignment="1">
      <alignment vertical="top"/>
    </xf>
    <xf numFmtId="4" fontId="4" fillId="0" borderId="0" xfId="0" applyNumberFormat="1" applyFont="1" applyAlignment="1">
      <alignment vertical="top"/>
    </xf>
    <xf numFmtId="0" fontId="50" fillId="0" borderId="0" xfId="0" applyFont="1" applyAlignment="1">
      <alignment vertical="top"/>
    </xf>
    <xf numFmtId="0" fontId="47" fillId="9" borderId="0" xfId="0" applyFont="1" applyFill="1" applyAlignment="1">
      <alignment vertical="top"/>
    </xf>
    <xf numFmtId="0" fontId="49" fillId="9" borderId="0" xfId="0" applyFont="1" applyFill="1" applyAlignment="1">
      <alignment vertical="top"/>
    </xf>
    <xf numFmtId="0" fontId="47" fillId="8" borderId="0" xfId="0" applyFont="1" applyFill="1" applyAlignment="1">
      <alignment vertical="top"/>
    </xf>
    <xf numFmtId="0" fontId="49" fillId="8" borderId="0" xfId="0" applyFont="1" applyFill="1" applyAlignment="1">
      <alignment vertical="top"/>
    </xf>
    <xf numFmtId="0" fontId="4" fillId="0" borderId="0" xfId="0" applyFont="1"/>
    <xf numFmtId="3" fontId="4" fillId="0" borderId="0" xfId="0" applyNumberFormat="1" applyFont="1" applyAlignment="1">
      <alignment vertical="top"/>
    </xf>
    <xf numFmtId="3" fontId="4" fillId="0" borderId="0" xfId="10" quotePrefix="1" applyNumberFormat="1" applyFont="1" applyFill="1" applyAlignment="1">
      <alignment vertical="top"/>
    </xf>
    <xf numFmtId="3" fontId="4" fillId="0" borderId="0" xfId="0" applyNumberFormat="1" applyFont="1"/>
    <xf numFmtId="4" fontId="4" fillId="0" borderId="0" xfId="0" applyNumberFormat="1" applyFont="1"/>
    <xf numFmtId="3" fontId="4" fillId="0" borderId="0" xfId="10" quotePrefix="1" applyNumberFormat="1" applyFont="1" applyFill="1" applyBorder="1" applyAlignment="1">
      <alignment horizontal="left" vertical="top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12" borderId="0" xfId="0" applyFont="1" applyFill="1" applyAlignment="1">
      <alignment horizontal="center" vertical="top"/>
    </xf>
    <xf numFmtId="3" fontId="4" fillId="0" borderId="1" xfId="0" applyNumberFormat="1" applyFont="1" applyBorder="1" applyAlignment="1">
      <alignment vertical="top"/>
    </xf>
    <xf numFmtId="41" fontId="4" fillId="5" borderId="0" xfId="10" quotePrefix="1" applyFont="1" applyFill="1" applyAlignment="1">
      <alignment vertical="top"/>
    </xf>
    <xf numFmtId="3" fontId="4" fillId="5" borderId="0" xfId="0" applyNumberFormat="1" applyFont="1" applyFill="1" applyAlignment="1">
      <alignment vertical="top"/>
    </xf>
    <xf numFmtId="2" fontId="4" fillId="5" borderId="0" xfId="0" applyNumberFormat="1" applyFont="1" applyFill="1" applyAlignment="1">
      <alignment horizontal="center" vertical="top"/>
    </xf>
    <xf numFmtId="41" fontId="4" fillId="5" borderId="0" xfId="10" quotePrefix="1" applyFont="1" applyFill="1" applyBorder="1" applyAlignment="1">
      <alignment horizontal="left" vertical="top"/>
    </xf>
    <xf numFmtId="0" fontId="4" fillId="0" borderId="0" xfId="0" quotePrefix="1" applyFont="1" applyAlignment="1">
      <alignment vertical="top"/>
    </xf>
    <xf numFmtId="41" fontId="4" fillId="12" borderId="0" xfId="10" applyFont="1" applyFill="1" applyAlignment="1">
      <alignment horizontal="center" vertical="top"/>
    </xf>
    <xf numFmtId="3" fontId="4" fillId="12" borderId="0" xfId="0" applyNumberFormat="1" applyFont="1" applyFill="1" applyAlignment="1">
      <alignment vertical="top"/>
    </xf>
    <xf numFmtId="2" fontId="4" fillId="12" borderId="0" xfId="0" applyNumberFormat="1" applyFont="1" applyFill="1" applyAlignment="1">
      <alignment horizontal="center" vertical="top"/>
    </xf>
    <xf numFmtId="0" fontId="48" fillId="0" borderId="0" xfId="0" applyFont="1" applyAlignment="1">
      <alignment vertical="top"/>
    </xf>
    <xf numFmtId="172" fontId="39" fillId="5" borderId="0" xfId="0" applyNumberFormat="1" applyFont="1" applyFill="1"/>
    <xf numFmtId="0" fontId="35" fillId="12" borderId="0" xfId="0" applyFont="1" applyFill="1" applyAlignment="1">
      <alignment horizontal="center" vertical="top" wrapText="1"/>
    </xf>
    <xf numFmtId="176" fontId="33" fillId="5" borderId="5" xfId="1" applyNumberFormat="1" applyFont="1" applyFill="1" applyBorder="1" applyAlignment="1">
      <alignment horizontal="center"/>
    </xf>
    <xf numFmtId="41" fontId="32" fillId="0" borderId="0" xfId="10" applyFont="1" applyAlignment="1">
      <alignment horizontal="left"/>
    </xf>
    <xf numFmtId="0" fontId="32" fillId="6" borderId="0" xfId="0" applyFont="1" applyFill="1" applyAlignment="1">
      <alignment horizontal="center"/>
    </xf>
    <xf numFmtId="0" fontId="3" fillId="0" borderId="0" xfId="0" applyFont="1"/>
    <xf numFmtId="41" fontId="3" fillId="0" borderId="0" xfId="10" applyFont="1" applyAlignment="1">
      <alignment vertical="top"/>
    </xf>
    <xf numFmtId="0" fontId="32" fillId="5" borderId="1" xfId="0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/>
    </xf>
    <xf numFmtId="172" fontId="32" fillId="0" borderId="1" xfId="0" applyNumberFormat="1" applyFont="1" applyBorder="1" applyAlignment="1">
      <alignment vertical="center"/>
    </xf>
    <xf numFmtId="172" fontId="32" fillId="6" borderId="0" xfId="0" applyNumberFormat="1" applyFont="1" applyFill="1" applyAlignment="1">
      <alignment vertical="center"/>
    </xf>
    <xf numFmtId="172" fontId="33" fillId="0" borderId="1" xfId="0" applyNumberFormat="1" applyFont="1" applyBorder="1" applyAlignment="1">
      <alignment vertical="center"/>
    </xf>
    <xf numFmtId="172" fontId="33" fillId="0" borderId="0" xfId="0" applyNumberFormat="1" applyFont="1" applyAlignment="1">
      <alignment vertical="center"/>
    </xf>
    <xf numFmtId="0" fontId="35" fillId="0" borderId="0" xfId="0" quotePrefix="1" applyFont="1" applyAlignment="1">
      <alignment vertical="center"/>
    </xf>
    <xf numFmtId="3" fontId="32" fillId="5" borderId="25" xfId="0" applyNumberFormat="1" applyFont="1" applyFill="1" applyBorder="1"/>
    <xf numFmtId="3" fontId="32" fillId="5" borderId="26" xfId="0" applyNumberFormat="1" applyFont="1" applyFill="1" applyBorder="1"/>
    <xf numFmtId="0" fontId="32" fillId="6" borderId="0" xfId="0" applyFont="1" applyFill="1" applyAlignment="1">
      <alignment horizontal="right" wrapText="1"/>
    </xf>
    <xf numFmtId="3" fontId="32" fillId="6" borderId="0" xfId="0" applyNumberFormat="1" applyFont="1" applyFill="1" applyAlignment="1">
      <alignment horizontal="right" wrapText="1"/>
    </xf>
    <xf numFmtId="3" fontId="32" fillId="5" borderId="0" xfId="0" applyNumberFormat="1" applyFont="1" applyFill="1" applyAlignment="1">
      <alignment horizontal="right"/>
    </xf>
    <xf numFmtId="9" fontId="33" fillId="5" borderId="0" xfId="2" applyFont="1" applyFill="1" applyAlignment="1">
      <alignment horizontal="center"/>
    </xf>
    <xf numFmtId="41" fontId="32" fillId="0" borderId="0" xfId="10" quotePrefix="1" applyFont="1"/>
    <xf numFmtId="172" fontId="32" fillId="14" borderId="0" xfId="0" applyNumberFormat="1" applyFont="1" applyFill="1" applyAlignment="1">
      <alignment vertical="center"/>
    </xf>
    <xf numFmtId="0" fontId="34" fillId="9" borderId="0" xfId="0" applyFont="1" applyFill="1" applyAlignment="1">
      <alignment horizontal="center" vertical="center"/>
    </xf>
    <xf numFmtId="0" fontId="34" fillId="9" borderId="0" xfId="0" applyFont="1" applyFill="1" applyAlignment="1">
      <alignment horizontal="right" vertical="center" wrapText="1"/>
    </xf>
    <xf numFmtId="0" fontId="34" fillId="9" borderId="0" xfId="0" applyFont="1" applyFill="1" applyAlignment="1">
      <alignment horizontal="center"/>
    </xf>
    <xf numFmtId="4" fontId="33" fillId="5" borderId="5" xfId="1" applyNumberFormat="1" applyFont="1" applyFill="1" applyBorder="1" applyAlignment="1">
      <alignment horizontal="center"/>
    </xf>
    <xf numFmtId="186" fontId="4" fillId="0" borderId="0" xfId="0" applyNumberFormat="1" applyFont="1" applyAlignment="1">
      <alignment horizontal="center" vertical="top"/>
    </xf>
    <xf numFmtId="4" fontId="32" fillId="5" borderId="4" xfId="0" applyNumberFormat="1" applyFont="1" applyFill="1" applyBorder="1"/>
    <xf numFmtId="184" fontId="33" fillId="5" borderId="0" xfId="1" applyNumberFormat="1" applyFont="1" applyFill="1" applyBorder="1" applyAlignment="1">
      <alignment horizontal="center"/>
    </xf>
    <xf numFmtId="41" fontId="2" fillId="0" borderId="0" xfId="10" applyFont="1" applyAlignment="1">
      <alignment vertical="top"/>
    </xf>
    <xf numFmtId="3" fontId="2" fillId="0" borderId="0" xfId="10" quotePrefix="1" applyNumberFormat="1" applyFont="1" applyFill="1" applyAlignment="1">
      <alignment vertical="top"/>
    </xf>
    <xf numFmtId="41" fontId="2" fillId="5" borderId="0" xfId="10" quotePrefix="1" applyFont="1" applyFill="1" applyAlignment="1">
      <alignment vertical="top"/>
    </xf>
    <xf numFmtId="168" fontId="32" fillId="0" borderId="0" xfId="0" applyNumberFormat="1" applyFont="1"/>
    <xf numFmtId="41" fontId="37" fillId="5" borderId="0" xfId="10" applyFont="1" applyFill="1" applyAlignment="1">
      <alignment vertical="top"/>
    </xf>
    <xf numFmtId="164" fontId="33" fillId="0" borderId="0" xfId="1" applyFont="1"/>
    <xf numFmtId="3" fontId="33" fillId="15" borderId="5" xfId="1" applyNumberFormat="1" applyFont="1" applyFill="1" applyBorder="1" applyAlignment="1">
      <alignment horizontal="center"/>
    </xf>
    <xf numFmtId="4" fontId="33" fillId="15" borderId="5" xfId="1" applyNumberFormat="1" applyFont="1" applyFill="1" applyBorder="1" applyAlignment="1">
      <alignment horizontal="center"/>
    </xf>
    <xf numFmtId="0" fontId="43" fillId="5" borderId="0" xfId="0" applyFont="1" applyFill="1"/>
    <xf numFmtId="0" fontId="43" fillId="5" borderId="0" xfId="0" quotePrefix="1" applyFont="1" applyFill="1"/>
    <xf numFmtId="0" fontId="52" fillId="9" borderId="0" xfId="0" applyFont="1" applyFill="1"/>
    <xf numFmtId="0" fontId="43" fillId="5" borderId="0" xfId="0" applyFont="1" applyFill="1" applyAlignment="1">
      <alignment horizontal="left"/>
    </xf>
    <xf numFmtId="0" fontId="52" fillId="5" borderId="0" xfId="0" applyFont="1" applyFill="1"/>
    <xf numFmtId="3" fontId="52" fillId="5" borderId="19" xfId="1" quotePrefix="1" applyNumberFormat="1" applyFont="1" applyFill="1" applyBorder="1" applyAlignment="1">
      <alignment horizontal="center"/>
    </xf>
    <xf numFmtId="3" fontId="52" fillId="12" borderId="19" xfId="1" applyNumberFormat="1" applyFont="1" applyFill="1" applyBorder="1" applyAlignment="1">
      <alignment horizontal="center"/>
    </xf>
    <xf numFmtId="3" fontId="52" fillId="5" borderId="19" xfId="1" applyNumberFormat="1" applyFont="1" applyFill="1" applyBorder="1" applyAlignment="1">
      <alignment horizontal="center"/>
    </xf>
    <xf numFmtId="3" fontId="43" fillId="5" borderId="19" xfId="1" applyNumberFormat="1" applyFont="1" applyFill="1" applyBorder="1" applyAlignment="1">
      <alignment horizontal="center"/>
    </xf>
    <xf numFmtId="3" fontId="43" fillId="12" borderId="19" xfId="1" applyNumberFormat="1" applyFont="1" applyFill="1" applyBorder="1" applyAlignment="1">
      <alignment horizontal="center"/>
    </xf>
    <xf numFmtId="4" fontId="43" fillId="5" borderId="18" xfId="1" applyNumberFormat="1" applyFont="1" applyFill="1" applyBorder="1" applyAlignment="1">
      <alignment horizontal="center"/>
    </xf>
    <xf numFmtId="4" fontId="43" fillId="12" borderId="18" xfId="1" applyNumberFormat="1" applyFont="1" applyFill="1" applyBorder="1" applyAlignment="1">
      <alignment horizontal="center"/>
    </xf>
    <xf numFmtId="3" fontId="43" fillId="5" borderId="4" xfId="0" applyNumberFormat="1" applyFont="1" applyFill="1" applyBorder="1"/>
    <xf numFmtId="4" fontId="43" fillId="5" borderId="4" xfId="0" applyNumberFormat="1" applyFont="1" applyFill="1" applyBorder="1"/>
    <xf numFmtId="3" fontId="43" fillId="5" borderId="18" xfId="1" applyNumberFormat="1" applyFont="1" applyFill="1" applyBorder="1" applyAlignment="1">
      <alignment horizontal="center"/>
    </xf>
    <xf numFmtId="3" fontId="43" fillId="12" borderId="18" xfId="1" applyNumberFormat="1" applyFont="1" applyFill="1" applyBorder="1" applyAlignment="1">
      <alignment horizontal="center"/>
    </xf>
    <xf numFmtId="3" fontId="43" fillId="5" borderId="0" xfId="0" applyNumberFormat="1" applyFont="1" applyFill="1"/>
    <xf numFmtId="184" fontId="43" fillId="5" borderId="18" xfId="1" applyNumberFormat="1" applyFont="1" applyFill="1" applyBorder="1" applyAlignment="1">
      <alignment horizontal="center"/>
    </xf>
    <xf numFmtId="184" fontId="43" fillId="12" borderId="18" xfId="1" applyNumberFormat="1" applyFont="1" applyFill="1" applyBorder="1" applyAlignment="1">
      <alignment horizontal="center"/>
    </xf>
    <xf numFmtId="184" fontId="43" fillId="5" borderId="4" xfId="0" applyNumberFormat="1" applyFont="1" applyFill="1" applyBorder="1"/>
    <xf numFmtId="0" fontId="43" fillId="12" borderId="0" xfId="0" applyFont="1" applyFill="1"/>
    <xf numFmtId="3" fontId="32" fillId="0" borderId="14" xfId="0" applyNumberFormat="1" applyFont="1" applyBorder="1"/>
    <xf numFmtId="164" fontId="32" fillId="5" borderId="0" xfId="1" applyFont="1" applyFill="1" applyAlignment="1">
      <alignment vertical="top"/>
    </xf>
    <xf numFmtId="164" fontId="32" fillId="5" borderId="0" xfId="0" applyNumberFormat="1" applyFont="1" applyFill="1" applyAlignment="1">
      <alignment vertical="top"/>
    </xf>
    <xf numFmtId="41" fontId="32" fillId="5" borderId="0" xfId="0" applyNumberFormat="1" applyFont="1" applyFill="1" applyAlignment="1">
      <alignment vertical="top"/>
    </xf>
    <xf numFmtId="164" fontId="32" fillId="6" borderId="0" xfId="1" applyFont="1" applyFill="1"/>
    <xf numFmtId="0" fontId="34" fillId="9" borderId="16" xfId="0" applyFont="1" applyFill="1" applyBorder="1" applyAlignment="1">
      <alignment horizontal="center" vertical="top" wrapText="1"/>
    </xf>
    <xf numFmtId="164" fontId="32" fillId="5" borderId="0" xfId="1" applyFont="1" applyFill="1"/>
    <xf numFmtId="165" fontId="32" fillId="0" borderId="27" xfId="1" applyNumberFormat="1" applyFont="1" applyBorder="1" applyAlignment="1">
      <alignment horizontal="right" vertical="top"/>
    </xf>
    <xf numFmtId="165" fontId="14" fillId="19" borderId="34" xfId="1" applyNumberFormat="1" applyFont="1" applyFill="1" applyBorder="1"/>
    <xf numFmtId="165" fontId="0" fillId="5" borderId="29" xfId="1" applyNumberFormat="1" applyFont="1" applyFill="1" applyBorder="1" applyAlignment="1">
      <alignment horizontal="center" vertical="center"/>
    </xf>
    <xf numFmtId="165" fontId="55" fillId="5" borderId="29" xfId="1" applyNumberFormat="1" applyFont="1" applyFill="1" applyBorder="1" applyAlignment="1">
      <alignment horizontal="center" vertical="center"/>
    </xf>
    <xf numFmtId="165" fontId="0" fillId="5" borderId="30" xfId="1" applyNumberFormat="1" applyFont="1" applyFill="1" applyBorder="1" applyAlignment="1">
      <alignment horizontal="center" vertical="center"/>
    </xf>
    <xf numFmtId="165" fontId="0" fillId="5" borderId="0" xfId="1" applyNumberFormat="1" applyFont="1" applyFill="1" applyBorder="1"/>
    <xf numFmtId="165" fontId="0" fillId="5" borderId="36" xfId="1" applyNumberFormat="1" applyFont="1" applyFill="1" applyBorder="1"/>
    <xf numFmtId="165" fontId="0" fillId="20" borderId="37" xfId="1" applyNumberFormat="1" applyFont="1" applyFill="1" applyBorder="1"/>
    <xf numFmtId="165" fontId="0" fillId="20" borderId="31" xfId="1" applyNumberFormat="1" applyFont="1" applyFill="1" applyBorder="1"/>
    <xf numFmtId="165" fontId="0" fillId="20" borderId="32" xfId="1" applyNumberFormat="1" applyFont="1" applyFill="1" applyBorder="1"/>
    <xf numFmtId="165" fontId="0" fillId="20" borderId="33" xfId="1" applyNumberFormat="1" applyFont="1" applyFill="1" applyBorder="1"/>
    <xf numFmtId="165" fontId="14" fillId="21" borderId="34" xfId="1" applyNumberFormat="1" applyFont="1" applyFill="1" applyBorder="1"/>
    <xf numFmtId="165" fontId="0" fillId="20" borderId="36" xfId="1" applyNumberFormat="1" applyFont="1" applyFill="1" applyBorder="1"/>
    <xf numFmtId="165" fontId="0" fillId="20" borderId="38" xfId="1" applyNumberFormat="1" applyFont="1" applyFill="1" applyBorder="1"/>
    <xf numFmtId="165" fontId="0" fillId="20" borderId="39" xfId="1" applyNumberFormat="1" applyFont="1" applyFill="1" applyBorder="1"/>
    <xf numFmtId="165" fontId="0" fillId="20" borderId="40" xfId="1" applyNumberFormat="1" applyFont="1" applyFill="1" applyBorder="1"/>
    <xf numFmtId="165" fontId="0" fillId="5" borderId="39" xfId="1" applyNumberFormat="1" applyFont="1" applyFill="1" applyBorder="1"/>
    <xf numFmtId="165" fontId="0" fillId="5" borderId="40" xfId="1" applyNumberFormat="1" applyFont="1" applyFill="1" applyBorder="1"/>
    <xf numFmtId="165" fontId="0" fillId="5" borderId="32" xfId="1" applyNumberFormat="1" applyFont="1" applyFill="1" applyBorder="1"/>
    <xf numFmtId="41" fontId="0" fillId="5" borderId="42" xfId="10" applyFont="1" applyFill="1" applyBorder="1" applyAlignment="1">
      <alignment horizontal="center"/>
    </xf>
    <xf numFmtId="41" fontId="0" fillId="5" borderId="35" xfId="10" applyFont="1" applyFill="1" applyBorder="1" applyAlignment="1">
      <alignment horizontal="center"/>
    </xf>
    <xf numFmtId="41" fontId="55" fillId="5" borderId="35" xfId="10" applyFont="1" applyFill="1" applyBorder="1" applyAlignment="1">
      <alignment horizontal="center"/>
    </xf>
    <xf numFmtId="41" fontId="0" fillId="5" borderId="41" xfId="10" applyFont="1" applyFill="1" applyBorder="1" applyAlignment="1">
      <alignment horizontal="center"/>
    </xf>
    <xf numFmtId="41" fontId="0" fillId="5" borderId="0" xfId="10" applyFont="1" applyFill="1" applyBorder="1" applyAlignment="1">
      <alignment horizontal="center"/>
    </xf>
    <xf numFmtId="41" fontId="55" fillId="5" borderId="0" xfId="10" applyFont="1" applyFill="1" applyBorder="1" applyAlignment="1">
      <alignment horizontal="center"/>
    </xf>
    <xf numFmtId="165" fontId="14" fillId="5" borderId="0" xfId="1" applyNumberFormat="1" applyFont="1" applyFill="1" applyBorder="1"/>
    <xf numFmtId="165" fontId="32" fillId="0" borderId="0" xfId="1" applyNumberFormat="1" applyFont="1" applyAlignment="1">
      <alignment vertical="top"/>
    </xf>
    <xf numFmtId="0" fontId="53" fillId="18" borderId="0" xfId="0" applyFont="1" applyFill="1" applyAlignment="1">
      <alignment horizontal="center"/>
    </xf>
    <xf numFmtId="165" fontId="55" fillId="0" borderId="0" xfId="1" applyNumberFormat="1" applyFont="1"/>
    <xf numFmtId="165" fontId="0" fillId="0" borderId="0" xfId="1" applyNumberFormat="1" applyFont="1" applyFill="1"/>
    <xf numFmtId="0" fontId="14" fillId="0" borderId="46" xfId="0" applyFont="1" applyBorder="1"/>
    <xf numFmtId="165" fontId="14" fillId="0" borderId="46" xfId="1" applyNumberFormat="1" applyFont="1" applyBorder="1"/>
    <xf numFmtId="165" fontId="0" fillId="0" borderId="0" xfId="1" applyNumberFormat="1" applyFont="1" applyAlignment="1">
      <alignment horizontal="right"/>
    </xf>
    <xf numFmtId="166" fontId="55" fillId="0" borderId="0" xfId="0" applyNumberFormat="1" applyFont="1"/>
    <xf numFmtId="0" fontId="14" fillId="19" borderId="43" xfId="0" applyFont="1" applyFill="1" applyBorder="1"/>
    <xf numFmtId="165" fontId="14" fillId="19" borderId="43" xfId="1" applyNumberFormat="1" applyFont="1" applyFill="1" applyBorder="1"/>
    <xf numFmtId="41" fontId="0" fillId="0" borderId="0" xfId="10" applyFont="1"/>
    <xf numFmtId="189" fontId="53" fillId="18" borderId="0" xfId="0" applyNumberFormat="1" applyFont="1" applyFill="1" applyAlignment="1">
      <alignment horizontal="left"/>
    </xf>
    <xf numFmtId="189" fontId="53" fillId="18" borderId="0" xfId="0" applyNumberFormat="1" applyFont="1" applyFill="1"/>
    <xf numFmtId="0" fontId="56" fillId="0" borderId="0" xfId="0" applyFont="1"/>
    <xf numFmtId="0" fontId="57" fillId="0" borderId="0" xfId="0" applyFont="1"/>
    <xf numFmtId="0" fontId="14" fillId="20" borderId="0" xfId="0" applyFont="1" applyFill="1"/>
    <xf numFmtId="190" fontId="0" fillId="20" borderId="0" xfId="0" applyNumberFormat="1" applyFill="1"/>
    <xf numFmtId="191" fontId="0" fillId="0" borderId="0" xfId="0" applyNumberFormat="1"/>
    <xf numFmtId="0" fontId="0" fillId="20" borderId="0" xfId="0" applyFill="1" applyAlignment="1">
      <alignment horizontal="left" indent="1"/>
    </xf>
    <xf numFmtId="165" fontId="55" fillId="20" borderId="0" xfId="1" applyNumberFormat="1" applyFont="1" applyFill="1"/>
    <xf numFmtId="0" fontId="0" fillId="20" borderId="0" xfId="0" applyFill="1"/>
    <xf numFmtId="0" fontId="55" fillId="20" borderId="0" xfId="0" applyFont="1" applyFill="1"/>
    <xf numFmtId="165" fontId="32" fillId="5" borderId="0" xfId="1" applyNumberFormat="1" applyFont="1" applyFill="1" applyAlignment="1">
      <alignment vertical="top"/>
    </xf>
    <xf numFmtId="0" fontId="0" fillId="5" borderId="2" xfId="0" applyFill="1" applyBorder="1" applyAlignment="1">
      <alignment horizontal="center" vertical="center"/>
    </xf>
    <xf numFmtId="165" fontId="0" fillId="12" borderId="2" xfId="1" applyNumberFormat="1" applyFont="1" applyFill="1" applyBorder="1"/>
    <xf numFmtId="165" fontId="55" fillId="12" borderId="2" xfId="1" applyNumberFormat="1" applyFont="1" applyFill="1" applyBorder="1"/>
    <xf numFmtId="41" fontId="0" fillId="12" borderId="45" xfId="10" applyFont="1" applyFill="1" applyBorder="1" applyAlignment="1">
      <alignment horizontal="right"/>
    </xf>
    <xf numFmtId="41" fontId="55" fillId="12" borderId="45" xfId="10" applyFont="1" applyFill="1" applyBorder="1" applyAlignment="1">
      <alignment horizontal="right"/>
    </xf>
    <xf numFmtId="0" fontId="0" fillId="5" borderId="0" xfId="0" applyFill="1"/>
    <xf numFmtId="165" fontId="55" fillId="5" borderId="0" xfId="1" applyNumberFormat="1" applyFont="1" applyFill="1" applyBorder="1"/>
    <xf numFmtId="165" fontId="0" fillId="5" borderId="0" xfId="0" applyNumberFormat="1" applyFill="1"/>
    <xf numFmtId="185" fontId="0" fillId="0" borderId="0" xfId="1" applyNumberFormat="1" applyFont="1"/>
    <xf numFmtId="0" fontId="14" fillId="3" borderId="0" xfId="0" applyFont="1" applyFill="1" applyAlignment="1">
      <alignment horizontal="center"/>
    </xf>
    <xf numFmtId="41" fontId="32" fillId="3" borderId="0" xfId="10" applyFont="1" applyFill="1"/>
    <xf numFmtId="0" fontId="32" fillId="3" borderId="0" xfId="0" applyFont="1" applyFill="1"/>
    <xf numFmtId="41" fontId="37" fillId="3" borderId="0" xfId="10" applyFont="1" applyFill="1"/>
    <xf numFmtId="165" fontId="32" fillId="5" borderId="0" xfId="0" applyNumberFormat="1" applyFont="1" applyFill="1" applyAlignment="1">
      <alignment vertical="top"/>
    </xf>
    <xf numFmtId="164" fontId="55" fillId="0" borderId="0" xfId="1" applyFont="1"/>
    <xf numFmtId="41" fontId="58" fillId="8" borderId="0" xfId="10" applyFont="1" applyFill="1" applyAlignment="1">
      <alignment horizontal="center" vertical="top" wrapText="1"/>
    </xf>
    <xf numFmtId="165" fontId="59" fillId="8" borderId="0" xfId="1" applyNumberFormat="1" applyFont="1" applyFill="1" applyBorder="1" applyAlignment="1">
      <alignment vertical="top"/>
    </xf>
    <xf numFmtId="165" fontId="60" fillId="12" borderId="2" xfId="1" applyNumberFormat="1" applyFont="1" applyFill="1" applyBorder="1"/>
    <xf numFmtId="165" fontId="0" fillId="5" borderId="0" xfId="1" applyNumberFormat="1" applyFont="1" applyFill="1"/>
    <xf numFmtId="165" fontId="0" fillId="14" borderId="0" xfId="1" applyNumberFormat="1" applyFont="1" applyFill="1"/>
    <xf numFmtId="165" fontId="0" fillId="6" borderId="0" xfId="1" applyNumberFormat="1" applyFont="1" applyFill="1"/>
    <xf numFmtId="41" fontId="60" fillId="5" borderId="0" xfId="10" applyFont="1" applyFill="1" applyBorder="1" applyAlignment="1">
      <alignment horizontal="right" vertical="top"/>
    </xf>
    <xf numFmtId="0" fontId="14" fillId="5" borderId="0" xfId="0" applyFont="1" applyFill="1" applyAlignment="1">
      <alignment vertical="center" textRotation="90"/>
    </xf>
    <xf numFmtId="165" fontId="14" fillId="5" borderId="0" xfId="0" applyNumberFormat="1" applyFont="1" applyFill="1"/>
    <xf numFmtId="9" fontId="32" fillId="0" borderId="0" xfId="2" applyFont="1" applyAlignment="1">
      <alignment vertical="center"/>
    </xf>
    <xf numFmtId="166" fontId="32" fillId="0" borderId="0" xfId="2" applyNumberFormat="1" applyFont="1" applyAlignment="1">
      <alignment vertical="center"/>
    </xf>
    <xf numFmtId="192" fontId="32" fillId="0" borderId="0" xfId="0" applyNumberFormat="1" applyFont="1" applyAlignment="1">
      <alignment vertical="center"/>
    </xf>
    <xf numFmtId="3" fontId="39" fillId="0" borderId="0" xfId="0" applyNumberFormat="1" applyFont="1"/>
    <xf numFmtId="41" fontId="32" fillId="5" borderId="0" xfId="10" applyFont="1" applyFill="1" applyBorder="1" applyAlignment="1">
      <alignment vertical="center"/>
    </xf>
    <xf numFmtId="0" fontId="32" fillId="5" borderId="0" xfId="0" quotePrefix="1" applyFont="1" applyFill="1" applyAlignment="1">
      <alignment vertical="center"/>
    </xf>
    <xf numFmtId="0" fontId="32" fillId="5" borderId="0" xfId="0" applyFont="1" applyFill="1" applyAlignment="1">
      <alignment horizontal="right" vertical="center"/>
    </xf>
    <xf numFmtId="0" fontId="39" fillId="5" borderId="0" xfId="0" applyFont="1" applyFill="1" applyAlignment="1">
      <alignment horizontal="right" vertical="center"/>
    </xf>
    <xf numFmtId="164" fontId="32" fillId="6" borderId="0" xfId="1" applyFont="1" applyFill="1" applyBorder="1" applyAlignment="1">
      <alignment vertical="top"/>
    </xf>
    <xf numFmtId="172" fontId="35" fillId="5" borderId="0" xfId="0" applyNumberFormat="1" applyFont="1" applyFill="1"/>
    <xf numFmtId="172" fontId="32" fillId="0" borderId="3" xfId="0" applyNumberFormat="1" applyFont="1" applyBorder="1" applyAlignment="1">
      <alignment vertical="center"/>
    </xf>
    <xf numFmtId="0" fontId="61" fillId="8" borderId="0" xfId="0" applyFont="1" applyFill="1" applyAlignment="1">
      <alignment horizontal="right"/>
    </xf>
    <xf numFmtId="9" fontId="32" fillId="8" borderId="0" xfId="0" applyNumberFormat="1" applyFont="1" applyFill="1"/>
    <xf numFmtId="166" fontId="32" fillId="5" borderId="0" xfId="2" applyNumberFormat="1" applyFont="1" applyFill="1" applyBorder="1"/>
    <xf numFmtId="2" fontId="32" fillId="5" borderId="47" xfId="10" quotePrefix="1" applyNumberFormat="1" applyFont="1" applyFill="1" applyBorder="1" applyAlignment="1">
      <alignment vertical="top"/>
    </xf>
    <xf numFmtId="41" fontId="32" fillId="5" borderId="47" xfId="10" quotePrefix="1" applyFont="1" applyFill="1" applyBorder="1" applyAlignment="1">
      <alignment vertical="top"/>
    </xf>
    <xf numFmtId="41" fontId="32" fillId="5" borderId="47" xfId="10" applyFont="1" applyFill="1" applyBorder="1" applyAlignment="1">
      <alignment vertical="top"/>
    </xf>
    <xf numFmtId="41" fontId="32" fillId="5" borderId="0" xfId="10" quotePrefix="1" applyFont="1" applyFill="1" applyBorder="1" applyAlignment="1">
      <alignment vertical="top"/>
    </xf>
    <xf numFmtId="2" fontId="32" fillId="5" borderId="5" xfId="10" quotePrefix="1" applyNumberFormat="1" applyFont="1" applyFill="1" applyBorder="1" applyAlignment="1">
      <alignment vertical="top"/>
    </xf>
    <xf numFmtId="41" fontId="32" fillId="5" borderId="5" xfId="10" quotePrefix="1" applyFont="1" applyFill="1" applyBorder="1" applyAlignment="1">
      <alignment vertical="top"/>
    </xf>
    <xf numFmtId="41" fontId="37" fillId="5" borderId="5" xfId="10" applyFont="1" applyFill="1" applyBorder="1" applyAlignment="1">
      <alignment vertical="top"/>
    </xf>
    <xf numFmtId="2" fontId="32" fillId="5" borderId="0" xfId="10" quotePrefix="1" applyNumberFormat="1" applyFont="1" applyFill="1" applyBorder="1" applyAlignment="1">
      <alignment vertical="top"/>
    </xf>
    <xf numFmtId="41" fontId="32" fillId="3" borderId="0" xfId="10" applyFont="1" applyFill="1" applyBorder="1" applyAlignment="1">
      <alignment vertical="top"/>
    </xf>
    <xf numFmtId="1" fontId="32" fillId="3" borderId="0" xfId="0" applyNumberFormat="1" applyFont="1" applyFill="1"/>
    <xf numFmtId="0" fontId="2" fillId="0" borderId="0" xfId="0" applyFont="1" applyAlignment="1">
      <alignment vertical="top"/>
    </xf>
    <xf numFmtId="165" fontId="4" fillId="0" borderId="0" xfId="1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0" fontId="32" fillId="15" borderId="0" xfId="0" applyFont="1" applyFill="1" applyAlignment="1">
      <alignment horizontal="right" wrapText="1"/>
    </xf>
    <xf numFmtId="0" fontId="34" fillId="9" borderId="0" xfId="0" applyFont="1" applyFill="1" applyAlignment="1">
      <alignment horizontal="center" vertical="top" wrapText="1"/>
    </xf>
    <xf numFmtId="164" fontId="34" fillId="9" borderId="0" xfId="1" applyFont="1" applyFill="1" applyBorder="1" applyAlignment="1">
      <alignment horizontal="center" vertical="top"/>
    </xf>
    <xf numFmtId="0" fontId="32" fillId="0" borderId="0" xfId="0" applyFont="1" applyAlignment="1">
      <alignment horizontal="center" vertical="center" textRotation="90"/>
    </xf>
    <xf numFmtId="0" fontId="34" fillId="9" borderId="0" xfId="0" applyFont="1" applyFill="1" applyAlignment="1">
      <alignment horizontal="right" wrapText="1"/>
    </xf>
    <xf numFmtId="0" fontId="14" fillId="0" borderId="0" xfId="0" applyFont="1" applyAlignment="1">
      <alignment horizontal="center"/>
    </xf>
    <xf numFmtId="0" fontId="53" fillId="18" borderId="28" xfId="0" applyFont="1" applyFill="1" applyBorder="1" applyAlignment="1">
      <alignment horizontal="center"/>
    </xf>
    <xf numFmtId="0" fontId="53" fillId="18" borderId="29" xfId="0" applyFont="1" applyFill="1" applyBorder="1" applyAlignment="1">
      <alignment horizontal="center"/>
    </xf>
    <xf numFmtId="0" fontId="53" fillId="18" borderId="30" xfId="0" applyFont="1" applyFill="1" applyBorder="1" applyAlignment="1">
      <alignment horizontal="center"/>
    </xf>
    <xf numFmtId="0" fontId="54" fillId="5" borderId="33" xfId="0" applyFont="1" applyFill="1" applyBorder="1" applyAlignment="1">
      <alignment horizontal="center" vertical="center" textRotation="90"/>
    </xf>
    <xf numFmtId="0" fontId="54" fillId="5" borderId="35" xfId="0" applyFont="1" applyFill="1" applyBorder="1" applyAlignment="1">
      <alignment horizontal="center" vertical="center" textRotation="90"/>
    </xf>
    <xf numFmtId="0" fontId="54" fillId="5" borderId="41" xfId="0" applyFont="1" applyFill="1" applyBorder="1" applyAlignment="1">
      <alignment horizontal="center" vertical="center" textRotation="90"/>
    </xf>
    <xf numFmtId="0" fontId="14" fillId="5" borderId="28" xfId="0" applyFont="1" applyFill="1" applyBorder="1" applyAlignment="1">
      <alignment horizontal="center"/>
    </xf>
    <xf numFmtId="0" fontId="14" fillId="5" borderId="31" xfId="0" applyFont="1" applyFill="1" applyBorder="1" applyAlignment="1">
      <alignment horizontal="center"/>
    </xf>
    <xf numFmtId="0" fontId="14" fillId="5" borderId="32" xfId="0" applyFont="1" applyFill="1" applyBorder="1" applyAlignment="1">
      <alignment horizontal="center"/>
    </xf>
    <xf numFmtId="0" fontId="53" fillId="18" borderId="0" xfId="0" applyFont="1" applyFill="1" applyAlignment="1">
      <alignment horizontal="center"/>
    </xf>
    <xf numFmtId="0" fontId="14" fillId="5" borderId="0" xfId="0" applyFont="1" applyFill="1" applyAlignment="1">
      <alignment horizontal="right" vertical="center" textRotation="90"/>
    </xf>
    <xf numFmtId="0" fontId="14" fillId="0" borderId="44" xfId="0" applyFont="1" applyBorder="1" applyAlignment="1">
      <alignment horizontal="center" vertical="center" textRotation="90"/>
    </xf>
    <xf numFmtId="0" fontId="53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35" fillId="5" borderId="0" xfId="0" applyFont="1" applyFill="1" applyAlignment="1">
      <alignment horizontal="center" vertical="top"/>
    </xf>
    <xf numFmtId="3" fontId="32" fillId="6" borderId="0" xfId="0" applyNumberFormat="1" applyFont="1" applyFill="1" applyAlignment="1">
      <alignment horizontal="center"/>
    </xf>
    <xf numFmtId="3" fontId="32" fillId="15" borderId="23" xfId="0" applyNumberFormat="1" applyFont="1" applyFill="1" applyBorder="1" applyAlignment="1">
      <alignment horizontal="center"/>
    </xf>
    <xf numFmtId="3" fontId="32" fillId="15" borderId="2" xfId="0" applyNumberFormat="1" applyFont="1" applyFill="1" applyBorder="1" applyAlignment="1">
      <alignment horizontal="center"/>
    </xf>
    <xf numFmtId="3" fontId="32" fillId="15" borderId="24" xfId="0" applyNumberFormat="1" applyFont="1" applyFill="1" applyBorder="1" applyAlignment="1">
      <alignment horizontal="center"/>
    </xf>
    <xf numFmtId="3" fontId="32" fillId="15" borderId="10" xfId="0" applyNumberFormat="1" applyFont="1" applyFill="1" applyBorder="1" applyAlignment="1">
      <alignment horizontal="center"/>
    </xf>
    <xf numFmtId="3" fontId="32" fillId="15" borderId="3" xfId="0" applyNumberFormat="1" applyFont="1" applyFill="1" applyBorder="1" applyAlignment="1">
      <alignment horizontal="center"/>
    </xf>
    <xf numFmtId="3" fontId="32" fillId="15" borderId="11" xfId="0" applyNumberFormat="1" applyFont="1" applyFill="1" applyBorder="1" applyAlignment="1">
      <alignment horizontal="center"/>
    </xf>
    <xf numFmtId="3" fontId="51" fillId="2" borderId="10" xfId="0" applyNumberFormat="1" applyFont="1" applyFill="1" applyBorder="1" applyAlignment="1">
      <alignment horizontal="center" vertical="center"/>
    </xf>
    <xf numFmtId="3" fontId="51" fillId="2" borderId="3" xfId="0" applyNumberFormat="1" applyFont="1" applyFill="1" applyBorder="1" applyAlignment="1">
      <alignment horizontal="center" vertical="center"/>
    </xf>
    <xf numFmtId="3" fontId="51" fillId="2" borderId="11" xfId="0" applyNumberFormat="1" applyFont="1" applyFill="1" applyBorder="1" applyAlignment="1">
      <alignment horizontal="center" vertical="center"/>
    </xf>
    <xf numFmtId="3" fontId="51" fillId="2" borderId="14" xfId="0" applyNumberFormat="1" applyFont="1" applyFill="1" applyBorder="1" applyAlignment="1">
      <alignment horizontal="center" vertical="center"/>
    </xf>
    <xf numFmtId="3" fontId="51" fillId="2" borderId="1" xfId="0" applyNumberFormat="1" applyFont="1" applyFill="1" applyBorder="1" applyAlignment="1">
      <alignment horizontal="center" vertical="center"/>
    </xf>
    <xf numFmtId="3" fontId="51" fillId="2" borderId="15" xfId="0" applyNumberFormat="1" applyFont="1" applyFill="1" applyBorder="1" applyAlignment="1">
      <alignment horizontal="center" vertical="center"/>
    </xf>
    <xf numFmtId="3" fontId="51" fillId="2" borderId="10" xfId="0" applyNumberFormat="1" applyFont="1" applyFill="1" applyBorder="1" applyAlignment="1">
      <alignment horizontal="center" vertical="center" wrapText="1"/>
    </xf>
    <xf numFmtId="3" fontId="51" fillId="2" borderId="3" xfId="0" applyNumberFormat="1" applyFont="1" applyFill="1" applyBorder="1" applyAlignment="1">
      <alignment horizontal="center" vertical="center" wrapText="1"/>
    </xf>
    <xf numFmtId="3" fontId="51" fillId="2" borderId="11" xfId="0" applyNumberFormat="1" applyFont="1" applyFill="1" applyBorder="1" applyAlignment="1">
      <alignment horizontal="center" vertical="center" wrapText="1"/>
    </xf>
    <xf numFmtId="3" fontId="51" fillId="2" borderId="14" xfId="0" applyNumberFormat="1" applyFont="1" applyFill="1" applyBorder="1" applyAlignment="1">
      <alignment horizontal="center" vertical="center" wrapText="1"/>
    </xf>
    <xf numFmtId="3" fontId="51" fillId="2" borderId="1" xfId="0" applyNumberFormat="1" applyFont="1" applyFill="1" applyBorder="1" applyAlignment="1">
      <alignment horizontal="center" vertical="center" wrapText="1"/>
    </xf>
    <xf numFmtId="3" fontId="51" fillId="2" borderId="15" xfId="0" applyNumberFormat="1" applyFont="1" applyFill="1" applyBorder="1" applyAlignment="1">
      <alignment horizontal="center" vertical="center" wrapText="1"/>
    </xf>
    <xf numFmtId="3" fontId="32" fillId="2" borderId="10" xfId="0" applyNumberFormat="1" applyFont="1" applyFill="1" applyBorder="1" applyAlignment="1">
      <alignment horizontal="center" vertical="center"/>
    </xf>
    <xf numFmtId="3" fontId="32" fillId="2" borderId="11" xfId="0" applyNumberFormat="1" applyFont="1" applyFill="1" applyBorder="1" applyAlignment="1">
      <alignment horizontal="center" vertical="center"/>
    </xf>
    <xf numFmtId="3" fontId="32" fillId="2" borderId="14" xfId="0" applyNumberFormat="1" applyFont="1" applyFill="1" applyBorder="1" applyAlignment="1">
      <alignment horizontal="center" vertical="center"/>
    </xf>
    <xf numFmtId="3" fontId="32" fillId="2" borderId="15" xfId="0" applyNumberFormat="1" applyFont="1" applyFill="1" applyBorder="1" applyAlignment="1">
      <alignment horizontal="center" vertical="center"/>
    </xf>
    <xf numFmtId="3" fontId="32" fillId="2" borderId="10" xfId="0" applyNumberFormat="1" applyFont="1" applyFill="1" applyBorder="1" applyAlignment="1">
      <alignment horizontal="center"/>
    </xf>
    <xf numFmtId="3" fontId="32" fillId="2" borderId="11" xfId="0" applyNumberFormat="1" applyFont="1" applyFill="1" applyBorder="1" applyAlignment="1">
      <alignment horizontal="center"/>
    </xf>
    <xf numFmtId="3" fontId="51" fillId="2" borderId="14" xfId="0" applyNumberFormat="1" applyFont="1" applyFill="1" applyBorder="1" applyAlignment="1">
      <alignment horizontal="center"/>
    </xf>
    <xf numFmtId="3" fontId="51" fillId="2" borderId="15" xfId="0" applyNumberFormat="1" applyFont="1" applyFill="1" applyBorder="1" applyAlignment="1">
      <alignment horizontal="center"/>
    </xf>
    <xf numFmtId="164" fontId="34" fillId="9" borderId="0" xfId="1" applyFont="1" applyFill="1" applyBorder="1" applyAlignment="1">
      <alignment horizontal="right" vertical="top" wrapText="1"/>
    </xf>
    <xf numFmtId="164" fontId="34" fillId="9" borderId="9" xfId="1" applyFont="1" applyFill="1" applyBorder="1" applyAlignment="1">
      <alignment horizontal="center" vertical="top" wrapText="1"/>
    </xf>
    <xf numFmtId="164" fontId="34" fillId="9" borderId="16" xfId="1" applyFont="1" applyFill="1" applyBorder="1" applyAlignment="1">
      <alignment horizontal="center" vertical="top" wrapText="1"/>
    </xf>
    <xf numFmtId="0" fontId="47" fillId="13" borderId="0" xfId="0" applyFont="1" applyFill="1" applyAlignment="1">
      <alignment horizontal="center" vertical="center" wrapText="1"/>
    </xf>
    <xf numFmtId="0" fontId="19" fillId="9" borderId="0" xfId="0" applyFont="1" applyFill="1" applyAlignment="1">
      <alignment horizontal="center" vertical="top" wrapText="1"/>
    </xf>
    <xf numFmtId="0" fontId="34" fillId="9" borderId="0" xfId="0" applyFont="1" applyFill="1" applyAlignment="1">
      <alignment horizontal="right" vertical="top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35" fillId="15" borderId="1" xfId="0" applyFont="1" applyFill="1" applyBorder="1" applyAlignment="1">
      <alignment horizontal="center" vertical="top"/>
    </xf>
    <xf numFmtId="0" fontId="35" fillId="2" borderId="1" xfId="0" applyFont="1" applyFill="1" applyBorder="1" applyAlignment="1">
      <alignment horizontal="center" vertical="top"/>
    </xf>
    <xf numFmtId="0" fontId="35" fillId="16" borderId="1" xfId="0" applyFont="1" applyFill="1" applyBorder="1" applyAlignment="1">
      <alignment horizontal="center" vertical="top"/>
    </xf>
    <xf numFmtId="0" fontId="35" fillId="4" borderId="1" xfId="0" applyFont="1" applyFill="1" applyBorder="1" applyAlignment="1">
      <alignment horizontal="center" vertical="top"/>
    </xf>
  </cellXfs>
  <cellStyles count="33">
    <cellStyle name="Comma" xfId="1" builtinId="3"/>
    <cellStyle name="Comma [0]" xfId="10" builtinId="6"/>
    <cellStyle name="Comma [0] 2" xfId="13" xr:uid="{00000000-0005-0000-0000-000002000000}"/>
    <cellStyle name="Comma [0] 2 2" xfId="31" xr:uid="{89DE3038-BF71-427F-9670-8A537DFB2630}"/>
    <cellStyle name="Comma [0] 2 3" xfId="22" xr:uid="{F3E8B4C4-74A6-4A31-A605-7E3E0E2261E6}"/>
    <cellStyle name="Comma [0] 3" xfId="28" xr:uid="{46CE3499-02CE-42F6-B351-629FBD43E1A4}"/>
    <cellStyle name="Comma [0] 4" xfId="19" xr:uid="{005AC631-8987-401E-A1CE-66AF992A125A}"/>
    <cellStyle name="Comma 2" xfId="4" xr:uid="{00000000-0005-0000-0000-000003000000}"/>
    <cellStyle name="Comma 2 2" xfId="25" xr:uid="{5F6104C1-4D98-4062-8FE5-F51067EE5233}"/>
    <cellStyle name="Comma 2 3" xfId="16" xr:uid="{F603F96A-7785-4B29-828B-9859BC041E50}"/>
    <cellStyle name="Comma 3" xfId="6" xr:uid="{00000000-0005-0000-0000-000004000000}"/>
    <cellStyle name="Comma 3 2" xfId="26" xr:uid="{F5243012-A2FB-48C5-87B6-0A218F2D78B3}"/>
    <cellStyle name="Comma 3 3" xfId="17" xr:uid="{A85E6DC0-6D1F-49AC-9846-4AA6F3441F84}"/>
    <cellStyle name="Comma 4" xfId="7" xr:uid="{00000000-0005-0000-0000-000005000000}"/>
    <cellStyle name="Comma 4 2" xfId="27" xr:uid="{B65E4040-EED1-40A6-8296-CBB92D0D4AC9}"/>
    <cellStyle name="Comma 4 3" xfId="18" xr:uid="{950D4059-E9C7-4C5A-84A7-A1F8CC467A46}"/>
    <cellStyle name="Comma 5" xfId="12" xr:uid="{00000000-0005-0000-0000-000006000000}"/>
    <cellStyle name="Comma 5 2" xfId="30" xr:uid="{22B972B9-1DC1-47B7-A350-0DB75284E710}"/>
    <cellStyle name="Comma 5 3" xfId="21" xr:uid="{85A41E9C-16DD-4083-9DE3-6D68BD1808B5}"/>
    <cellStyle name="Comma 6" xfId="24" xr:uid="{E4136CD3-B315-4350-8AF6-46911CF82EE0}"/>
    <cellStyle name="Comma 7" xfId="15" xr:uid="{824554EA-3399-44C8-8FD9-9E62DFE9D9E4}"/>
    <cellStyle name="Normal" xfId="0" builtinId="0"/>
    <cellStyle name="Normal 2" xfId="3" xr:uid="{00000000-0005-0000-0000-000008000000}"/>
    <cellStyle name="Normal 3" xfId="5" xr:uid="{00000000-0005-0000-0000-000009000000}"/>
    <cellStyle name="Normal 4" xfId="8" xr:uid="{00000000-0005-0000-0000-00000A000000}"/>
    <cellStyle name="Normal 5" xfId="9" xr:uid="{00000000-0005-0000-0000-00000B000000}"/>
    <cellStyle name="Normal 6" xfId="11" xr:uid="{00000000-0005-0000-0000-00000C000000}"/>
    <cellStyle name="Normal 6 2" xfId="29" xr:uid="{AFDD90E9-20FE-4CB8-AC7A-880B3F13CF99}"/>
    <cellStyle name="Normal 6 3" xfId="20" xr:uid="{3DFA588C-D5C8-4DCA-A36C-788310A63890}"/>
    <cellStyle name="Percent" xfId="2" builtinId="5"/>
    <cellStyle name="Percent 2" xfId="14" xr:uid="{00000000-0005-0000-0000-00000E000000}"/>
    <cellStyle name="Percent 2 2" xfId="32" xr:uid="{E567EBA5-F7D1-4D69-80AD-53343E786BB0}"/>
    <cellStyle name="Percent 2 3" xfId="23" xr:uid="{419297D1-9C3C-4079-AC4D-CD28D0E2DCFC}"/>
  </cellStyles>
  <dxfs count="0"/>
  <tableStyles count="0" defaultTableStyle="TableStyleMedium2" defaultPivotStyle="PivotStyleLight16"/>
  <colors>
    <mruColors>
      <color rgb="FFCC3300"/>
      <color rgb="FF0000FF"/>
      <color rgb="FF006699"/>
      <color rgb="FFFFFF99"/>
      <color rgb="FF66FF33"/>
      <color rgb="FF66FF99"/>
      <color rgb="FF00FF00"/>
      <color rgb="FFFFFFCC"/>
      <color rgb="FF33CCCC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id-ID" b="1"/>
              <a:t>Laba</a:t>
            </a:r>
            <a:r>
              <a:rPr lang="en-US" b="1"/>
              <a:t> (Rugi)</a:t>
            </a:r>
            <a:r>
              <a:rPr lang="en-US" b="1" baseline="0"/>
              <a:t> Kotor, Operasi dan Bersih</a:t>
            </a:r>
            <a:endParaRPr lang="en-US" b="1"/>
          </a:p>
        </c:rich>
      </c:tx>
      <c:layout>
        <c:manualLayout>
          <c:xMode val="edge"/>
          <c:yMode val="edge"/>
          <c:x val="0.31827533828210125"/>
          <c:y val="2.057613168724279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1845664219508795"/>
          <c:y val="0.23349923852111074"/>
          <c:w val="0.7475336959691633"/>
          <c:h val="0.58752827192897195"/>
        </c:manualLayout>
      </c:layout>
      <c:lineChart>
        <c:grouping val="standard"/>
        <c:varyColors val="0"/>
        <c:ser>
          <c:idx val="0"/>
          <c:order val="0"/>
          <c:tx>
            <c:v>Laba Kotor</c:v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IncomeStatement!$C$7:$L$7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IncomeStatement!$C$21:$L$21</c:f>
              <c:numCache>
                <c:formatCode>#,##0_ ;[Red]\-#,##0\ </c:formatCode>
                <c:ptCount val="10"/>
                <c:pt idx="0">
                  <c:v>1396102395.1359997</c:v>
                </c:pt>
                <c:pt idx="1">
                  <c:v>1745382683.0387201</c:v>
                </c:pt>
                <c:pt idx="2">
                  <c:v>2133039305.6690941</c:v>
                </c:pt>
                <c:pt idx="3">
                  <c:v>2562933032.1543407</c:v>
                </c:pt>
                <c:pt idx="4">
                  <c:v>3039306655.1135354</c:v>
                </c:pt>
                <c:pt idx="5">
                  <c:v>3566822666.9185433</c:v>
                </c:pt>
                <c:pt idx="6">
                  <c:v>4150604649.2070184</c:v>
                </c:pt>
                <c:pt idx="7">
                  <c:v>4236416742.1911578</c:v>
                </c:pt>
                <c:pt idx="8">
                  <c:v>4323945077.0349798</c:v>
                </c:pt>
                <c:pt idx="9">
                  <c:v>4413223978.5756817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30-4225-B4B7-D9415AA39BA6}"/>
            </c:ext>
          </c:extLst>
        </c:ser>
        <c:ser>
          <c:idx val="1"/>
          <c:order val="1"/>
          <c:tx>
            <c:v>Laba Operasi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IncomeStatement!$C$7:$L$7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IncomeStatement!$C$29:$L$29</c:f>
              <c:numCache>
                <c:formatCode>#,##0_ ;[Red]\-#,##0\ </c:formatCode>
                <c:ptCount val="10"/>
                <c:pt idx="0">
                  <c:v>704502395.13599968</c:v>
                </c:pt>
                <c:pt idx="1">
                  <c:v>1039950683.0387201</c:v>
                </c:pt>
                <c:pt idx="2">
                  <c:v>1413498665.6690941</c:v>
                </c:pt>
                <c:pt idx="3">
                  <c:v>1829001579.3543408</c:v>
                </c:pt>
                <c:pt idx="4">
                  <c:v>2290696573.2575355</c:v>
                </c:pt>
                <c:pt idx="5">
                  <c:v>2803240383.4254231</c:v>
                </c:pt>
                <c:pt idx="6">
                  <c:v>3371750720.0440359</c:v>
                </c:pt>
                <c:pt idx="7">
                  <c:v>3441985734.4449158</c:v>
                </c:pt>
                <c:pt idx="8">
                  <c:v>3513625449.1338129</c:v>
                </c:pt>
                <c:pt idx="9">
                  <c:v>3586697958.1164913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30-4225-B4B7-D9415AA39BA6}"/>
            </c:ext>
          </c:extLst>
        </c:ser>
        <c:ser>
          <c:idx val="2"/>
          <c:order val="2"/>
          <c:tx>
            <c:v>Laba Bersih</c:v>
          </c:tx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val>
            <c:numRef>
              <c:f>IncomeStatement!$C$33:$L$33</c:f>
              <c:numCache>
                <c:formatCode>#,##0_ ;[Red]\-#,##0\ </c:formatCode>
                <c:ptCount val="10"/>
                <c:pt idx="0">
                  <c:v>627007131.6710397</c:v>
                </c:pt>
                <c:pt idx="1">
                  <c:v>925556107.90446091</c:v>
                </c:pt>
                <c:pt idx="2">
                  <c:v>1102528959.2218933</c:v>
                </c:pt>
                <c:pt idx="3">
                  <c:v>1426621231.8963857</c:v>
                </c:pt>
                <c:pt idx="4">
                  <c:v>1786743327.1408777</c:v>
                </c:pt>
                <c:pt idx="5">
                  <c:v>2186527499.0718298</c:v>
                </c:pt>
                <c:pt idx="6">
                  <c:v>2629965561.6343479</c:v>
                </c:pt>
                <c:pt idx="7">
                  <c:v>2684748872.8670344</c:v>
                </c:pt>
                <c:pt idx="8">
                  <c:v>2740627850.3243742</c:v>
                </c:pt>
                <c:pt idx="9">
                  <c:v>2797624407.330863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8-4BF9-90A1-4B073CADB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60992"/>
        <c:axId val="198263552"/>
      </c:lineChart>
      <c:catAx>
        <c:axId val="19826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Tahun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98263552"/>
        <c:crosses val="autoZero"/>
        <c:auto val="1"/>
        <c:lblAlgn val="ctr"/>
        <c:lblOffset val="100"/>
        <c:noMultiLvlLbl val="0"/>
      </c:catAx>
      <c:valAx>
        <c:axId val="1982635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Laba</a:t>
                </a:r>
                <a:r>
                  <a:rPr lang="en-US" baseline="0"/>
                  <a:t> (Rugi), </a:t>
                </a:r>
                <a:r>
                  <a:rPr lang="en-US"/>
                  <a:t>Rp x 1000</a:t>
                </a:r>
              </a:p>
            </c:rich>
          </c:tx>
          <c:layout>
            <c:manualLayout>
              <c:xMode val="edge"/>
              <c:yMode val="edge"/>
              <c:x val="1.258996760743253E-2"/>
              <c:y val="0.29253556268429409"/>
            </c:manualLayout>
          </c:layout>
          <c:overlay val="0"/>
        </c:title>
        <c:numFmt formatCode="#,##0_ ;[Red]\-#,##0\ " sourceLinked="0"/>
        <c:majorTickMark val="out"/>
        <c:minorTickMark val="none"/>
        <c:tickLblPos val="nextTo"/>
        <c:crossAx val="1982609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583267716535433"/>
          <c:y val="0.11998651210265383"/>
          <c:w val="0.76449313401042263"/>
          <c:h val="6.4301869673698192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900" b="0">
          <a:latin typeface="+mn-lt"/>
          <a:ea typeface="Segoe UI" pitchFamily="34" charset="0"/>
          <a:cs typeface="Segoe UI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id-ID" b="1"/>
              <a:t>Proyeksi arus kas bersih</a:t>
            </a:r>
            <a:endParaRPr lang="en-US" b="1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876958863554378"/>
          <c:y val="0.23349923852111074"/>
          <c:w val="0.77893918473460955"/>
          <c:h val="0.58752827192897195"/>
        </c:manualLayout>
      </c:layout>
      <c:lineChart>
        <c:grouping val="standard"/>
        <c:varyColors val="0"/>
        <c:ser>
          <c:idx val="0"/>
          <c:order val="0"/>
          <c:tx>
            <c:v>Operating</c:v>
          </c:tx>
          <c:spPr>
            <a:ln>
              <a:solidFill>
                <a:srgbClr val="00FF00"/>
              </a:solidFill>
            </a:ln>
          </c:spPr>
          <c:marker>
            <c:symbol val="circl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CashFlow!$B$15:$L$15</c:f>
              <c:numCache>
                <c:formatCode>#,##0_ ;[Red]\-#,##0\ </c:formatCode>
                <c:ptCount val="11"/>
                <c:pt idx="1">
                  <c:v>627007131.67103958</c:v>
                </c:pt>
                <c:pt idx="2">
                  <c:v>925556107.90446091</c:v>
                </c:pt>
                <c:pt idx="3">
                  <c:v>1102528959.2218933</c:v>
                </c:pt>
                <c:pt idx="4">
                  <c:v>1426621231.8963857</c:v>
                </c:pt>
                <c:pt idx="5">
                  <c:v>1786743327.1408777</c:v>
                </c:pt>
                <c:pt idx="6">
                  <c:v>2186527499.0718298</c:v>
                </c:pt>
                <c:pt idx="7">
                  <c:v>2629965561.6343479</c:v>
                </c:pt>
                <c:pt idx="8">
                  <c:v>2684748872.867034</c:v>
                </c:pt>
                <c:pt idx="9">
                  <c:v>2740627850.3243742</c:v>
                </c:pt>
                <c:pt idx="10">
                  <c:v>2797624407.330863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2-4489-9E2D-294F05CABC69}"/>
            </c:ext>
          </c:extLst>
        </c:ser>
        <c:ser>
          <c:idx val="1"/>
          <c:order val="1"/>
          <c:tx>
            <c:v>Investing</c:v>
          </c:tx>
          <c:spPr>
            <a:ln>
              <a:solidFill>
                <a:srgbClr val="0000FF"/>
              </a:solidFill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CashFlow!$B$20:$L$20</c:f>
              <c:numCache>
                <c:formatCode>#,##0_ ;[Red]\-#,##0\ </c:formatCode>
                <c:ptCount val="11"/>
                <c:pt idx="0">
                  <c:v>950000000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2-4489-9E2D-294F05CABC69}"/>
            </c:ext>
          </c:extLst>
        </c:ser>
        <c:ser>
          <c:idx val="2"/>
          <c:order val="2"/>
          <c:tx>
            <c:v>Financing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val>
            <c:numRef>
              <c:f>CashFlow!$B$27:$B$27</c:f>
              <c:numCache>
                <c:formatCode>#,##0_ ;[Red]\-#,##0\ </c:formatCode>
                <c:ptCount val="1"/>
                <c:pt idx="0">
                  <c:v>-600000000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2-4489-9E2D-294F05CABC69}"/>
            </c:ext>
          </c:extLst>
        </c:ser>
        <c:ser>
          <c:idx val="3"/>
          <c:order val="3"/>
          <c:tx>
            <c:v>Ending balance</c:v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val>
            <c:numRef>
              <c:f>CashFlow!$B$31:$L$31</c:f>
              <c:numCache>
                <c:formatCode>#,##0_ ;[Red]\-#,##0\ </c:formatCode>
                <c:ptCount val="11"/>
                <c:pt idx="0">
                  <c:v>350000000</c:v>
                </c:pt>
                <c:pt idx="1">
                  <c:v>538102139.50131178</c:v>
                </c:pt>
                <c:pt idx="2">
                  <c:v>630657750.29175782</c:v>
                </c:pt>
                <c:pt idx="3">
                  <c:v>685784198.25285256</c:v>
                </c:pt>
                <c:pt idx="4">
                  <c:v>685784198.25285256</c:v>
                </c:pt>
                <c:pt idx="5">
                  <c:v>685784198.25285256</c:v>
                </c:pt>
                <c:pt idx="6">
                  <c:v>685784198.25285256</c:v>
                </c:pt>
                <c:pt idx="7">
                  <c:v>685784198.25285256</c:v>
                </c:pt>
                <c:pt idx="8">
                  <c:v>685784198.25285256</c:v>
                </c:pt>
                <c:pt idx="9">
                  <c:v>685784198.25285256</c:v>
                </c:pt>
                <c:pt idx="10">
                  <c:v>685784198.25285256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D2-4489-9E2D-294F05CAB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452352"/>
        <c:axId val="198454656"/>
      </c:lineChart>
      <c:catAx>
        <c:axId val="19845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Tahun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198454656"/>
        <c:crosses val="autoZero"/>
        <c:auto val="1"/>
        <c:lblAlgn val="ctr"/>
        <c:lblOffset val="100"/>
        <c:noMultiLvlLbl val="0"/>
      </c:catAx>
      <c:valAx>
        <c:axId val="1984546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Proyeksi arus kas bersih (Rp, juta)</a:t>
                </a:r>
              </a:p>
            </c:rich>
          </c:tx>
          <c:overlay val="0"/>
        </c:title>
        <c:numFmt formatCode="#,##0_ ;[Red]\-#,##0\ " sourceLinked="0"/>
        <c:majorTickMark val="out"/>
        <c:minorTickMark val="none"/>
        <c:tickLblPos val="nextTo"/>
        <c:crossAx val="1984523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1280783450455788E-2"/>
          <c:y val="0.11998651210265383"/>
          <c:w val="0.88176784353568716"/>
          <c:h val="6.337837399954635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900" b="0">
          <a:latin typeface="+mn-lt"/>
          <a:ea typeface="Segoe UI" pitchFamily="34" charset="0"/>
          <a:cs typeface="Segoe UI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Besaran Total Dividen 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Dividen!$R$9:$R$38</c:f>
              <c:numCache>
                <c:formatCode>#,##0</c:formatCode>
                <c:ptCount val="30"/>
                <c:pt idx="0">
                  <c:v>438904992.16972774</c:v>
                </c:pt>
                <c:pt idx="1">
                  <c:v>833000497.11401486</c:v>
                </c:pt>
                <c:pt idx="2">
                  <c:v>1047402511.2607986</c:v>
                </c:pt>
                <c:pt idx="3">
                  <c:v>1426621231.8963857</c:v>
                </c:pt>
                <c:pt idx="4">
                  <c:v>1786743327.1408777</c:v>
                </c:pt>
                <c:pt idx="5">
                  <c:v>2186527499.0718298</c:v>
                </c:pt>
                <c:pt idx="6">
                  <c:v>2629965561.6343479</c:v>
                </c:pt>
                <c:pt idx="7">
                  <c:v>2684748872.8670344</c:v>
                </c:pt>
                <c:pt idx="8">
                  <c:v>2740627850.3243742</c:v>
                </c:pt>
                <c:pt idx="9">
                  <c:v>2797624407.330863</c:v>
                </c:pt>
                <c:pt idx="10">
                  <c:v>2902560895.4774809</c:v>
                </c:pt>
                <c:pt idx="11">
                  <c:v>2961860113.3870296</c:v>
                </c:pt>
                <c:pt idx="12">
                  <c:v>3022345315.6547709</c:v>
                </c:pt>
                <c:pt idx="13">
                  <c:v>3084040221.9678669</c:v>
                </c:pt>
                <c:pt idx="14">
                  <c:v>3146969026.4072227</c:v>
                </c:pt>
                <c:pt idx="15">
                  <c:v>3211156406.9353676</c:v>
                </c:pt>
                <c:pt idx="16">
                  <c:v>3276627535.0740743</c:v>
                </c:pt>
                <c:pt idx="17">
                  <c:v>3343408085.7755556</c:v>
                </c:pt>
                <c:pt idx="18">
                  <c:v>3411524247.4910688</c:v>
                </c:pt>
                <c:pt idx="19">
                  <c:v>3481002732.4408903</c:v>
                </c:pt>
                <c:pt idx="20">
                  <c:v>3551870787.0897083</c:v>
                </c:pt>
                <c:pt idx="21">
                  <c:v>3624156202.831502</c:v>
                </c:pt>
                <c:pt idx="22">
                  <c:v>3697887326.8881321</c:v>
                </c:pt>
                <c:pt idx="23">
                  <c:v>3773093073.4258947</c:v>
                </c:pt>
                <c:pt idx="24">
                  <c:v>3849802934.8944125</c:v>
                </c:pt>
                <c:pt idx="25">
                  <c:v>3928046993.5923014</c:v>
                </c:pt>
                <c:pt idx="26">
                  <c:v>4007855933.4641485</c:v>
                </c:pt>
                <c:pt idx="27">
                  <c:v>4089261052.1334314</c:v>
                </c:pt>
                <c:pt idx="28">
                  <c:v>4172294273.1760998</c:v>
                </c:pt>
                <c:pt idx="29">
                  <c:v>4256988158.6396208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48-49D8-98C3-9250FEE688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Besaran Dividen PEMA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Dividen!$S$9:$S$38</c:f>
              <c:numCache>
                <c:formatCode>#,##0</c:formatCode>
                <c:ptCount val="30"/>
                <c:pt idx="0">
                  <c:v>395014492.95275497</c:v>
                </c:pt>
                <c:pt idx="1">
                  <c:v>749700447.4026134</c:v>
                </c:pt>
                <c:pt idx="2">
                  <c:v>942662260.13471878</c:v>
                </c:pt>
                <c:pt idx="3">
                  <c:v>1283959108.7067471</c:v>
                </c:pt>
                <c:pt idx="4">
                  <c:v>1608068994.42679</c:v>
                </c:pt>
                <c:pt idx="5">
                  <c:v>1967874749.1646469</c:v>
                </c:pt>
                <c:pt idx="6">
                  <c:v>2366969005.4709134</c:v>
                </c:pt>
                <c:pt idx="7">
                  <c:v>2416273985.5803308</c:v>
                </c:pt>
                <c:pt idx="8">
                  <c:v>2466565065.2919369</c:v>
                </c:pt>
                <c:pt idx="9">
                  <c:v>2517861966.5977769</c:v>
                </c:pt>
                <c:pt idx="10">
                  <c:v>2612304805.9297328</c:v>
                </c:pt>
                <c:pt idx="11">
                  <c:v>2665674102.048327</c:v>
                </c:pt>
                <c:pt idx="12">
                  <c:v>2720110784.089294</c:v>
                </c:pt>
                <c:pt idx="13">
                  <c:v>2775636199.7710805</c:v>
                </c:pt>
                <c:pt idx="14">
                  <c:v>2832272123.7665005</c:v>
                </c:pt>
                <c:pt idx="15">
                  <c:v>2890040766.2418308</c:v>
                </c:pt>
                <c:pt idx="16">
                  <c:v>2948964781.5666671</c:v>
                </c:pt>
                <c:pt idx="17">
                  <c:v>3009067277.198</c:v>
                </c:pt>
                <c:pt idx="18">
                  <c:v>3070371822.741962</c:v>
                </c:pt>
                <c:pt idx="19">
                  <c:v>3132902459.1968012</c:v>
                </c:pt>
                <c:pt idx="20">
                  <c:v>3196683708.3807378</c:v>
                </c:pt>
                <c:pt idx="21">
                  <c:v>3261740582.5483518</c:v>
                </c:pt>
                <c:pt idx="22">
                  <c:v>3328098594.1993189</c:v>
                </c:pt>
                <c:pt idx="23">
                  <c:v>3395783766.0833054</c:v>
                </c:pt>
                <c:pt idx="24">
                  <c:v>3464822641.4049711</c:v>
                </c:pt>
                <c:pt idx="25">
                  <c:v>3535242294.2330713</c:v>
                </c:pt>
                <c:pt idx="26">
                  <c:v>3607070340.117734</c:v>
                </c:pt>
                <c:pt idx="27">
                  <c:v>3680334946.9200883</c:v>
                </c:pt>
                <c:pt idx="28">
                  <c:v>3755064845.85849</c:v>
                </c:pt>
                <c:pt idx="29">
                  <c:v>3831289342.7756586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2-442C-9F9D-EE3D26BACE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Besaran Dividen Pemerintah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Dividen!$T$9:$T$38</c:f>
              <c:numCache>
                <c:formatCode>#,##0</c:formatCode>
                <c:ptCount val="30"/>
                <c:pt idx="0">
                  <c:v>43890499.216972776</c:v>
                </c:pt>
                <c:pt idx="1">
                  <c:v>83300049.711401492</c:v>
                </c:pt>
                <c:pt idx="2">
                  <c:v>104740251.12607986</c:v>
                </c:pt>
                <c:pt idx="3">
                  <c:v>142662123.18963858</c:v>
                </c:pt>
                <c:pt idx="4">
                  <c:v>178674332.71408778</c:v>
                </c:pt>
                <c:pt idx="5">
                  <c:v>218652749.90718299</c:v>
                </c:pt>
                <c:pt idx="6">
                  <c:v>262996556.1634348</c:v>
                </c:pt>
                <c:pt idx="7">
                  <c:v>268474887.28670347</c:v>
                </c:pt>
                <c:pt idx="8">
                  <c:v>274062785.03243744</c:v>
                </c:pt>
                <c:pt idx="9">
                  <c:v>279762440.73308629</c:v>
                </c:pt>
                <c:pt idx="10">
                  <c:v>290256089.54774809</c:v>
                </c:pt>
                <c:pt idx="11">
                  <c:v>296186011.33870298</c:v>
                </c:pt>
                <c:pt idx="12">
                  <c:v>302234531.56547707</c:v>
                </c:pt>
                <c:pt idx="13">
                  <c:v>308404022.1967867</c:v>
                </c:pt>
                <c:pt idx="14">
                  <c:v>314696902.64072227</c:v>
                </c:pt>
                <c:pt idx="15">
                  <c:v>321115640.69353676</c:v>
                </c:pt>
                <c:pt idx="16">
                  <c:v>327662753.50740743</c:v>
                </c:pt>
                <c:pt idx="17">
                  <c:v>334340808.5775556</c:v>
                </c:pt>
                <c:pt idx="18">
                  <c:v>341152424.74910688</c:v>
                </c:pt>
                <c:pt idx="19">
                  <c:v>348100273.24408907</c:v>
                </c:pt>
                <c:pt idx="20">
                  <c:v>355187078.70897084</c:v>
                </c:pt>
                <c:pt idx="21">
                  <c:v>362415620.2831502</c:v>
                </c:pt>
                <c:pt idx="22">
                  <c:v>369788732.68881321</c:v>
                </c:pt>
                <c:pt idx="23">
                  <c:v>377309307.3425895</c:v>
                </c:pt>
                <c:pt idx="24">
                  <c:v>384980293.48944128</c:v>
                </c:pt>
                <c:pt idx="25">
                  <c:v>392804699.35923016</c:v>
                </c:pt>
                <c:pt idx="26">
                  <c:v>400785593.34641486</c:v>
                </c:pt>
                <c:pt idx="27">
                  <c:v>408926105.21334314</c:v>
                </c:pt>
                <c:pt idx="28">
                  <c:v>417229427.31761003</c:v>
                </c:pt>
                <c:pt idx="29">
                  <c:v>425698815.86396211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F-48A1-A098-CEDF3E5FD0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Perubahan Nilai Perusahaan 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EquityChange!$AK$9:$AK$38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EquityChange!$AL$9:$AL$38</c:f>
              <c:numCache>
                <c:formatCode>#,##0_ ;[Red]\-#,##0\ </c:formatCode>
                <c:ptCount val="30"/>
                <c:pt idx="0">
                  <c:v>1138102139.501312</c:v>
                </c:pt>
                <c:pt idx="1">
                  <c:v>1230657750.2917581</c:v>
                </c:pt>
                <c:pt idx="2">
                  <c:v>1285784198.2528527</c:v>
                </c:pt>
                <c:pt idx="3">
                  <c:v>1285784198.2528527</c:v>
                </c:pt>
                <c:pt idx="4">
                  <c:v>1285784198.2528527</c:v>
                </c:pt>
                <c:pt idx="5">
                  <c:v>1285784198.2528527</c:v>
                </c:pt>
                <c:pt idx="6">
                  <c:v>1285784198.2528527</c:v>
                </c:pt>
                <c:pt idx="7">
                  <c:v>1285784198.2528527</c:v>
                </c:pt>
                <c:pt idx="8">
                  <c:v>1285784198.2528527</c:v>
                </c:pt>
                <c:pt idx="9">
                  <c:v>1285784198.2528527</c:v>
                </c:pt>
                <c:pt idx="10">
                  <c:v>1285784198.2528527</c:v>
                </c:pt>
                <c:pt idx="11">
                  <c:v>1285784198.2528527</c:v>
                </c:pt>
                <c:pt idx="12">
                  <c:v>1285784198.2528527</c:v>
                </c:pt>
                <c:pt idx="13">
                  <c:v>1285784198.2528527</c:v>
                </c:pt>
                <c:pt idx="14">
                  <c:v>1285784198.2528527</c:v>
                </c:pt>
                <c:pt idx="15">
                  <c:v>1285784198.2528527</c:v>
                </c:pt>
                <c:pt idx="16">
                  <c:v>1285784198.2528527</c:v>
                </c:pt>
                <c:pt idx="17">
                  <c:v>1285784198.2528527</c:v>
                </c:pt>
                <c:pt idx="18">
                  <c:v>1285784198.2528527</c:v>
                </c:pt>
                <c:pt idx="19">
                  <c:v>1285784198.2528527</c:v>
                </c:pt>
                <c:pt idx="20">
                  <c:v>1285784198.2528527</c:v>
                </c:pt>
                <c:pt idx="21">
                  <c:v>1285784198.2528527</c:v>
                </c:pt>
                <c:pt idx="22">
                  <c:v>1285784198.2528527</c:v>
                </c:pt>
                <c:pt idx="23">
                  <c:v>1285784198.2528527</c:v>
                </c:pt>
                <c:pt idx="24">
                  <c:v>1285784198.2528527</c:v>
                </c:pt>
                <c:pt idx="25">
                  <c:v>1285784198.2528527</c:v>
                </c:pt>
                <c:pt idx="26">
                  <c:v>1285784198.2528527</c:v>
                </c:pt>
                <c:pt idx="27">
                  <c:v>1285784198.2528527</c:v>
                </c:pt>
                <c:pt idx="28">
                  <c:v>1285784198.2528527</c:v>
                </c:pt>
                <c:pt idx="29">
                  <c:v>1285784198.2528527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5-4E29-8AC6-4EE9A26BEC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_ ;[Red]\-#,##0\ 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Perubahan Nilai Perusahaan 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(%)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EquityChange!$AK$9:$AK$38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EquityChange!$AM$9:$AM$38</c:f>
              <c:numCache>
                <c:formatCode>#,##0.0_ ;[Red]\-#,##0.0\ </c:formatCode>
                <c:ptCount val="30"/>
                <c:pt idx="1">
                  <c:v>8.1324520513599605</c:v>
                </c:pt>
                <c:pt idx="2">
                  <c:v>4.4794296341144006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D-4BDF-915F-579179B951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_ ;[Red]\-#,##0\ 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Revenue!$F$8:$F$37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Revenue!$I$8:$I$37</c:f>
              <c:numCache>
                <c:formatCode>#,##0</c:formatCode>
                <c:ptCount val="30"/>
                <c:pt idx="0">
                  <c:v>4056000000</c:v>
                </c:pt>
                <c:pt idx="1">
                  <c:v>4455678240</c:v>
                </c:pt>
                <c:pt idx="2">
                  <c:v>4894740773.7695999</c:v>
                </c:pt>
                <c:pt idx="3">
                  <c:v>5377068529.6168566</c:v>
                </c:pt>
                <c:pt idx="4">
                  <c:v>5906924862.5253019</c:v>
                </c:pt>
                <c:pt idx="5">
                  <c:v>6488993238.4785452</c:v>
                </c:pt>
                <c:pt idx="6">
                  <c:v>7128418632.1982203</c:v>
                </c:pt>
                <c:pt idx="7">
                  <c:v>7270987004.8421841</c:v>
                </c:pt>
                <c:pt idx="8">
                  <c:v>7416406744.9390268</c:v>
                </c:pt>
                <c:pt idx="9">
                  <c:v>7564734879.8378086</c:v>
                </c:pt>
                <c:pt idx="10">
                  <c:v>7716029577.4345655</c:v>
                </c:pt>
                <c:pt idx="11">
                  <c:v>7870350168.9832563</c:v>
                </c:pt>
                <c:pt idx="12">
                  <c:v>8027757172.3629217</c:v>
                </c:pt>
                <c:pt idx="13">
                  <c:v>8188312315.8101807</c:v>
                </c:pt>
                <c:pt idx="14">
                  <c:v>8352078562.1263838</c:v>
                </c:pt>
                <c:pt idx="15">
                  <c:v>8519120133.3689117</c:v>
                </c:pt>
                <c:pt idx="16">
                  <c:v>8689502536.0362892</c:v>
                </c:pt>
                <c:pt idx="17">
                  <c:v>8863292586.7570152</c:v>
                </c:pt>
                <c:pt idx="18">
                  <c:v>9040558438.492157</c:v>
                </c:pt>
                <c:pt idx="19">
                  <c:v>9221369607.262001</c:v>
                </c:pt>
                <c:pt idx="20">
                  <c:v>9405796999.4072418</c:v>
                </c:pt>
                <c:pt idx="21">
                  <c:v>9593912939.3953857</c:v>
                </c:pt>
                <c:pt idx="22">
                  <c:v>9785791198.1832943</c:v>
                </c:pt>
                <c:pt idx="23">
                  <c:v>9981507022.1469593</c:v>
                </c:pt>
                <c:pt idx="24">
                  <c:v>10181137162.589899</c:v>
                </c:pt>
                <c:pt idx="25">
                  <c:v>10384759905.841698</c:v>
                </c:pt>
                <c:pt idx="26">
                  <c:v>10592455103.958532</c:v>
                </c:pt>
                <c:pt idx="27">
                  <c:v>10804304206.037704</c:v>
                </c:pt>
                <c:pt idx="28">
                  <c:v>11020390290.158457</c:v>
                </c:pt>
                <c:pt idx="29">
                  <c:v>11240798095.961626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0E-4561-BC2C-27DBA0CF4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5518495"/>
        <c:axId val="854240831"/>
      </c:barChart>
      <c:catAx>
        <c:axId val="76551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40831"/>
        <c:crosses val="autoZero"/>
        <c:auto val="1"/>
        <c:lblAlgn val="ctr"/>
        <c:lblOffset val="100"/>
        <c:noMultiLvlLbl val="0"/>
      </c:catAx>
      <c:valAx>
        <c:axId val="85424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51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'Cost of Services Sold'!$AE$23:$AE$52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'Cost of Services Sold'!$AH$23:$AH$52</c:f>
              <c:numCache>
                <c:formatCode>_(* #,##0.00_);_(* \(#,##0.00\);_(* "-"??_);_(@_)</c:formatCode>
                <c:ptCount val="30"/>
                <c:pt idx="0">
                  <c:v>3351497604.8640003</c:v>
                </c:pt>
                <c:pt idx="1">
                  <c:v>3351497604.8640003</c:v>
                </c:pt>
                <c:pt idx="2">
                  <c:v>3484474108.1005058</c:v>
                </c:pt>
                <c:pt idx="3">
                  <c:v>3552963590.262516</c:v>
                </c:pt>
                <c:pt idx="4">
                  <c:v>3622822862.0677662</c:v>
                </c:pt>
                <c:pt idx="5">
                  <c:v>3694079319.3091221</c:v>
                </c:pt>
                <c:pt idx="6">
                  <c:v>3766760905.6953044</c:v>
                </c:pt>
                <c:pt idx="7">
                  <c:v>3840896123.8092108</c:v>
                </c:pt>
                <c:pt idx="8">
                  <c:v>3916514046.2853947</c:v>
                </c:pt>
                <c:pt idx="9">
                  <c:v>3993644327.211103</c:v>
                </c:pt>
                <c:pt idx="10">
                  <c:v>4012317213.7553244</c:v>
                </c:pt>
                <c:pt idx="11">
                  <c:v>4092563558.0304313</c:v>
                </c:pt>
                <c:pt idx="12">
                  <c:v>4174414829.19104</c:v>
                </c:pt>
                <c:pt idx="13">
                  <c:v>4257903125.7748609</c:v>
                </c:pt>
                <c:pt idx="14">
                  <c:v>4343061188.2903585</c:v>
                </c:pt>
                <c:pt idx="15">
                  <c:v>4429922412.0561657</c:v>
                </c:pt>
                <c:pt idx="16">
                  <c:v>4518520860.2972889</c:v>
                </c:pt>
                <c:pt idx="17">
                  <c:v>4608891277.5032349</c:v>
                </c:pt>
                <c:pt idx="18">
                  <c:v>4701069103.053299</c:v>
                </c:pt>
                <c:pt idx="19">
                  <c:v>4795090485.1143665</c:v>
                </c:pt>
                <c:pt idx="20">
                  <c:v>4890992294.8166533</c:v>
                </c:pt>
                <c:pt idx="21">
                  <c:v>4988812140.712986</c:v>
                </c:pt>
                <c:pt idx="22">
                  <c:v>5088588383.5272465</c:v>
                </c:pt>
                <c:pt idx="23">
                  <c:v>5190360151.1977911</c:v>
                </c:pt>
                <c:pt idx="24">
                  <c:v>5294167354.2217474</c:v>
                </c:pt>
                <c:pt idx="25">
                  <c:v>5400050701.3061819</c:v>
                </c:pt>
                <c:pt idx="26">
                  <c:v>5508051715.332305</c:v>
                </c:pt>
                <c:pt idx="27">
                  <c:v>5618212749.6389513</c:v>
                </c:pt>
                <c:pt idx="28">
                  <c:v>5730577004.6317301</c:v>
                </c:pt>
                <c:pt idx="29">
                  <c:v>5845188544.7243652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9-44ED-9649-BF6CF82D5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6209407"/>
        <c:axId val="762915727"/>
      </c:barChart>
      <c:catAx>
        <c:axId val="766209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915727"/>
        <c:crosses val="autoZero"/>
        <c:auto val="1"/>
        <c:lblAlgn val="ctr"/>
        <c:lblOffset val="100"/>
        <c:noMultiLvlLbl val="0"/>
      </c:catAx>
      <c:valAx>
        <c:axId val="762915727"/>
        <c:scaling>
          <c:orientation val="minMax"/>
          <c:max val="6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1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20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Unit ICS direvitalisasi</a:t>
            </a:r>
          </a:p>
        </c:rich>
      </c:tx>
      <c:layout>
        <c:manualLayout>
          <c:xMode val="edge"/>
          <c:yMode val="edge"/>
          <c:x val="0.20959492754871725"/>
          <c:y val="4.76900149031296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9D-4905-B625-F4666369F9D0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B9D-4905-B625-F4666369F9D0}"/>
              </c:ext>
            </c:extLst>
          </c:dPt>
          <c:dLbls>
            <c:dLbl>
              <c:idx val="0"/>
              <c:layout>
                <c:manualLayout>
                  <c:x val="0.12602525887765123"/>
                  <c:y val="-3.79799778662562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9D-4905-B625-F4666369F9D0}"/>
                </c:ext>
              </c:extLst>
            </c:dLbl>
            <c:dLbl>
              <c:idx val="1"/>
              <c:layout>
                <c:manualLayout>
                  <c:x val="-7.7340925929116622E-2"/>
                  <c:y val="8.334448500884077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9D-4905-B625-F4666369F9D0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CostStructure!$G$11:$G$12</c:f>
              <c:strCache>
                <c:ptCount val="2"/>
                <c:pt idx="0">
                  <c:v>COSS</c:v>
                </c:pt>
                <c:pt idx="1">
                  <c:v>SG&amp;A</c:v>
                </c:pt>
              </c:strCache>
            </c:strRef>
          </c:cat>
          <c:val>
            <c:numRef>
              <c:f>CostStructure!$I$11:$I$12</c:f>
              <c:numCache>
                <c:formatCode>0.000</c:formatCode>
                <c:ptCount val="2"/>
                <c:pt idx="0">
                  <c:v>0.79137426576057857</c:v>
                </c:pt>
                <c:pt idx="1">
                  <c:v>0.20862573423942138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9D-4905-B625-F4666369F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533400</xdr:colOff>
      <xdr:row>45</xdr:row>
      <xdr:rowOff>31750</xdr:rowOff>
    </xdr:from>
    <xdr:to>
      <xdr:col>15</xdr:col>
      <xdr:colOff>228600</xdr:colOff>
      <xdr:row>47</xdr:row>
      <xdr:rowOff>82550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0B2ACB32-D1DF-4D7E-B57D-377F82B0C9D9}"/>
            </a:ext>
          </a:extLst>
        </xdr:cNvPr>
        <xdr:cNvCxnSpPr/>
      </xdr:nvCxnSpPr>
      <xdr:spPr>
        <a:xfrm rot="10800000" flipV="1">
          <a:off x="13468350" y="5937250"/>
          <a:ext cx="501650" cy="317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584200</xdr:colOff>
      <xdr:row>42</xdr:row>
      <xdr:rowOff>82550</xdr:rowOff>
    </xdr:from>
    <xdr:to>
      <xdr:col>15</xdr:col>
      <xdr:colOff>177800</xdr:colOff>
      <xdr:row>45</xdr:row>
      <xdr:rowOff>31750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20E85325-92A1-E25A-6507-CB2926C513A6}"/>
            </a:ext>
          </a:extLst>
        </xdr:cNvPr>
        <xdr:cNvCxnSpPr/>
      </xdr:nvCxnSpPr>
      <xdr:spPr>
        <a:xfrm>
          <a:off x="13519150" y="5588000"/>
          <a:ext cx="400050" cy="349250"/>
        </a:xfrm>
        <a:prstGeom prst="bentConnector3">
          <a:avLst>
            <a:gd name="adj1" fmla="val 10873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61</xdr:row>
      <xdr:rowOff>57150</xdr:rowOff>
    </xdr:from>
    <xdr:to>
      <xdr:col>9</xdr:col>
      <xdr:colOff>257175</xdr:colOff>
      <xdr:row>84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0</xdr:rowOff>
    </xdr:from>
    <xdr:to>
      <xdr:col>9</xdr:col>
      <xdr:colOff>6350</xdr:colOff>
      <xdr:row>58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408055</xdr:colOff>
      <xdr:row>8</xdr:row>
      <xdr:rowOff>90281</xdr:rowOff>
    </xdr:from>
    <xdr:to>
      <xdr:col>28</xdr:col>
      <xdr:colOff>581024</xdr:colOff>
      <xdr:row>31</xdr:row>
      <xdr:rowOff>99806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61B01B-D144-8406-9759-D362D02D9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312668</xdr:colOff>
      <xdr:row>8</xdr:row>
      <xdr:rowOff>115681</xdr:rowOff>
    </xdr:from>
    <xdr:to>
      <xdr:col>34</xdr:col>
      <xdr:colOff>426969</xdr:colOff>
      <xdr:row>32</xdr:row>
      <xdr:rowOff>6627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CDF71D-911D-4F7E-914E-0DD14DD966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285749</xdr:colOff>
      <xdr:row>32</xdr:row>
      <xdr:rowOff>38100</xdr:rowOff>
    </xdr:from>
    <xdr:to>
      <xdr:col>32</xdr:col>
      <xdr:colOff>38100</xdr:colOff>
      <xdr:row>61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27E092-60D3-4FE8-96F2-CAE84C04F7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9</xdr:row>
      <xdr:rowOff>0</xdr:rowOff>
    </xdr:from>
    <xdr:to>
      <xdr:col>45</xdr:col>
      <xdr:colOff>514350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441EF0-F8EF-4870-9730-937218089D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657224</xdr:colOff>
      <xdr:row>31</xdr:row>
      <xdr:rowOff>133350</xdr:rowOff>
    </xdr:from>
    <xdr:to>
      <xdr:col>45</xdr:col>
      <xdr:colOff>533399</xdr:colOff>
      <xdr:row>49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BBC8A0-A3DA-4E3E-B1E3-FE93C558F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14</xdr:row>
      <xdr:rowOff>76200</xdr:rowOff>
    </xdr:from>
    <xdr:to>
      <xdr:col>18</xdr:col>
      <xdr:colOff>171450</xdr:colOff>
      <xdr:row>33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B472D-EA62-1C3A-B222-CC4F9A9BF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676276</xdr:colOff>
      <xdr:row>40</xdr:row>
      <xdr:rowOff>14284</xdr:rowOff>
    </xdr:from>
    <xdr:to>
      <xdr:col>29</xdr:col>
      <xdr:colOff>914401</xdr:colOff>
      <xdr:row>62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9BB248-AC84-F33F-AAA5-4EB54A0B6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38100</xdr:colOff>
      <xdr:row>9</xdr:row>
      <xdr:rowOff>25400</xdr:rowOff>
    </xdr:from>
    <xdr:to>
      <xdr:col>21</xdr:col>
      <xdr:colOff>38100</xdr:colOff>
      <xdr:row>9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A6C142-7D0C-6EFA-0ACC-32942A2D8A2F}"/>
            </a:ext>
          </a:extLst>
        </xdr:cNvPr>
        <xdr:cNvCxnSpPr/>
      </xdr:nvCxnSpPr>
      <xdr:spPr>
        <a:xfrm>
          <a:off x="11626850" y="1397000"/>
          <a:ext cx="0" cy="88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723900</xdr:colOff>
      <xdr:row>13</xdr:row>
      <xdr:rowOff>57150</xdr:rowOff>
    </xdr:from>
    <xdr:to>
      <xdr:col>22</xdr:col>
      <xdr:colOff>736600</xdr:colOff>
      <xdr:row>13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0838AD8-B830-E702-F9B5-9EABCA2AC8CE}"/>
            </a:ext>
          </a:extLst>
        </xdr:cNvPr>
        <xdr:cNvCxnSpPr/>
      </xdr:nvCxnSpPr>
      <xdr:spPr>
        <a:xfrm>
          <a:off x="10814050" y="1962150"/>
          <a:ext cx="19939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50800</xdr:colOff>
      <xdr:row>12</xdr:row>
      <xdr:rowOff>12700</xdr:rowOff>
    </xdr:from>
    <xdr:to>
      <xdr:col>21</xdr:col>
      <xdr:colOff>50800</xdr:colOff>
      <xdr:row>13</xdr:row>
      <xdr:rowOff>38100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FD7825E-E80B-9618-8CAA-EFEC9A7F14F5}"/>
            </a:ext>
          </a:extLst>
        </xdr:cNvPr>
        <xdr:cNvCxnSpPr/>
      </xdr:nvCxnSpPr>
      <xdr:spPr>
        <a:xfrm>
          <a:off x="11639550" y="1784350"/>
          <a:ext cx="0" cy="158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723900</xdr:colOff>
      <xdr:row>13</xdr:row>
      <xdr:rowOff>50800</xdr:rowOff>
    </xdr:from>
    <xdr:to>
      <xdr:col>18</xdr:col>
      <xdr:colOff>723900</xdr:colOff>
      <xdr:row>14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FCDA466-91D9-4C05-9DE4-BB9643821534}"/>
            </a:ext>
          </a:extLst>
        </xdr:cNvPr>
        <xdr:cNvCxnSpPr/>
      </xdr:nvCxnSpPr>
      <xdr:spPr>
        <a:xfrm>
          <a:off x="10814050" y="1955800"/>
          <a:ext cx="0" cy="158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736600</xdr:colOff>
      <xdr:row>13</xdr:row>
      <xdr:rowOff>63500</xdr:rowOff>
    </xdr:from>
    <xdr:to>
      <xdr:col>22</xdr:col>
      <xdr:colOff>736600</xdr:colOff>
      <xdr:row>14</xdr:row>
      <xdr:rowOff>88900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687218F-32F3-4D74-A0BD-0FFD2A861EAD}"/>
            </a:ext>
          </a:extLst>
        </xdr:cNvPr>
        <xdr:cNvCxnSpPr/>
      </xdr:nvCxnSpPr>
      <xdr:spPr>
        <a:xfrm>
          <a:off x="12807950" y="1968500"/>
          <a:ext cx="0" cy="158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711200</xdr:colOff>
      <xdr:row>17</xdr:row>
      <xdr:rowOff>19050</xdr:rowOff>
    </xdr:from>
    <xdr:to>
      <xdr:col>18</xdr:col>
      <xdr:colOff>711200</xdr:colOff>
      <xdr:row>17</xdr:row>
      <xdr:rowOff>107950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173A739-BEAA-48FE-A255-D16A76F5D996}"/>
            </a:ext>
          </a:extLst>
        </xdr:cNvPr>
        <xdr:cNvCxnSpPr/>
      </xdr:nvCxnSpPr>
      <xdr:spPr>
        <a:xfrm>
          <a:off x="10801350" y="2457450"/>
          <a:ext cx="0" cy="88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736600</xdr:colOff>
      <xdr:row>17</xdr:row>
      <xdr:rowOff>12700</xdr:rowOff>
    </xdr:from>
    <xdr:to>
      <xdr:col>22</xdr:col>
      <xdr:colOff>736600</xdr:colOff>
      <xdr:row>17</xdr:row>
      <xdr:rowOff>101600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C4B137F-E5B0-4B92-AC9B-554AA8B6B7BF}"/>
            </a:ext>
          </a:extLst>
        </xdr:cNvPr>
        <xdr:cNvCxnSpPr/>
      </xdr:nvCxnSpPr>
      <xdr:spPr>
        <a:xfrm>
          <a:off x="12807950" y="2451100"/>
          <a:ext cx="0" cy="88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15</xdr:row>
      <xdr:rowOff>3175</xdr:rowOff>
    </xdr:from>
    <xdr:to>
      <xdr:col>10</xdr:col>
      <xdr:colOff>6350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17A6DC-51EE-22B8-EE41-2B7DC6059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</xdr:row>
      <xdr:rowOff>123825</xdr:rowOff>
    </xdr:from>
    <xdr:to>
      <xdr:col>4</xdr:col>
      <xdr:colOff>600075</xdr:colOff>
      <xdr:row>9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CxnSpPr/>
      </xdr:nvCxnSpPr>
      <xdr:spPr>
        <a:xfrm flipV="1">
          <a:off x="2962275" y="1019175"/>
          <a:ext cx="1190625" cy="2190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10</xdr:row>
      <xdr:rowOff>95250</xdr:rowOff>
    </xdr:from>
    <xdr:to>
      <xdr:col>4</xdr:col>
      <xdr:colOff>600075</xdr:colOff>
      <xdr:row>13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CxnSpPr/>
      </xdr:nvCxnSpPr>
      <xdr:spPr>
        <a:xfrm>
          <a:off x="2990850" y="1390650"/>
          <a:ext cx="1162050" cy="35242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15</xdr:row>
      <xdr:rowOff>95250</xdr:rowOff>
    </xdr:from>
    <xdr:to>
      <xdr:col>5</xdr:col>
      <xdr:colOff>9525</xdr:colOff>
      <xdr:row>22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CxnSpPr/>
      </xdr:nvCxnSpPr>
      <xdr:spPr>
        <a:xfrm>
          <a:off x="2933700" y="2057400"/>
          <a:ext cx="1314450" cy="77152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16</xdr:row>
      <xdr:rowOff>123825</xdr:rowOff>
    </xdr:from>
    <xdr:to>
      <xdr:col>4</xdr:col>
      <xdr:colOff>657225</xdr:colOff>
      <xdr:row>28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CxnSpPr/>
      </xdr:nvCxnSpPr>
      <xdr:spPr>
        <a:xfrm>
          <a:off x="2914650" y="2400300"/>
          <a:ext cx="1295400" cy="15049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11</xdr:row>
      <xdr:rowOff>76200</xdr:rowOff>
    </xdr:from>
    <xdr:to>
      <xdr:col>3</xdr:col>
      <xdr:colOff>552450</xdr:colOff>
      <xdr:row>21</xdr:row>
      <xdr:rowOff>85725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3114675" y="1638300"/>
          <a:ext cx="523875" cy="1343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9525</xdr:colOff>
      <xdr:row>24</xdr:row>
      <xdr:rowOff>0</xdr:rowOff>
    </xdr:from>
    <xdr:to>
      <xdr:col>3</xdr:col>
      <xdr:colOff>533400</xdr:colOff>
      <xdr:row>44</xdr:row>
      <xdr:rowOff>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/>
      </xdr:nvSpPr>
      <xdr:spPr>
        <a:xfrm>
          <a:off x="3095625" y="3295650"/>
          <a:ext cx="523875" cy="2667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omersil\Project%20Minyak%20Goreng\Pra%20Fs\2022%2009%2026%20FFS%20Cooking%20Oil%20plant%20(New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ing%20sheet\Integrated%20Cold%20Storage\2023%2010%2005%20PFS%20bisnis%20pengelolaan%20ICS-revitalitation.xlsx" TargetMode="External"/><Relationship Id="rId1" Type="http://schemas.openxmlformats.org/officeDocument/2006/relationships/externalLinkPath" Target="file:///D:\Working%20sheet\Integrated%20Cold%20Storage\2023%2010%2005%20PFS%20bisnis%20pengelolaan%20ICS-revitalit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6.%20PEMA\05.%20Various%20Project\19.%20Minyak%20goreng\Users\denny1909\Dropbox\SPI\VPC%20Gas%206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ProjectValuation"/>
      <sheetName val="Sensitivity"/>
      <sheetName val="IncomeStatement"/>
      <sheetName val="CashFlow"/>
      <sheetName val="CapitalInvestment"/>
      <sheetName val="WorkingCapital"/>
      <sheetName val="BEP"/>
      <sheetName val="Market"/>
      <sheetName val="Prod.&amp;SalesRevenue"/>
      <sheetName val="CostStructure"/>
      <sheetName val="COGS"/>
      <sheetName val="VarProdCost"/>
      <sheetName val="PlantOVH"/>
      <sheetName val="SG&amp;A"/>
      <sheetName val="Salary"/>
      <sheetName val="LoanInterest"/>
      <sheetName val="Amortization"/>
      <sheetName val="Referensi"/>
      <sheetName val="Lamp P&amp;L"/>
      <sheetName val="Lamp CF"/>
      <sheetName val="Sheet1"/>
      <sheetName val="Cost"/>
    </sheetNames>
    <sheetDataSet>
      <sheetData sheetId="0">
        <row r="1">
          <cell r="A1" t="str">
            <v>COOKING OIL FROM PALM OIL PLANT</v>
          </cell>
        </row>
        <row r="2">
          <cell r="A2" t="str">
            <v>Financial Pre-Feasibility Study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"/>
      <sheetName val="ProjectValuation(JO)"/>
      <sheetName val="Sensitivity"/>
      <sheetName val="IncomeStatement"/>
      <sheetName val="CashFlow"/>
      <sheetName val="EquityChange"/>
      <sheetName val="CapitalInvestment"/>
      <sheetName val="WorkingCapital"/>
      <sheetName val="CostofCapital"/>
      <sheetName val="Revenue"/>
      <sheetName val="Cost of Services Sold"/>
      <sheetName val="SG&amp;A"/>
      <sheetName val="FreightCost"/>
      <sheetName val="Salary"/>
      <sheetName val="LoanInterest"/>
      <sheetName val="Amortization"/>
      <sheetName val="TransportReference"/>
      <sheetName val="Lamp P&amp;L"/>
      <sheetName val="Lamp CF"/>
      <sheetName val="Theory"/>
      <sheetName val="FullCosting"/>
      <sheetName val="Costs&amp;Expenses"/>
      <sheetName val="CostChecking"/>
      <sheetName val="Cost"/>
      <sheetName val="Supply schedule"/>
      <sheetName val="SOTK"/>
      <sheetName val="Timeline"/>
      <sheetName val="Sheet1"/>
    </sheetNames>
    <sheetDataSet>
      <sheetData sheetId="0">
        <row r="22">
          <cell r="B22">
            <v>100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PC"/>
    </sheetNames>
    <sheetDataSet>
      <sheetData sheetId="0" refreshError="1">
        <row r="28">
          <cell r="O28">
            <v>165.8725230666667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S72"/>
  <sheetViews>
    <sheetView showGridLines="0" zoomScaleNormal="100" workbookViewId="0">
      <pane ySplit="4" topLeftCell="A5" activePane="bottomLeft" state="frozen"/>
      <selection pane="bottomLeft" activeCell="I49" sqref="I49"/>
    </sheetView>
  </sheetViews>
  <sheetFormatPr defaultColWidth="10.625" defaultRowHeight="11.25" x14ac:dyDescent="0.2"/>
  <cols>
    <col min="1" max="1" width="30.875" style="211" bestFit="1" customWidth="1"/>
    <col min="2" max="2" width="11.875" style="208" customWidth="1"/>
    <col min="3" max="3" width="5.375" style="198" customWidth="1"/>
    <col min="4" max="4" width="9.625" style="198" customWidth="1"/>
    <col min="5" max="5" width="9.125" style="198" bestFit="1" customWidth="1"/>
    <col min="6" max="6" width="14.875" style="198" customWidth="1"/>
    <col min="7" max="7" width="9.125" style="380" bestFit="1" customWidth="1"/>
    <col min="8" max="8" width="10.625" style="198"/>
    <col min="9" max="9" width="33.25" style="198" bestFit="1" customWidth="1"/>
    <col min="10" max="11" width="10.75" style="198" bestFit="1" customWidth="1"/>
    <col min="12" max="12" width="10.625" style="198"/>
    <col min="13" max="13" width="17.125" style="198" customWidth="1"/>
    <col min="14" max="16384" width="10.625" style="198"/>
  </cols>
  <sheetData>
    <row r="1" spans="1:12" x14ac:dyDescent="0.2">
      <c r="A1" s="197" t="s">
        <v>968</v>
      </c>
      <c r="C1" s="200"/>
      <c r="D1" s="200"/>
      <c r="E1" s="200"/>
      <c r="F1" s="200"/>
    </row>
    <row r="2" spans="1:12" x14ac:dyDescent="0.2">
      <c r="A2" s="197" t="s">
        <v>568</v>
      </c>
      <c r="E2" s="156"/>
      <c r="G2" s="407"/>
      <c r="H2" s="208"/>
      <c r="I2" s="208"/>
      <c r="J2" s="208"/>
      <c r="K2" s="208"/>
    </row>
    <row r="3" spans="1:12" x14ac:dyDescent="0.2">
      <c r="A3" s="199" t="s">
        <v>567</v>
      </c>
      <c r="F3" s="488"/>
      <c r="G3" s="407"/>
      <c r="H3" s="208"/>
      <c r="I3" s="208"/>
      <c r="J3" s="208"/>
      <c r="K3" s="208"/>
    </row>
    <row r="4" spans="1:12" x14ac:dyDescent="0.2">
      <c r="A4" s="209"/>
    </row>
    <row r="5" spans="1:12" x14ac:dyDescent="0.2">
      <c r="A5" s="209"/>
    </row>
    <row r="6" spans="1:12" x14ac:dyDescent="0.2">
      <c r="A6" s="210" t="s">
        <v>569</v>
      </c>
      <c r="H6" s="467" t="s">
        <v>738</v>
      </c>
      <c r="I6" s="468"/>
      <c r="J6" s="468"/>
      <c r="K6" s="468"/>
      <c r="L6" s="469"/>
    </row>
    <row r="7" spans="1:12" x14ac:dyDescent="0.2">
      <c r="A7" s="212" t="s">
        <v>686</v>
      </c>
      <c r="B7" s="398">
        <v>12</v>
      </c>
      <c r="C7" s="156" t="s">
        <v>570</v>
      </c>
      <c r="E7" s="156"/>
      <c r="F7" s="156"/>
      <c r="H7" s="463" t="s">
        <v>735</v>
      </c>
      <c r="L7" s="464"/>
    </row>
    <row r="8" spans="1:12" x14ac:dyDescent="0.2">
      <c r="A8" s="212" t="s">
        <v>729</v>
      </c>
      <c r="B8" s="398">
        <v>24</v>
      </c>
      <c r="C8" s="156" t="s">
        <v>730</v>
      </c>
      <c r="E8" s="156"/>
      <c r="F8" s="156"/>
      <c r="H8" s="463" t="s">
        <v>734</v>
      </c>
      <c r="L8" s="464"/>
    </row>
    <row r="9" spans="1:12" ht="12.75" x14ac:dyDescent="0.2">
      <c r="A9" s="213" t="s">
        <v>823</v>
      </c>
      <c r="B9" s="399">
        <v>130000</v>
      </c>
      <c r="C9" s="214" t="s">
        <v>873</v>
      </c>
      <c r="D9" s="215"/>
      <c r="E9" s="408" t="s">
        <v>874</v>
      </c>
      <c r="F9" s="156"/>
      <c r="H9" s="463" t="s">
        <v>736</v>
      </c>
      <c r="L9" s="464"/>
    </row>
    <row r="10" spans="1:12" x14ac:dyDescent="0.2">
      <c r="B10" s="220">
        <f>B9*B7</f>
        <v>1560000</v>
      </c>
      <c r="C10" s="198" t="s">
        <v>687</v>
      </c>
      <c r="E10" s="198" t="s">
        <v>875</v>
      </c>
      <c r="H10" s="463" t="s">
        <v>737</v>
      </c>
      <c r="L10" s="464"/>
    </row>
    <row r="11" spans="1:12" x14ac:dyDescent="0.2">
      <c r="A11" s="223" t="s">
        <v>1022</v>
      </c>
      <c r="B11" s="399">
        <v>11</v>
      </c>
      <c r="C11" s="198" t="s">
        <v>60</v>
      </c>
      <c r="H11" s="463" t="s">
        <v>739</v>
      </c>
      <c r="L11" s="464"/>
    </row>
    <row r="12" spans="1:12" x14ac:dyDescent="0.2">
      <c r="A12" s="216" t="s">
        <v>731</v>
      </c>
      <c r="B12" s="220">
        <f>B13*(1+B11%)</f>
        <v>2886.0000000000005</v>
      </c>
      <c r="C12" s="198" t="s">
        <v>1023</v>
      </c>
      <c r="H12" s="463" t="s">
        <v>740</v>
      </c>
      <c r="L12" s="464"/>
    </row>
    <row r="13" spans="1:12" x14ac:dyDescent="0.2">
      <c r="A13" s="198"/>
      <c r="B13" s="399">
        <v>2600</v>
      </c>
      <c r="C13" s="198" t="s">
        <v>1021</v>
      </c>
      <c r="D13" s="156"/>
      <c r="H13" s="463" t="s">
        <v>746</v>
      </c>
      <c r="L13" s="464"/>
    </row>
    <row r="14" spans="1:12" x14ac:dyDescent="0.2">
      <c r="A14" s="216" t="s">
        <v>732</v>
      </c>
      <c r="B14" s="403">
        <v>2</v>
      </c>
      <c r="C14" s="156" t="s">
        <v>733</v>
      </c>
      <c r="D14" s="156"/>
      <c r="H14" s="463" t="s">
        <v>741</v>
      </c>
      <c r="L14" s="464"/>
    </row>
    <row r="15" spans="1:12" x14ac:dyDescent="0.2">
      <c r="A15" s="212" t="s">
        <v>572</v>
      </c>
      <c r="B15" s="398">
        <v>15000</v>
      </c>
      <c r="C15" s="156" t="s">
        <v>362</v>
      </c>
      <c r="D15" s="156"/>
      <c r="H15" s="463" t="s">
        <v>961</v>
      </c>
      <c r="L15" s="464"/>
    </row>
    <row r="16" spans="1:12" x14ac:dyDescent="0.2">
      <c r="A16" s="212" t="s">
        <v>573</v>
      </c>
      <c r="B16" s="398">
        <v>10</v>
      </c>
      <c r="C16" s="156" t="s">
        <v>571</v>
      </c>
      <c r="D16" s="156"/>
      <c r="H16" s="463" t="s">
        <v>737</v>
      </c>
      <c r="L16" s="464"/>
    </row>
    <row r="17" spans="1:19" x14ac:dyDescent="0.2">
      <c r="H17" s="463" t="s">
        <v>746</v>
      </c>
      <c r="L17" s="464"/>
    </row>
    <row r="18" spans="1:19" x14ac:dyDescent="0.2">
      <c r="A18" s="218" t="s">
        <v>574</v>
      </c>
      <c r="B18" s="219"/>
      <c r="C18" s="217"/>
      <c r="D18" s="217"/>
      <c r="H18" s="463" t="s">
        <v>742</v>
      </c>
      <c r="L18" s="464"/>
    </row>
    <row r="19" spans="1:19" x14ac:dyDescent="0.2">
      <c r="A19" s="212" t="s">
        <v>575</v>
      </c>
      <c r="B19" s="220">
        <f>B20+B21</f>
        <v>950000000</v>
      </c>
      <c r="C19" s="198" t="s">
        <v>424</v>
      </c>
      <c r="H19" s="465" t="s">
        <v>961</v>
      </c>
      <c r="I19" s="371"/>
      <c r="J19" s="371"/>
      <c r="K19" s="371"/>
      <c r="L19" s="466"/>
    </row>
    <row r="20" spans="1:19" x14ac:dyDescent="0.2">
      <c r="A20" s="212" t="s">
        <v>576</v>
      </c>
      <c r="B20" s="220">
        <f>CapitalInvestment!D7</f>
        <v>600000000</v>
      </c>
      <c r="C20" s="198" t="s">
        <v>387</v>
      </c>
    </row>
    <row r="21" spans="1:19" x14ac:dyDescent="0.2">
      <c r="A21" s="212" t="s">
        <v>577</v>
      </c>
      <c r="B21" s="220">
        <f>CapitalInvestment!D8</f>
        <v>350000000</v>
      </c>
      <c r="C21" s="198" t="s">
        <v>390</v>
      </c>
    </row>
    <row r="22" spans="1:19" x14ac:dyDescent="0.2">
      <c r="A22" s="212" t="s">
        <v>578</v>
      </c>
      <c r="B22" s="220">
        <f>LoanInterest!D20</f>
        <v>0</v>
      </c>
      <c r="C22" s="198" t="s">
        <v>524</v>
      </c>
    </row>
    <row r="23" spans="1:19" x14ac:dyDescent="0.2">
      <c r="A23" s="212" t="s">
        <v>579</v>
      </c>
      <c r="B23" s="400">
        <f>100-B24</f>
        <v>0</v>
      </c>
      <c r="C23" s="198" t="s">
        <v>525</v>
      </c>
    </row>
    <row r="24" spans="1:19" x14ac:dyDescent="0.2">
      <c r="A24" s="212" t="s">
        <v>580</v>
      </c>
      <c r="B24" s="399">
        <v>100</v>
      </c>
      <c r="C24" s="198" t="s">
        <v>60</v>
      </c>
    </row>
    <row r="25" spans="1:19" x14ac:dyDescent="0.2">
      <c r="A25" s="212" t="s">
        <v>581</v>
      </c>
      <c r="B25" s="401">
        <v>0</v>
      </c>
      <c r="C25" s="198" t="s">
        <v>389</v>
      </c>
    </row>
    <row r="26" spans="1:19" x14ac:dyDescent="0.2">
      <c r="A26" s="212" t="s">
        <v>582</v>
      </c>
      <c r="B26" s="399">
        <v>0</v>
      </c>
      <c r="C26" s="198" t="s">
        <v>52</v>
      </c>
    </row>
    <row r="27" spans="1:19" x14ac:dyDescent="0.2">
      <c r="A27" s="212" t="s">
        <v>583</v>
      </c>
      <c r="B27" s="399">
        <v>0</v>
      </c>
      <c r="C27" s="198" t="s">
        <v>507</v>
      </c>
    </row>
    <row r="28" spans="1:19" x14ac:dyDescent="0.2">
      <c r="A28" s="212" t="s">
        <v>705</v>
      </c>
      <c r="B28" s="221">
        <f>CostofCapital!J25*100</f>
        <v>12</v>
      </c>
      <c r="C28" s="198" t="s">
        <v>706</v>
      </c>
    </row>
    <row r="29" spans="1:19" x14ac:dyDescent="0.2">
      <c r="A29" s="212" t="s">
        <v>584</v>
      </c>
      <c r="B29" s="226">
        <v>2</v>
      </c>
      <c r="C29" s="198" t="s">
        <v>62</v>
      </c>
    </row>
    <row r="30" spans="1:19" x14ac:dyDescent="0.2">
      <c r="A30" s="212" t="s">
        <v>585</v>
      </c>
      <c r="B30" s="226">
        <v>10</v>
      </c>
      <c r="C30" s="198" t="s">
        <v>77</v>
      </c>
      <c r="S30" s="198">
        <f>19000/60</f>
        <v>316.66666666666669</v>
      </c>
    </row>
    <row r="31" spans="1:19" x14ac:dyDescent="0.2">
      <c r="A31" s="223" t="s">
        <v>586</v>
      </c>
      <c r="B31" s="226">
        <v>0</v>
      </c>
      <c r="C31" s="198" t="s">
        <v>425</v>
      </c>
      <c r="S31" s="198">
        <f>S30/2</f>
        <v>158.33333333333334</v>
      </c>
    </row>
    <row r="32" spans="1:19" x14ac:dyDescent="0.2">
      <c r="A32" s="225" t="s">
        <v>587</v>
      </c>
      <c r="B32" s="226">
        <v>11</v>
      </c>
      <c r="C32" s="198" t="s">
        <v>64</v>
      </c>
    </row>
    <row r="33" spans="1:17" x14ac:dyDescent="0.2">
      <c r="A33" s="225" t="s">
        <v>587</v>
      </c>
      <c r="B33" s="226">
        <v>22</v>
      </c>
      <c r="C33" s="198" t="s">
        <v>64</v>
      </c>
    </row>
    <row r="34" spans="1:17" ht="12.75" x14ac:dyDescent="0.2">
      <c r="A34" s="225" t="s">
        <v>73</v>
      </c>
      <c r="B34" s="226">
        <v>0</v>
      </c>
      <c r="C34" s="198" t="s">
        <v>566</v>
      </c>
    </row>
    <row r="35" spans="1:17" x14ac:dyDescent="0.2">
      <c r="A35" s="225" t="s">
        <v>65</v>
      </c>
      <c r="B35" s="226"/>
      <c r="C35" s="198" t="s">
        <v>60</v>
      </c>
    </row>
    <row r="36" spans="1:17" x14ac:dyDescent="0.2">
      <c r="A36" s="198"/>
      <c r="B36" s="198"/>
      <c r="H36" s="207"/>
    </row>
    <row r="37" spans="1:17" x14ac:dyDescent="0.2">
      <c r="A37" s="218" t="s">
        <v>707</v>
      </c>
      <c r="B37" s="198"/>
      <c r="H37" s="222"/>
    </row>
    <row r="38" spans="1:17" x14ac:dyDescent="0.2">
      <c r="A38" s="198"/>
      <c r="B38" s="394" t="s">
        <v>692</v>
      </c>
      <c r="E38" s="279" t="s">
        <v>693</v>
      </c>
      <c r="G38" s="406" t="s">
        <v>754</v>
      </c>
      <c r="H38" s="222"/>
    </row>
    <row r="39" spans="1:17" x14ac:dyDescent="0.2">
      <c r="A39" s="198" t="s">
        <v>708</v>
      </c>
      <c r="B39" s="462">
        <v>1</v>
      </c>
      <c r="C39" s="198" t="s">
        <v>726</v>
      </c>
      <c r="E39" s="393">
        <v>650</v>
      </c>
      <c r="F39" s="198" t="s">
        <v>725</v>
      </c>
      <c r="G39" s="380" t="s">
        <v>835</v>
      </c>
      <c r="H39" s="222"/>
      <c r="Q39" s="198" t="s">
        <v>1044</v>
      </c>
    </row>
    <row r="40" spans="1:17" x14ac:dyDescent="0.2">
      <c r="A40" s="198" t="s">
        <v>909</v>
      </c>
      <c r="B40" s="462">
        <v>1</v>
      </c>
      <c r="C40" s="198" t="s">
        <v>884</v>
      </c>
      <c r="E40" s="274">
        <v>50000</v>
      </c>
      <c r="F40" s="198" t="s">
        <v>878</v>
      </c>
      <c r="G40" s="380" t="s">
        <v>836</v>
      </c>
      <c r="H40" s="222"/>
      <c r="M40" s="279" t="s">
        <v>877</v>
      </c>
    </row>
    <row r="41" spans="1:17" x14ac:dyDescent="0.2">
      <c r="A41" s="198" t="s">
        <v>1035</v>
      </c>
      <c r="M41" s="198" t="s">
        <v>882</v>
      </c>
      <c r="N41" s="471">
        <v>6000000</v>
      </c>
      <c r="O41" s="198" t="s">
        <v>695</v>
      </c>
      <c r="Q41" s="198" t="s">
        <v>1045</v>
      </c>
    </row>
    <row r="42" spans="1:17" x14ac:dyDescent="0.2">
      <c r="A42" s="211" t="s">
        <v>1037</v>
      </c>
      <c r="B42" s="563">
        <f>20%*B40</f>
        <v>0.2</v>
      </c>
      <c r="C42" s="198" t="s">
        <v>884</v>
      </c>
      <c r="H42" s="489" t="s">
        <v>921</v>
      </c>
      <c r="I42" s="198" t="s">
        <v>922</v>
      </c>
      <c r="M42" s="198" t="s">
        <v>886</v>
      </c>
      <c r="N42" s="471">
        <v>50000</v>
      </c>
      <c r="O42" s="198" t="s">
        <v>878</v>
      </c>
      <c r="Q42" s="198" t="s">
        <v>1046</v>
      </c>
    </row>
    <row r="43" spans="1:17" x14ac:dyDescent="0.2">
      <c r="A43" s="211" t="s">
        <v>1036</v>
      </c>
      <c r="B43" s="462">
        <v>30</v>
      </c>
      <c r="C43" s="198" t="s">
        <v>914</v>
      </c>
      <c r="E43" s="274">
        <v>8000</v>
      </c>
      <c r="F43" s="198" t="s">
        <v>371</v>
      </c>
      <c r="G43" s="380" t="s">
        <v>836</v>
      </c>
      <c r="I43" s="198" t="s">
        <v>1027</v>
      </c>
      <c r="M43" s="198" t="s">
        <v>880</v>
      </c>
      <c r="N43" s="223">
        <f>N41/N42</f>
        <v>120</v>
      </c>
      <c r="O43" s="198" t="s">
        <v>885</v>
      </c>
      <c r="Q43" s="198" t="s">
        <v>1047</v>
      </c>
    </row>
    <row r="44" spans="1:17" x14ac:dyDescent="0.2">
      <c r="A44" s="198" t="s">
        <v>724</v>
      </c>
      <c r="B44" s="462">
        <v>0.5</v>
      </c>
      <c r="C44" s="198" t="s">
        <v>858</v>
      </c>
      <c r="E44" s="274">
        <v>160</v>
      </c>
      <c r="F44" s="198" t="s">
        <v>371</v>
      </c>
      <c r="G44" s="380" t="s">
        <v>836</v>
      </c>
      <c r="H44" s="222"/>
      <c r="I44" s="198" t="s">
        <v>923</v>
      </c>
      <c r="M44" s="198" t="s">
        <v>881</v>
      </c>
      <c r="N44" s="223">
        <v>120</v>
      </c>
      <c r="O44" s="198" t="s">
        <v>832</v>
      </c>
      <c r="Q44" s="198" t="s">
        <v>1048</v>
      </c>
    </row>
    <row r="45" spans="1:17" x14ac:dyDescent="0.2">
      <c r="A45" s="198" t="s">
        <v>1015</v>
      </c>
      <c r="B45" s="462"/>
      <c r="E45" s="274"/>
      <c r="G45" s="380" t="s">
        <v>836</v>
      </c>
      <c r="H45" s="222"/>
      <c r="I45" s="198" t="s">
        <v>1028</v>
      </c>
      <c r="M45" s="198" t="s">
        <v>692</v>
      </c>
      <c r="N45" s="472">
        <f>N43/N44</f>
        <v>1</v>
      </c>
      <c r="O45" s="198" t="s">
        <v>884</v>
      </c>
      <c r="Q45" s="198" t="s">
        <v>1049</v>
      </c>
    </row>
    <row r="46" spans="1:17" x14ac:dyDescent="0.2">
      <c r="A46" s="211" t="s">
        <v>709</v>
      </c>
      <c r="B46" s="462">
        <v>1</v>
      </c>
      <c r="C46" s="198" t="s">
        <v>1148</v>
      </c>
      <c r="E46" s="274">
        <v>20</v>
      </c>
      <c r="F46" s="198" t="s">
        <v>371</v>
      </c>
      <c r="H46" s="222"/>
      <c r="I46" s="198" t="s">
        <v>1029</v>
      </c>
    </row>
    <row r="47" spans="1:17" x14ac:dyDescent="0.2">
      <c r="A47" s="211" t="s">
        <v>710</v>
      </c>
      <c r="B47" s="462">
        <v>1</v>
      </c>
      <c r="C47" s="198" t="s">
        <v>1148</v>
      </c>
      <c r="E47" s="274">
        <v>20</v>
      </c>
      <c r="F47" s="198" t="s">
        <v>371</v>
      </c>
      <c r="H47" s="222"/>
      <c r="J47" s="561"/>
      <c r="M47" s="279" t="s">
        <v>1034</v>
      </c>
      <c r="Q47" s="198" t="s">
        <v>1050</v>
      </c>
    </row>
    <row r="48" spans="1:17" x14ac:dyDescent="0.2">
      <c r="A48" s="211" t="s">
        <v>711</v>
      </c>
      <c r="B48" s="462">
        <v>1</v>
      </c>
      <c r="C48" s="198" t="s">
        <v>1116</v>
      </c>
      <c r="E48" s="274">
        <v>5000</v>
      </c>
      <c r="F48" s="198" t="s">
        <v>1117</v>
      </c>
      <c r="G48" s="274">
        <f>E48/20</f>
        <v>250</v>
      </c>
      <c r="H48" s="198" t="s">
        <v>371</v>
      </c>
      <c r="I48" s="198" t="s">
        <v>1118</v>
      </c>
      <c r="M48" s="198" t="s">
        <v>891</v>
      </c>
      <c r="N48" s="223">
        <f>N43</f>
        <v>120</v>
      </c>
      <c r="O48" s="198" t="s">
        <v>885</v>
      </c>
      <c r="Q48" s="198" t="s">
        <v>1051</v>
      </c>
    </row>
    <row r="49" spans="1:17" x14ac:dyDescent="0.2">
      <c r="A49" s="211" t="s">
        <v>1016</v>
      </c>
      <c r="B49" s="375"/>
      <c r="H49" s="222"/>
      <c r="I49" s="654" t="s">
        <v>1152</v>
      </c>
      <c r="M49" s="297" t="s">
        <v>1030</v>
      </c>
      <c r="N49" s="562">
        <v>20</v>
      </c>
      <c r="O49" s="297" t="s">
        <v>1031</v>
      </c>
    </row>
    <row r="50" spans="1:17" ht="11.25" customHeight="1" x14ac:dyDescent="0.2">
      <c r="A50" s="211" t="s">
        <v>713</v>
      </c>
      <c r="B50" s="375"/>
      <c r="E50" s="274">
        <v>1200000</v>
      </c>
      <c r="F50" s="198" t="s">
        <v>695</v>
      </c>
      <c r="H50" s="222"/>
      <c r="N50" s="223">
        <f>N48*N49%</f>
        <v>24</v>
      </c>
      <c r="O50" s="198" t="s">
        <v>885</v>
      </c>
      <c r="Q50" s="198" t="s">
        <v>1115</v>
      </c>
    </row>
    <row r="51" spans="1:17" ht="11.25" customHeight="1" x14ac:dyDescent="0.2">
      <c r="A51" s="211" t="s">
        <v>714</v>
      </c>
      <c r="B51" s="375"/>
      <c r="E51" s="405">
        <v>400000</v>
      </c>
      <c r="F51" s="198" t="s">
        <v>695</v>
      </c>
      <c r="H51" s="222"/>
      <c r="M51" s="198" t="s">
        <v>1032</v>
      </c>
      <c r="N51" s="471">
        <v>30</v>
      </c>
      <c r="O51" s="198" t="s">
        <v>1033</v>
      </c>
    </row>
    <row r="52" spans="1:17" ht="11.25" customHeight="1" x14ac:dyDescent="0.2">
      <c r="A52" s="211" t="s">
        <v>715</v>
      </c>
      <c r="B52" s="375"/>
      <c r="E52" s="405">
        <v>3000000</v>
      </c>
      <c r="F52" s="198" t="s">
        <v>695</v>
      </c>
      <c r="H52" s="222"/>
      <c r="M52" s="198" t="s">
        <v>692</v>
      </c>
      <c r="N52" s="471">
        <v>30</v>
      </c>
      <c r="O52" s="198" t="s">
        <v>904</v>
      </c>
      <c r="Q52" s="198" t="s">
        <v>1052</v>
      </c>
    </row>
    <row r="53" spans="1:17" x14ac:dyDescent="0.2">
      <c r="A53" s="211" t="s">
        <v>716</v>
      </c>
      <c r="B53" s="375"/>
      <c r="E53" s="405">
        <v>1300000</v>
      </c>
      <c r="F53" s="198" t="s">
        <v>695</v>
      </c>
      <c r="M53" s="198" t="s">
        <v>892</v>
      </c>
      <c r="N53" s="223">
        <f>N51*N50</f>
        <v>720</v>
      </c>
      <c r="O53" s="198" t="s">
        <v>712</v>
      </c>
    </row>
    <row r="54" spans="1:17" ht="11.25" customHeight="1" x14ac:dyDescent="0.2">
      <c r="A54" s="211" t="s">
        <v>717</v>
      </c>
      <c r="B54" s="375"/>
      <c r="E54" s="405">
        <v>4100000</v>
      </c>
      <c r="F54" s="198" t="s">
        <v>695</v>
      </c>
      <c r="M54" s="198" t="s">
        <v>893</v>
      </c>
      <c r="N54" s="471">
        <v>8000</v>
      </c>
      <c r="O54" s="198" t="s">
        <v>371</v>
      </c>
      <c r="Q54" s="198" t="s">
        <v>1120</v>
      </c>
    </row>
    <row r="55" spans="1:17" x14ac:dyDescent="0.2">
      <c r="A55" s="198" t="s">
        <v>866</v>
      </c>
      <c r="B55" s="198"/>
      <c r="M55" s="198" t="s">
        <v>882</v>
      </c>
      <c r="N55" s="223">
        <f>N53*N54</f>
        <v>5760000</v>
      </c>
      <c r="O55" s="198" t="s">
        <v>695</v>
      </c>
    </row>
    <row r="56" spans="1:17" ht="11.25" customHeight="1" x14ac:dyDescent="0.2">
      <c r="A56" s="198" t="s">
        <v>908</v>
      </c>
      <c r="B56" s="198"/>
      <c r="E56" s="274">
        <v>1445</v>
      </c>
      <c r="F56" s="198" t="s">
        <v>702</v>
      </c>
      <c r="G56" s="380" t="s">
        <v>836</v>
      </c>
      <c r="Q56" s="198" t="s">
        <v>1053</v>
      </c>
    </row>
    <row r="57" spans="1:17" x14ac:dyDescent="0.2">
      <c r="A57" s="198"/>
      <c r="B57" s="264" t="s">
        <v>750</v>
      </c>
      <c r="C57" s="264"/>
      <c r="E57" s="198" t="s">
        <v>751</v>
      </c>
    </row>
    <row r="58" spans="1:17" x14ac:dyDescent="0.2">
      <c r="A58" s="198" t="s">
        <v>747</v>
      </c>
      <c r="B58" s="393">
        <v>15</v>
      </c>
      <c r="C58" s="198" t="s">
        <v>743</v>
      </c>
      <c r="E58" s="393">
        <v>24</v>
      </c>
      <c r="F58" s="198" t="s">
        <v>743</v>
      </c>
    </row>
    <row r="59" spans="1:17" x14ac:dyDescent="0.2">
      <c r="A59" s="198" t="s">
        <v>748</v>
      </c>
      <c r="B59" s="393">
        <v>380</v>
      </c>
      <c r="C59" s="198" t="s">
        <v>744</v>
      </c>
      <c r="E59" s="393">
        <v>380</v>
      </c>
      <c r="F59" s="198" t="s">
        <v>744</v>
      </c>
    </row>
    <row r="60" spans="1:17" x14ac:dyDescent="0.2">
      <c r="A60" s="198" t="s">
        <v>749</v>
      </c>
      <c r="B60" s="393">
        <v>50</v>
      </c>
      <c r="C60" s="198" t="s">
        <v>745</v>
      </c>
      <c r="E60" s="393">
        <v>60</v>
      </c>
      <c r="F60" s="198" t="s">
        <v>745</v>
      </c>
    </row>
    <row r="61" spans="1:17" x14ac:dyDescent="0.2">
      <c r="A61" s="198" t="s">
        <v>872</v>
      </c>
      <c r="B61" s="457">
        <v>2</v>
      </c>
      <c r="C61" s="198" t="s">
        <v>701</v>
      </c>
      <c r="E61" s="393">
        <v>1</v>
      </c>
      <c r="F61" s="198" t="s">
        <v>701</v>
      </c>
      <c r="H61" s="222"/>
    </row>
    <row r="62" spans="1:17" x14ac:dyDescent="0.2">
      <c r="A62" s="198" t="s">
        <v>867</v>
      </c>
      <c r="B62" s="198"/>
      <c r="E62" s="405">
        <v>80000000</v>
      </c>
      <c r="F62" s="198" t="s">
        <v>614</v>
      </c>
      <c r="G62" s="380" t="s">
        <v>836</v>
      </c>
      <c r="H62" s="222"/>
    </row>
    <row r="63" spans="1:17" ht="11.25" customHeight="1" x14ac:dyDescent="0.2">
      <c r="A63" s="211" t="s">
        <v>868</v>
      </c>
      <c r="B63" s="462">
        <v>37</v>
      </c>
      <c r="C63" s="198" t="s">
        <v>944</v>
      </c>
      <c r="E63" s="405">
        <v>13000</v>
      </c>
      <c r="F63" s="198" t="s">
        <v>718</v>
      </c>
      <c r="G63" s="380" t="s">
        <v>837</v>
      </c>
      <c r="H63" s="222"/>
      <c r="Q63" s="198" t="s">
        <v>1054</v>
      </c>
    </row>
    <row r="64" spans="1:17" ht="11.25" customHeight="1" x14ac:dyDescent="0.2">
      <c r="A64" s="211" t="s">
        <v>869</v>
      </c>
      <c r="B64" s="462"/>
      <c r="E64" s="405">
        <v>400000</v>
      </c>
      <c r="F64" s="198" t="s">
        <v>695</v>
      </c>
      <c r="G64" s="380" t="s">
        <v>837</v>
      </c>
      <c r="H64" s="224"/>
      <c r="Q64" s="198" t="s">
        <v>1055</v>
      </c>
    </row>
    <row r="65" spans="1:17" x14ac:dyDescent="0.2">
      <c r="A65" s="211" t="s">
        <v>902</v>
      </c>
      <c r="B65" s="375">
        <f>(B9/20000+1)</f>
        <v>7.5</v>
      </c>
      <c r="C65" s="198" t="s">
        <v>719</v>
      </c>
      <c r="E65" s="405">
        <v>235000</v>
      </c>
      <c r="F65" s="198" t="s">
        <v>721</v>
      </c>
      <c r="G65" s="380" t="s">
        <v>837</v>
      </c>
      <c r="H65" s="198">
        <f>E65/20000</f>
        <v>11.75</v>
      </c>
      <c r="I65" s="198" t="s">
        <v>371</v>
      </c>
      <c r="Q65" s="198" t="s">
        <v>1056</v>
      </c>
    </row>
    <row r="66" spans="1:17" x14ac:dyDescent="0.2">
      <c r="A66" s="211" t="s">
        <v>871</v>
      </c>
      <c r="B66" s="462">
        <v>1</v>
      </c>
      <c r="C66" s="198" t="s">
        <v>720</v>
      </c>
      <c r="E66" s="405">
        <v>500000</v>
      </c>
      <c r="F66" s="198" t="s">
        <v>722</v>
      </c>
      <c r="G66" s="380" t="s">
        <v>837</v>
      </c>
    </row>
    <row r="67" spans="1:17" x14ac:dyDescent="0.2">
      <c r="A67" s="211" t="s">
        <v>898</v>
      </c>
      <c r="B67" s="462">
        <v>1</v>
      </c>
      <c r="C67" s="198" t="s">
        <v>899</v>
      </c>
      <c r="E67" s="405">
        <v>10000000</v>
      </c>
      <c r="F67" s="198" t="s">
        <v>722</v>
      </c>
      <c r="G67" s="380" t="s">
        <v>837</v>
      </c>
      <c r="Q67" s="198" t="s">
        <v>1057</v>
      </c>
    </row>
    <row r="69" spans="1:17" x14ac:dyDescent="0.2">
      <c r="Q69" s="198" t="s">
        <v>1058</v>
      </c>
    </row>
    <row r="70" spans="1:17" x14ac:dyDescent="0.2">
      <c r="A70" s="218" t="s">
        <v>633</v>
      </c>
    </row>
    <row r="71" spans="1:17" x14ac:dyDescent="0.2">
      <c r="A71" s="211" t="s">
        <v>634</v>
      </c>
      <c r="B71" s="399">
        <v>90</v>
      </c>
      <c r="C71" s="198" t="s">
        <v>983</v>
      </c>
    </row>
    <row r="72" spans="1:17" x14ac:dyDescent="0.2">
      <c r="A72" s="211" t="s">
        <v>635</v>
      </c>
      <c r="B72" s="220">
        <f>100-B71</f>
        <v>10</v>
      </c>
      <c r="C72" s="198" t="s">
        <v>983</v>
      </c>
    </row>
  </sheetData>
  <phoneticPr fontId="3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G76"/>
  <sheetViews>
    <sheetView showGridLines="0" zoomScaleNormal="100" workbookViewId="0">
      <pane xSplit="3" ySplit="8" topLeftCell="D27" activePane="bottomRight" state="frozen"/>
      <selection pane="topRight" activeCell="D1" sqref="D1"/>
      <selection pane="bottomLeft" activeCell="A9" sqref="A9"/>
      <selection pane="bottomRight" activeCell="Q7" sqref="Q7"/>
    </sheetView>
  </sheetViews>
  <sheetFormatPr defaultColWidth="9" defaultRowHeight="10.5" customHeight="1" x14ac:dyDescent="0.25"/>
  <cols>
    <col min="1" max="1" width="3.75" style="214" customWidth="1"/>
    <col min="2" max="2" width="3.5" style="245" customWidth="1"/>
    <col min="3" max="3" width="2.625" style="245" customWidth="1"/>
    <col min="4" max="4" width="10.875" style="180" bestFit="1" customWidth="1"/>
    <col min="5" max="5" width="11.75" style="180" customWidth="1"/>
    <col min="6" max="6" width="11" style="180" bestFit="1" customWidth="1"/>
    <col min="7" max="7" width="9.75" style="180" customWidth="1"/>
    <col min="8" max="8" width="10.125" style="180" customWidth="1"/>
    <col min="9" max="9" width="10.25" style="180" customWidth="1"/>
    <col min="10" max="10" width="1.625" style="180" customWidth="1"/>
    <col min="11" max="11" width="6.875" style="180" customWidth="1"/>
    <col min="12" max="12" width="9.75" style="180" customWidth="1"/>
    <col min="13" max="13" width="11.125" style="180" customWidth="1"/>
    <col min="14" max="14" width="1.625" style="180" customWidth="1"/>
    <col min="15" max="15" width="6.875" style="180" customWidth="1"/>
    <col min="16" max="16" width="9.5" style="180" customWidth="1"/>
    <col min="17" max="17" width="8.75" style="180" customWidth="1"/>
    <col min="18" max="18" width="1.625" style="180" customWidth="1"/>
    <col min="19" max="19" width="10" style="180" customWidth="1"/>
    <col min="20" max="20" width="9.5" style="180" customWidth="1"/>
    <col min="21" max="21" width="1.625" style="180" customWidth="1"/>
    <col min="22" max="22" width="10.625" style="180" customWidth="1"/>
    <col min="23" max="23" width="8.75" style="180" customWidth="1"/>
    <col min="24" max="24" width="7.625" style="180" customWidth="1"/>
    <col min="25" max="25" width="12.625" style="180" customWidth="1"/>
    <col min="26" max="26" width="9" style="180"/>
    <col min="27" max="27" width="29.125" style="180" customWidth="1"/>
    <col min="28" max="28" width="4.875" style="180" customWidth="1"/>
    <col min="29" max="29" width="11.875" style="180" customWidth="1"/>
    <col min="30" max="30" width="9" style="180"/>
    <col min="31" max="31" width="10.25" style="180" bestFit="1" customWidth="1"/>
    <col min="32" max="16384" width="9" style="180"/>
  </cols>
  <sheetData>
    <row r="1" spans="1:33" ht="11.25" x14ac:dyDescent="0.25">
      <c r="A1" s="168" t="str">
        <f>Assumption!A1</f>
        <v>Bisnis Penyewaan INTEGRATED COLD STORAGE - Revitalitation</v>
      </c>
      <c r="B1" s="229"/>
      <c r="C1" s="229"/>
      <c r="D1" s="230"/>
      <c r="O1" s="256"/>
      <c r="P1" s="256"/>
      <c r="Q1" s="256"/>
      <c r="R1" s="256"/>
    </row>
    <row r="2" spans="1:33" ht="11.25" x14ac:dyDescent="0.25">
      <c r="A2" s="168" t="str">
        <f>Assumption!A2</f>
        <v>Financial Pre-Feasibility Study</v>
      </c>
      <c r="B2" s="229"/>
      <c r="C2" s="229"/>
      <c r="D2" s="230"/>
      <c r="E2" s="230"/>
      <c r="F2" s="230"/>
      <c r="G2" s="230"/>
      <c r="H2" s="230"/>
      <c r="I2" s="230"/>
      <c r="J2" s="230"/>
      <c r="K2" s="230"/>
      <c r="L2" s="230"/>
      <c r="M2" s="230"/>
    </row>
    <row r="3" spans="1:33" ht="11.25" x14ac:dyDescent="0.25">
      <c r="A3" s="231" t="s">
        <v>653</v>
      </c>
      <c r="B3" s="229"/>
      <c r="C3" s="229"/>
      <c r="D3" s="230"/>
      <c r="O3" s="362"/>
      <c r="P3" s="362"/>
    </row>
    <row r="4" spans="1:33" ht="10.5" customHeight="1" x14ac:dyDescent="0.2">
      <c r="A4" s="232"/>
      <c r="B4" s="229"/>
      <c r="C4" s="229"/>
      <c r="D4" s="233"/>
      <c r="E4" s="233"/>
      <c r="F4" s="233"/>
      <c r="G4" s="230"/>
      <c r="H4" s="230"/>
      <c r="I4" s="230"/>
      <c r="J4" s="230"/>
      <c r="K4" s="230"/>
      <c r="L4" s="230"/>
      <c r="M4" s="230"/>
      <c r="V4" s="444" t="s">
        <v>66</v>
      </c>
      <c r="W4" s="445" t="s">
        <v>817</v>
      </c>
    </row>
    <row r="5" spans="1:33" ht="10.5" customHeight="1" x14ac:dyDescent="0.25">
      <c r="A5" s="232" t="s">
        <v>610</v>
      </c>
      <c r="B5" s="229"/>
      <c r="C5" s="229"/>
      <c r="D5" s="230"/>
      <c r="E5" s="230"/>
      <c r="F5" s="230"/>
      <c r="G5" s="230"/>
      <c r="H5" s="230"/>
      <c r="I5" s="449" t="s">
        <v>659</v>
      </c>
      <c r="J5" s="230"/>
      <c r="L5" s="449" t="s">
        <v>658</v>
      </c>
      <c r="M5" s="230"/>
      <c r="V5" s="445"/>
      <c r="W5" s="445" t="s">
        <v>818</v>
      </c>
    </row>
    <row r="6" spans="1:33" ht="38.1" customHeight="1" x14ac:dyDescent="0.25">
      <c r="A6" s="695" t="s">
        <v>816</v>
      </c>
      <c r="B6" s="695"/>
      <c r="C6" s="229"/>
      <c r="D6" s="698" t="s">
        <v>588</v>
      </c>
      <c r="E6" s="698" t="s">
        <v>591</v>
      </c>
      <c r="F6" s="698" t="s">
        <v>592</v>
      </c>
      <c r="G6" s="698" t="s">
        <v>81</v>
      </c>
      <c r="H6" s="698" t="s">
        <v>170</v>
      </c>
      <c r="I6" s="698" t="s">
        <v>82</v>
      </c>
      <c r="J6" s="229"/>
      <c r="K6" s="447" t="s">
        <v>670</v>
      </c>
      <c r="L6" s="235">
        <f>Assumption!B28/100</f>
        <v>0.12</v>
      </c>
      <c r="M6" s="235"/>
      <c r="N6" s="229"/>
      <c r="O6" s="696" t="s">
        <v>80</v>
      </c>
      <c r="P6" s="696"/>
      <c r="Q6" s="446">
        <f>IRR(I9:I39)</f>
        <v>1.0112683719420037</v>
      </c>
      <c r="S6" s="695" t="s">
        <v>526</v>
      </c>
      <c r="T6" s="695"/>
      <c r="U6" s="365"/>
      <c r="V6" s="695" t="s">
        <v>660</v>
      </c>
      <c r="W6" s="695"/>
      <c r="X6" s="695"/>
      <c r="Y6" s="695"/>
    </row>
    <row r="7" spans="1:33" ht="49.5" customHeight="1" x14ac:dyDescent="0.2">
      <c r="A7" s="695"/>
      <c r="B7" s="695"/>
      <c r="C7" s="229"/>
      <c r="D7" s="698"/>
      <c r="E7" s="698"/>
      <c r="F7" s="698"/>
      <c r="G7" s="698"/>
      <c r="H7" s="698"/>
      <c r="I7" s="698"/>
      <c r="J7" s="229"/>
      <c r="K7" s="234" t="s">
        <v>55</v>
      </c>
      <c r="L7" s="234" t="s">
        <v>83</v>
      </c>
      <c r="M7" s="234" t="s">
        <v>84</v>
      </c>
      <c r="N7" s="229"/>
      <c r="O7" s="234" t="s">
        <v>55</v>
      </c>
      <c r="P7" s="234" t="s">
        <v>83</v>
      </c>
      <c r="Q7" s="234" t="s">
        <v>84</v>
      </c>
      <c r="S7" s="234" t="s">
        <v>81</v>
      </c>
      <c r="T7" s="234" t="s">
        <v>265</v>
      </c>
      <c r="U7" s="366"/>
      <c r="V7" s="234" t="s">
        <v>55</v>
      </c>
      <c r="W7" s="234" t="s">
        <v>661</v>
      </c>
      <c r="X7" s="234" t="s">
        <v>662</v>
      </c>
      <c r="Y7" s="234" t="s">
        <v>663</v>
      </c>
    </row>
    <row r="8" spans="1:33" ht="12.75" customHeight="1" x14ac:dyDescent="0.25">
      <c r="A8" s="695"/>
      <c r="B8" s="695"/>
      <c r="C8" s="229"/>
      <c r="D8" s="237" t="s">
        <v>589</v>
      </c>
      <c r="E8" s="237" t="s">
        <v>56</v>
      </c>
      <c r="F8" s="237" t="s">
        <v>590</v>
      </c>
      <c r="G8" s="237" t="s">
        <v>636</v>
      </c>
      <c r="H8" s="237" t="s">
        <v>85</v>
      </c>
      <c r="I8" s="237" t="s">
        <v>593</v>
      </c>
      <c r="J8" s="238"/>
      <c r="K8" s="237" t="s">
        <v>57</v>
      </c>
      <c r="L8" s="237" t="s">
        <v>594</v>
      </c>
      <c r="M8" s="237" t="s">
        <v>177</v>
      </c>
      <c r="N8" s="238"/>
      <c r="O8" s="237" t="s">
        <v>57</v>
      </c>
      <c r="P8" s="237" t="s">
        <v>595</v>
      </c>
      <c r="Q8" s="237" t="s">
        <v>596</v>
      </c>
      <c r="S8" s="184"/>
      <c r="T8" s="184"/>
      <c r="U8" s="230"/>
      <c r="V8" s="237" t="s">
        <v>57</v>
      </c>
      <c r="W8" s="237" t="s">
        <v>671</v>
      </c>
      <c r="X8" s="184" t="s">
        <v>664</v>
      </c>
      <c r="Y8" s="184" t="s">
        <v>672</v>
      </c>
    </row>
    <row r="9" spans="1:33" ht="10.5" customHeight="1" x14ac:dyDescent="0.2">
      <c r="A9" s="536" t="s">
        <v>976</v>
      </c>
      <c r="B9" s="537">
        <v>0</v>
      </c>
      <c r="C9" s="369"/>
      <c r="D9" s="233"/>
      <c r="E9" s="233"/>
      <c r="F9" s="233"/>
      <c r="G9" s="233"/>
      <c r="H9" s="233">
        <f>-1*CapitalInvestment!H11</f>
        <v>-950000000</v>
      </c>
      <c r="I9" s="233">
        <f t="shared" ref="I9:I39" si="0">G9+H9</f>
        <v>-950000000</v>
      </c>
      <c r="J9" s="369"/>
      <c r="K9" s="240">
        <f>1/(1+$L$6)^B9</f>
        <v>1</v>
      </c>
      <c r="L9" s="233">
        <f>K9*I9</f>
        <v>-950000000</v>
      </c>
      <c r="M9" s="233">
        <f>L9</f>
        <v>-950000000</v>
      </c>
      <c r="N9" s="369"/>
      <c r="O9" s="240">
        <f>1/(1+$Q$6)^B9</f>
        <v>1</v>
      </c>
      <c r="P9" s="233">
        <f>I9*O9</f>
        <v>-950000000</v>
      </c>
      <c r="Q9" s="233">
        <f>P9</f>
        <v>-950000000</v>
      </c>
      <c r="T9" s="364">
        <f>-1*H9</f>
        <v>950000000</v>
      </c>
      <c r="U9" s="364"/>
      <c r="V9" s="439">
        <f>K9</f>
        <v>1</v>
      </c>
      <c r="W9" s="364">
        <f>V9*H9</f>
        <v>-950000000</v>
      </c>
    </row>
    <row r="10" spans="1:33" ht="10.5" customHeight="1" x14ac:dyDescent="0.2">
      <c r="A10" s="697" t="s">
        <v>597</v>
      </c>
      <c r="B10" s="239">
        <v>1</v>
      </c>
      <c r="C10" s="369"/>
      <c r="D10" s="256">
        <f>IncomeStatement!C29</f>
        <v>704502395.13599968</v>
      </c>
      <c r="E10" s="362">
        <f>-1*IncomeStatement!C32</f>
        <v>-77495263.464959964</v>
      </c>
      <c r="F10" s="255">
        <f>IncomeStatement!C19</f>
        <v>60000000</v>
      </c>
      <c r="G10" s="233">
        <f>D10+E10+F10</f>
        <v>687007131.6710397</v>
      </c>
      <c r="H10" s="233"/>
      <c r="I10" s="233">
        <f>G10+H10</f>
        <v>687007131.6710397</v>
      </c>
      <c r="J10" s="369"/>
      <c r="K10" s="240">
        <f t="shared" ref="K10:K38" si="1">1/(1+$L$6)^B10</f>
        <v>0.89285714285714279</v>
      </c>
      <c r="L10" s="233">
        <f>K10*I10</f>
        <v>613399224.70628536</v>
      </c>
      <c r="M10" s="233">
        <f>L10+M9</f>
        <v>-336600775.29371464</v>
      </c>
      <c r="N10" s="369"/>
      <c r="O10" s="240">
        <f t="shared" ref="O10:O39" si="2">1/(1+$Q$6)^B10</f>
        <v>0.49719869011535162</v>
      </c>
      <c r="P10" s="233">
        <f>I10*O10</f>
        <v>341579045.96674585</v>
      </c>
      <c r="Q10" s="233">
        <f>P10+Q9</f>
        <v>-608420954.03325415</v>
      </c>
      <c r="S10" s="191">
        <f t="shared" ref="S10:S39" si="3">G10*K10</f>
        <v>613399224.70628536</v>
      </c>
      <c r="T10" s="191">
        <v>0</v>
      </c>
      <c r="U10" s="191"/>
      <c r="V10" s="191"/>
      <c r="W10" s="191"/>
      <c r="X10" s="368">
        <f>(1+$L$6)^($B$39-B10)</f>
        <v>26.749930465099226</v>
      </c>
      <c r="Y10" s="448">
        <f>X10*G10</f>
        <v>18377393001.227581</v>
      </c>
    </row>
    <row r="11" spans="1:33" ht="10.5" customHeight="1" x14ac:dyDescent="0.2">
      <c r="A11" s="697"/>
      <c r="B11" s="239">
        <f>B10+1</f>
        <v>2</v>
      </c>
      <c r="C11" s="239"/>
      <c r="D11" s="256">
        <f>IncomeStatement!D29</f>
        <v>1039950683.0387201</v>
      </c>
      <c r="E11" s="362">
        <f>-1*IncomeStatement!D32</f>
        <v>-114394575.13425921</v>
      </c>
      <c r="F11" s="255">
        <f>IncomeStatement!D19</f>
        <v>60000000</v>
      </c>
      <c r="G11" s="233">
        <f t="shared" ref="G11:G39" si="4">D11+E11+F11</f>
        <v>985556107.90446091</v>
      </c>
      <c r="H11" s="233"/>
      <c r="I11" s="233">
        <f t="shared" si="0"/>
        <v>985556107.90446091</v>
      </c>
      <c r="J11" s="229"/>
      <c r="K11" s="240">
        <f t="shared" si="1"/>
        <v>0.79719387755102034</v>
      </c>
      <c r="L11" s="233">
        <f t="shared" ref="L11:L18" si="5">K11*I11</f>
        <v>785679295.20444894</v>
      </c>
      <c r="M11" s="233">
        <f>L11+M10</f>
        <v>449078519.9107343</v>
      </c>
      <c r="N11" s="241"/>
      <c r="O11" s="240">
        <f t="shared" si="2"/>
        <v>0.24720653745242144</v>
      </c>
      <c r="P11" s="233">
        <f t="shared" ref="P11:P39" si="6">I11*O11</f>
        <v>243635912.90014681</v>
      </c>
      <c r="Q11" s="233">
        <f>P11+Q10</f>
        <v>-364785041.1331073</v>
      </c>
      <c r="R11" s="242"/>
      <c r="S11" s="191">
        <f t="shared" si="3"/>
        <v>785679295.20444894</v>
      </c>
      <c r="T11" s="191">
        <f t="shared" ref="T11:T39" si="7">-1*H11*K11</f>
        <v>0</v>
      </c>
      <c r="U11" s="191"/>
      <c r="V11" s="191"/>
      <c r="W11" s="191"/>
      <c r="X11" s="368">
        <f>(1+$L$6)^($B$39-B11)</f>
        <v>23.883866486695734</v>
      </c>
      <c r="Y11" s="245">
        <f t="shared" ref="Y11:Y38" si="8">X11*G11</f>
        <v>23538890496.337639</v>
      </c>
    </row>
    <row r="12" spans="1:33" ht="10.5" customHeight="1" x14ac:dyDescent="0.2">
      <c r="A12" s="697"/>
      <c r="B12" s="239">
        <f t="shared" ref="B12:B39" si="9">B11+1</f>
        <v>3</v>
      </c>
      <c r="C12" s="239"/>
      <c r="D12" s="256">
        <f>IncomeStatement!E29</f>
        <v>1413498665.6690941</v>
      </c>
      <c r="E12" s="362">
        <f>-1*IncomeStatement!E32</f>
        <v>-310969706.44720072</v>
      </c>
      <c r="F12" s="255">
        <f>IncomeStatement!E19</f>
        <v>60000000</v>
      </c>
      <c r="G12" s="233">
        <f t="shared" si="4"/>
        <v>1162528959.2218933</v>
      </c>
      <c r="H12" s="233"/>
      <c r="I12" s="233">
        <f>G12+H12</f>
        <v>1162528959.2218933</v>
      </c>
      <c r="J12" s="229"/>
      <c r="K12" s="240">
        <f t="shared" si="1"/>
        <v>0.71178024781341087</v>
      </c>
      <c r="L12" s="233">
        <f t="shared" si="5"/>
        <v>827465150.68522584</v>
      </c>
      <c r="M12" s="233">
        <f t="shared" ref="M12:M18" si="10">L12+M11</f>
        <v>1276543670.5959601</v>
      </c>
      <c r="N12" s="241"/>
      <c r="O12" s="240">
        <f t="shared" si="2"/>
        <v>0.12291076660929554</v>
      </c>
      <c r="P12" s="233">
        <f t="shared" si="6"/>
        <v>142887325.58346936</v>
      </c>
      <c r="Q12" s="233">
        <f t="shared" ref="Q12:Q39" si="11">P12+Q11</f>
        <v>-221897715.54963794</v>
      </c>
      <c r="R12" s="242"/>
      <c r="S12" s="191">
        <f>G12*K12</f>
        <v>827465150.68522584</v>
      </c>
      <c r="T12" s="191">
        <f t="shared" si="7"/>
        <v>0</v>
      </c>
      <c r="U12" s="191"/>
      <c r="V12" s="191"/>
      <c r="W12" s="191"/>
      <c r="X12" s="368">
        <f>(1+$L$6)^($B$39-B12)</f>
        <v>21.324880791692621</v>
      </c>
      <c r="Y12" s="245">
        <f t="shared" si="8"/>
        <v>24790791472.297367</v>
      </c>
    </row>
    <row r="13" spans="1:33" ht="10.5" customHeight="1" x14ac:dyDescent="0.2">
      <c r="A13" s="697"/>
      <c r="B13" s="239">
        <f t="shared" si="9"/>
        <v>4</v>
      </c>
      <c r="C13" s="239"/>
      <c r="D13" s="256">
        <f>IncomeStatement!F29</f>
        <v>1829001579.3543408</v>
      </c>
      <c r="E13" s="362">
        <f>-1*IncomeStatement!F32</f>
        <v>-402380347.457955</v>
      </c>
      <c r="F13" s="255">
        <f>IncomeStatement!F19</f>
        <v>60000000</v>
      </c>
      <c r="G13" s="233">
        <f t="shared" si="4"/>
        <v>1486621231.8963857</v>
      </c>
      <c r="H13" s="233"/>
      <c r="I13" s="233">
        <f t="shared" si="0"/>
        <v>1486621231.8963857</v>
      </c>
      <c r="J13" s="241"/>
      <c r="K13" s="240">
        <f t="shared" si="1"/>
        <v>0.63551807840483121</v>
      </c>
      <c r="L13" s="233">
        <f t="shared" si="5"/>
        <v>944774668.61061394</v>
      </c>
      <c r="M13" s="233">
        <f t="shared" si="10"/>
        <v>2221318339.206574</v>
      </c>
      <c r="N13" s="241"/>
      <c r="O13" s="240">
        <f t="shared" si="2"/>
        <v>6.1111072159215435E-2</v>
      </c>
      <c r="P13" s="233">
        <f t="shared" si="6"/>
        <v>90849017.375841767</v>
      </c>
      <c r="Q13" s="233">
        <f t="shared" si="11"/>
        <v>-131048698.17379618</v>
      </c>
      <c r="R13" s="242"/>
      <c r="S13" s="191">
        <f t="shared" si="3"/>
        <v>944774668.61061394</v>
      </c>
      <c r="T13" s="191">
        <f t="shared" si="7"/>
        <v>0</v>
      </c>
      <c r="U13" s="191"/>
      <c r="V13" s="191"/>
      <c r="W13" s="191"/>
      <c r="X13" s="368">
        <f>(1+$L$6)^($B$39-B13)</f>
        <v>19.040072135439836</v>
      </c>
      <c r="Y13" s="245">
        <f t="shared" si="8"/>
        <v>28305375493.383614</v>
      </c>
    </row>
    <row r="14" spans="1:33" ht="10.5" customHeight="1" x14ac:dyDescent="0.2">
      <c r="A14" s="697"/>
      <c r="B14" s="239">
        <f t="shared" si="9"/>
        <v>5</v>
      </c>
      <c r="C14" s="239"/>
      <c r="D14" s="256">
        <f>IncomeStatement!G29</f>
        <v>2290696573.2575355</v>
      </c>
      <c r="E14" s="362">
        <f>-1*IncomeStatement!G32</f>
        <v>-503953246.11665779</v>
      </c>
      <c r="F14" s="255">
        <f>IncomeStatement!G19</f>
        <v>60000000</v>
      </c>
      <c r="G14" s="233">
        <f t="shared" si="4"/>
        <v>1846743327.1408777</v>
      </c>
      <c r="H14" s="233"/>
      <c r="I14" s="233">
        <f t="shared" si="0"/>
        <v>1846743327.1408777</v>
      </c>
      <c r="J14" s="241"/>
      <c r="K14" s="240">
        <f t="shared" si="1"/>
        <v>0.56742685571859919</v>
      </c>
      <c r="L14" s="233">
        <f t="shared" si="5"/>
        <v>1047891759.4388527</v>
      </c>
      <c r="M14" s="233">
        <f t="shared" si="10"/>
        <v>3269210098.6454268</v>
      </c>
      <c r="N14" s="241"/>
      <c r="O14" s="240">
        <f t="shared" si="2"/>
        <v>3.0384345029106648E-2</v>
      </c>
      <c r="P14" s="233">
        <f t="shared" si="6"/>
        <v>56112086.432048798</v>
      </c>
      <c r="Q14" s="233">
        <f t="shared" si="11"/>
        <v>-74936611.741747379</v>
      </c>
      <c r="R14" s="242"/>
      <c r="S14" s="191">
        <f t="shared" si="3"/>
        <v>1047891759.4388527</v>
      </c>
      <c r="T14" s="191">
        <f t="shared" si="7"/>
        <v>0</v>
      </c>
      <c r="U14" s="191"/>
      <c r="V14" s="191"/>
      <c r="W14" s="191"/>
      <c r="X14" s="368">
        <f t="shared" ref="X14:X18" si="12">(1+$L$6)^($B$39-B14)</f>
        <v>17.000064406642711</v>
      </c>
      <c r="Y14" s="245">
        <f t="shared" si="8"/>
        <v>31394755503.932571</v>
      </c>
      <c r="AG14" s="242"/>
    </row>
    <row r="15" spans="1:33" ht="10.5" customHeight="1" x14ac:dyDescent="0.2">
      <c r="A15" s="697"/>
      <c r="B15" s="239">
        <f t="shared" si="9"/>
        <v>6</v>
      </c>
      <c r="C15" s="239"/>
      <c r="D15" s="256">
        <f>IncomeStatement!H29</f>
        <v>2803240383.4254231</v>
      </c>
      <c r="E15" s="362">
        <f>-1*IncomeStatement!H32</f>
        <v>-616712884.35359311</v>
      </c>
      <c r="F15" s="255">
        <f>IncomeStatement!H19</f>
        <v>60000000</v>
      </c>
      <c r="G15" s="233">
        <f t="shared" si="4"/>
        <v>2246527499.0718298</v>
      </c>
      <c r="H15" s="233"/>
      <c r="I15" s="233">
        <f t="shared" si="0"/>
        <v>2246527499.0718298</v>
      </c>
      <c r="J15" s="241"/>
      <c r="K15" s="240">
        <f t="shared" si="1"/>
        <v>0.50663112117732068</v>
      </c>
      <c r="L15" s="233">
        <f t="shared" si="5"/>
        <v>1138160745.6104434</v>
      </c>
      <c r="M15" s="233">
        <f t="shared" si="10"/>
        <v>4407370844.2558699</v>
      </c>
      <c r="N15" s="241"/>
      <c r="O15" s="240">
        <f t="shared" si="2"/>
        <v>1.5107056548484717E-2</v>
      </c>
      <c r="P15" s="233">
        <f t="shared" si="6"/>
        <v>33938417.966204077</v>
      </c>
      <c r="Q15" s="233">
        <f t="shared" si="11"/>
        <v>-40998193.775543302</v>
      </c>
      <c r="R15" s="242"/>
      <c r="S15" s="191">
        <f t="shared" si="3"/>
        <v>1138160745.6104434</v>
      </c>
      <c r="T15" s="191">
        <f t="shared" si="7"/>
        <v>0</v>
      </c>
      <c r="U15" s="191"/>
      <c r="V15" s="191"/>
      <c r="W15" s="191"/>
      <c r="X15" s="368">
        <f t="shared" si="12"/>
        <v>15.178628934502418</v>
      </c>
      <c r="Y15" s="245">
        <f t="shared" si="8"/>
        <v>34099207299.567032</v>
      </c>
    </row>
    <row r="16" spans="1:33" ht="10.5" customHeight="1" x14ac:dyDescent="0.2">
      <c r="A16" s="697"/>
      <c r="B16" s="239">
        <f t="shared" si="9"/>
        <v>7</v>
      </c>
      <c r="C16" s="239"/>
      <c r="D16" s="256">
        <f>IncomeStatement!I29</f>
        <v>3371750720.0440359</v>
      </c>
      <c r="E16" s="362">
        <f>-1*IncomeStatement!I32</f>
        <v>-741785158.40968788</v>
      </c>
      <c r="F16" s="255">
        <f>IncomeStatement!I19</f>
        <v>60000000</v>
      </c>
      <c r="G16" s="233">
        <f t="shared" si="4"/>
        <v>2689965561.6343479</v>
      </c>
      <c r="H16" s="233"/>
      <c r="I16" s="233">
        <f t="shared" si="0"/>
        <v>2689965561.6343479</v>
      </c>
      <c r="J16" s="241"/>
      <c r="K16" s="240">
        <f t="shared" si="1"/>
        <v>0.45234921533689343</v>
      </c>
      <c r="L16" s="233">
        <f>K16*I16</f>
        <v>1216803811.0885632</v>
      </c>
      <c r="M16" s="233">
        <f t="shared" si="10"/>
        <v>5624174655.3444328</v>
      </c>
      <c r="N16" s="241"/>
      <c r="O16" s="240">
        <f t="shared" si="2"/>
        <v>7.5112087274051458E-3</v>
      </c>
      <c r="P16" s="233">
        <f t="shared" si="6"/>
        <v>20204892.802967198</v>
      </c>
      <c r="Q16" s="233">
        <f t="shared" si="11"/>
        <v>-20793300.972576104</v>
      </c>
      <c r="R16" s="242"/>
      <c r="S16" s="191">
        <f t="shared" si="3"/>
        <v>1216803811.0885632</v>
      </c>
      <c r="T16" s="191">
        <f t="shared" si="7"/>
        <v>0</v>
      </c>
      <c r="U16" s="191"/>
      <c r="V16" s="191"/>
      <c r="W16" s="191"/>
      <c r="X16" s="368">
        <f t="shared" si="12"/>
        <v>13.552347262948587</v>
      </c>
      <c r="Y16" s="245">
        <f t="shared" si="8"/>
        <v>36455347416.641212</v>
      </c>
    </row>
    <row r="17" spans="1:33" ht="10.5" customHeight="1" x14ac:dyDescent="0.2">
      <c r="A17" s="697"/>
      <c r="B17" s="239">
        <f t="shared" si="9"/>
        <v>8</v>
      </c>
      <c r="C17" s="239"/>
      <c r="D17" s="256">
        <f>IncomeStatement!J29</f>
        <v>3441985734.4449158</v>
      </c>
      <c r="E17" s="362">
        <f>-1*IncomeStatement!J32</f>
        <v>-757236861.57788146</v>
      </c>
      <c r="F17" s="255">
        <f>IncomeStatement!J19</f>
        <v>60000000</v>
      </c>
      <c r="G17" s="233">
        <f t="shared" si="4"/>
        <v>2744748872.8670344</v>
      </c>
      <c r="H17" s="233"/>
      <c r="I17" s="233">
        <f t="shared" si="0"/>
        <v>2744748872.8670344</v>
      </c>
      <c r="J17" s="241"/>
      <c r="K17" s="240">
        <f t="shared" si="1"/>
        <v>0.4038832279793691</v>
      </c>
      <c r="L17" s="233">
        <f t="shared" si="5"/>
        <v>1108558034.7662728</v>
      </c>
      <c r="M17" s="233">
        <f t="shared" si="10"/>
        <v>6732732690.1107054</v>
      </c>
      <c r="N17" s="241"/>
      <c r="O17" s="240">
        <f t="shared" si="2"/>
        <v>3.7345631404488355E-3</v>
      </c>
      <c r="P17" s="233">
        <f t="shared" si="6"/>
        <v>10250437.970397715</v>
      </c>
      <c r="Q17" s="233">
        <f t="shared" si="11"/>
        <v>-10542863.00217839</v>
      </c>
      <c r="R17" s="242"/>
      <c r="S17" s="191">
        <f t="shared" si="3"/>
        <v>1108558034.7662728</v>
      </c>
      <c r="T17" s="191">
        <f t="shared" si="7"/>
        <v>0</v>
      </c>
      <c r="U17" s="191"/>
      <c r="V17" s="191"/>
      <c r="W17" s="191"/>
      <c r="X17" s="368">
        <f t="shared" si="12"/>
        <v>12.100310056204096</v>
      </c>
      <c r="Y17" s="245">
        <f t="shared" si="8"/>
        <v>33212312388.107834</v>
      </c>
      <c r="AG17" s="245"/>
    </row>
    <row r="18" spans="1:33" ht="10.5" customHeight="1" x14ac:dyDescent="0.2">
      <c r="A18" s="697"/>
      <c r="B18" s="239">
        <f t="shared" si="9"/>
        <v>9</v>
      </c>
      <c r="C18" s="239"/>
      <c r="D18" s="256">
        <f>IncomeStatement!K29</f>
        <v>3513625449.1338129</v>
      </c>
      <c r="E18" s="362">
        <f>-1*IncomeStatement!K32</f>
        <v>-772997598.80943882</v>
      </c>
      <c r="F18" s="255">
        <f>IncomeStatement!K19</f>
        <v>60000000</v>
      </c>
      <c r="G18" s="233">
        <f t="shared" si="4"/>
        <v>2800627850.3243742</v>
      </c>
      <c r="H18" s="233"/>
      <c r="I18" s="233">
        <f t="shared" si="0"/>
        <v>2800627850.3243742</v>
      </c>
      <c r="J18" s="241"/>
      <c r="K18" s="240">
        <f t="shared" si="1"/>
        <v>0.36061002498157957</v>
      </c>
      <c r="L18" s="233">
        <f t="shared" si="5"/>
        <v>1009934479.0695801</v>
      </c>
      <c r="M18" s="233">
        <f t="shared" si="10"/>
        <v>7742667169.1802855</v>
      </c>
      <c r="N18" s="241"/>
      <c r="O18" s="240">
        <f t="shared" si="2"/>
        <v>1.8568199015842346E-3</v>
      </c>
      <c r="P18" s="233">
        <f t="shared" si="6"/>
        <v>5200261.5294133713</v>
      </c>
      <c r="Q18" s="233">
        <f t="shared" si="11"/>
        <v>-5342601.4727650182</v>
      </c>
      <c r="R18" s="242"/>
      <c r="S18" s="191">
        <f t="shared" si="3"/>
        <v>1009934479.0695801</v>
      </c>
      <c r="T18" s="191">
        <f t="shared" si="7"/>
        <v>0</v>
      </c>
      <c r="U18" s="191"/>
      <c r="V18" s="191"/>
      <c r="W18" s="191"/>
      <c r="X18" s="368">
        <f t="shared" si="12"/>
        <v>10.803848264467941</v>
      </c>
      <c r="Y18" s="245">
        <f t="shared" si="8"/>
        <v>30257558340.147572</v>
      </c>
    </row>
    <row r="19" spans="1:33" ht="10.5" customHeight="1" x14ac:dyDescent="0.2">
      <c r="A19" s="697"/>
      <c r="B19" s="239">
        <f t="shared" si="9"/>
        <v>10</v>
      </c>
      <c r="C19" s="239"/>
      <c r="D19" s="256">
        <f>IncomeStatement!L29</f>
        <v>3586697958.1164913</v>
      </c>
      <c r="E19" s="362">
        <f>-1*IncomeStatement!L32</f>
        <v>-789073550.78562808</v>
      </c>
      <c r="F19" s="255">
        <f>IncomeStatement!L19</f>
        <v>60000000</v>
      </c>
      <c r="G19" s="233">
        <f t="shared" si="4"/>
        <v>2857624407.330863</v>
      </c>
      <c r="H19" s="233"/>
      <c r="I19" s="233">
        <f t="shared" si="0"/>
        <v>2857624407.330863</v>
      </c>
      <c r="J19" s="241"/>
      <c r="K19" s="240">
        <f t="shared" si="1"/>
        <v>0.32197323659069599</v>
      </c>
      <c r="L19" s="233">
        <f>K19*I19</f>
        <v>920078579.38888741</v>
      </c>
      <c r="M19" s="233">
        <f>L19+M18</f>
        <v>8662745748.5691719</v>
      </c>
      <c r="N19" s="241"/>
      <c r="O19" s="240">
        <f t="shared" si="2"/>
        <v>9.2320842284779748E-4</v>
      </c>
      <c r="P19" s="233">
        <f t="shared" si="6"/>
        <v>2638182.922183298</v>
      </c>
      <c r="Q19" s="233">
        <f t="shared" si="11"/>
        <v>-2704418.5505817202</v>
      </c>
      <c r="R19" s="242"/>
      <c r="S19" s="191">
        <f t="shared" si="3"/>
        <v>920078579.38888741</v>
      </c>
      <c r="T19" s="191">
        <f t="shared" si="7"/>
        <v>0</v>
      </c>
      <c r="U19" s="191"/>
      <c r="V19" s="191"/>
      <c r="W19" s="191"/>
      <c r="X19" s="368">
        <f>(1+$L$6)^($B$39-B19)</f>
        <v>9.6462930932749469</v>
      </c>
      <c r="Y19" s="245">
        <f>X19*G19</f>
        <v>27565482583.609619</v>
      </c>
    </row>
    <row r="20" spans="1:33" ht="10.5" customHeight="1" x14ac:dyDescent="0.2">
      <c r="B20" s="239">
        <f t="shared" si="9"/>
        <v>11</v>
      </c>
      <c r="D20" s="256">
        <f>IncomeStatement!M29</f>
        <v>3721231917.2788219</v>
      </c>
      <c r="E20" s="362">
        <f>-1*IncomeStatement!M32</f>
        <v>-818671021.80134082</v>
      </c>
      <c r="F20" s="255">
        <f>IncomeStatement!M19</f>
        <v>0</v>
      </c>
      <c r="G20" s="233">
        <f t="shared" si="4"/>
        <v>2902560895.4774809</v>
      </c>
      <c r="I20" s="233">
        <f t="shared" si="0"/>
        <v>2902560895.4774809</v>
      </c>
      <c r="K20" s="240">
        <f t="shared" si="1"/>
        <v>0.28747610409883567</v>
      </c>
      <c r="L20" s="233">
        <f t="shared" ref="L20:L39" si="13">K20*I20</f>
        <v>834416898.14149404</v>
      </c>
      <c r="M20" s="233">
        <f t="shared" ref="M20:M39" si="14">L20+M19</f>
        <v>9497162646.7106667</v>
      </c>
      <c r="O20" s="240">
        <f t="shared" si="2"/>
        <v>4.590180185433846E-4</v>
      </c>
      <c r="P20" s="233">
        <f t="shared" si="6"/>
        <v>1332327.7509435853</v>
      </c>
      <c r="Q20" s="233">
        <f t="shared" si="11"/>
        <v>-1372090.7996381349</v>
      </c>
      <c r="S20" s="191">
        <f t="shared" si="3"/>
        <v>834416898.14149404</v>
      </c>
      <c r="T20" s="191">
        <f t="shared" si="7"/>
        <v>0</v>
      </c>
      <c r="X20" s="368">
        <f t="shared" ref="X20:X38" si="15">(1+$L$6)^($B$39-B20)</f>
        <v>8.61276169042406</v>
      </c>
      <c r="Y20" s="245">
        <f t="shared" si="8"/>
        <v>24999065284.691402</v>
      </c>
    </row>
    <row r="21" spans="1:33" ht="10.5" customHeight="1" x14ac:dyDescent="0.2">
      <c r="B21" s="239">
        <f t="shared" si="9"/>
        <v>12</v>
      </c>
      <c r="D21" s="256">
        <f>IncomeStatement!N29</f>
        <v>3797256555.6243973</v>
      </c>
      <c r="E21" s="362">
        <f>-1*IncomeStatement!N32</f>
        <v>-835396442.23736739</v>
      </c>
      <c r="F21" s="255">
        <f>IncomeStatement!M19</f>
        <v>0</v>
      </c>
      <c r="G21" s="233">
        <f t="shared" si="4"/>
        <v>2961860113.3870296</v>
      </c>
      <c r="I21" s="233">
        <f t="shared" si="0"/>
        <v>2961860113.3870296</v>
      </c>
      <c r="K21" s="240">
        <f t="shared" si="1"/>
        <v>0.25667509294538904</v>
      </c>
      <c r="L21" s="233">
        <f t="shared" si="13"/>
        <v>760235719.89485633</v>
      </c>
      <c r="M21" s="233">
        <f t="shared" si="14"/>
        <v>10257398366.605522</v>
      </c>
      <c r="O21" s="240">
        <f t="shared" si="2"/>
        <v>2.2822315755911498E-4</v>
      </c>
      <c r="P21" s="233">
        <f t="shared" si="6"/>
        <v>675965.06732558622</v>
      </c>
      <c r="Q21" s="233">
        <f t="shared" si="11"/>
        <v>-696125.73231254867</v>
      </c>
      <c r="S21" s="191">
        <f t="shared" si="3"/>
        <v>760235719.89485633</v>
      </c>
      <c r="T21" s="191">
        <f t="shared" si="7"/>
        <v>0</v>
      </c>
      <c r="X21" s="368">
        <f t="shared" si="15"/>
        <v>7.6899657950214815</v>
      </c>
      <c r="Y21" s="245">
        <f t="shared" si="8"/>
        <v>22776602961.584705</v>
      </c>
    </row>
    <row r="22" spans="1:33" ht="10.5" customHeight="1" x14ac:dyDescent="0.2">
      <c r="B22" s="239">
        <f t="shared" si="9"/>
        <v>13</v>
      </c>
      <c r="D22" s="256">
        <f>IncomeStatement!O29</f>
        <v>3874801686.736886</v>
      </c>
      <c r="E22" s="362">
        <f>-1*IncomeStatement!O32</f>
        <v>-852456371.08211493</v>
      </c>
      <c r="F22" s="255">
        <f>IncomeStatement!O19</f>
        <v>0</v>
      </c>
      <c r="G22" s="233">
        <f t="shared" si="4"/>
        <v>3022345315.6547709</v>
      </c>
      <c r="I22" s="233">
        <f t="shared" si="0"/>
        <v>3022345315.6547709</v>
      </c>
      <c r="K22" s="240">
        <f t="shared" si="1"/>
        <v>0.22917419012981158</v>
      </c>
      <c r="L22" s="233">
        <f t="shared" si="13"/>
        <v>692643540.00781178</v>
      </c>
      <c r="M22" s="233">
        <f t="shared" si="14"/>
        <v>10950041906.613335</v>
      </c>
      <c r="O22" s="240">
        <f t="shared" si="2"/>
        <v>1.1347225499238147E-4</v>
      </c>
      <c r="P22" s="233">
        <f t="shared" si="6"/>
        <v>342952.33833300782</v>
      </c>
      <c r="Q22" s="233">
        <f t="shared" si="11"/>
        <v>-353173.39397954085</v>
      </c>
      <c r="S22" s="191">
        <f t="shared" si="3"/>
        <v>692643540.00781178</v>
      </c>
      <c r="T22" s="191">
        <f t="shared" si="7"/>
        <v>0</v>
      </c>
      <c r="X22" s="368">
        <f t="shared" si="15"/>
        <v>6.8660408884120363</v>
      </c>
      <c r="Y22" s="245">
        <f t="shared" si="8"/>
        <v>20751546516.186237</v>
      </c>
    </row>
    <row r="23" spans="1:33" ht="10.5" customHeight="1" x14ac:dyDescent="0.2">
      <c r="B23" s="239">
        <f t="shared" si="9"/>
        <v>14</v>
      </c>
      <c r="C23" s="180"/>
      <c r="D23" s="256">
        <f>IncomeStatement!P29</f>
        <v>3953897720.4716239</v>
      </c>
      <c r="E23" s="362">
        <f>-1*IncomeStatement!P32</f>
        <v>-869857498.50375724</v>
      </c>
      <c r="F23" s="255">
        <f>IncomeStatement!P19</f>
        <v>0</v>
      </c>
      <c r="G23" s="233">
        <f t="shared" si="4"/>
        <v>3084040221.9678669</v>
      </c>
      <c r="I23" s="233">
        <f t="shared" si="0"/>
        <v>3084040221.9678669</v>
      </c>
      <c r="K23" s="240">
        <f t="shared" si="1"/>
        <v>0.20461981261590317</v>
      </c>
      <c r="L23" s="233">
        <f t="shared" si="13"/>
        <v>631055732.3189733</v>
      </c>
      <c r="M23" s="233">
        <f t="shared" si="14"/>
        <v>11581097638.932308</v>
      </c>
      <c r="O23" s="240">
        <f t="shared" si="2"/>
        <v>5.6418256546647228E-5</v>
      </c>
      <c r="P23" s="233">
        <f t="shared" si="6"/>
        <v>173996.17244316198</v>
      </c>
      <c r="Q23" s="233">
        <f t="shared" si="11"/>
        <v>-179177.22153637887</v>
      </c>
      <c r="S23" s="191">
        <f t="shared" si="3"/>
        <v>631055732.3189733</v>
      </c>
      <c r="T23" s="191">
        <f t="shared" si="7"/>
        <v>0</v>
      </c>
      <c r="X23" s="368">
        <f t="shared" si="15"/>
        <v>6.1303936503678891</v>
      </c>
      <c r="Y23" s="245">
        <f t="shared" si="8"/>
        <v>18906380594.230988</v>
      </c>
    </row>
    <row r="24" spans="1:33" ht="10.5" customHeight="1" x14ac:dyDescent="0.2">
      <c r="B24" s="239">
        <f t="shared" si="9"/>
        <v>15</v>
      </c>
      <c r="C24" s="180"/>
      <c r="D24" s="256">
        <f>IncomeStatement!Q29</f>
        <v>4034575674.8810549</v>
      </c>
      <c r="E24" s="362">
        <f>-1*IncomeStatement!Q32</f>
        <v>-887606648.47383213</v>
      </c>
      <c r="F24" s="255">
        <f>IncomeStatement!Q19</f>
        <v>0</v>
      </c>
      <c r="G24" s="233">
        <f t="shared" si="4"/>
        <v>3146969026.4072227</v>
      </c>
      <c r="I24" s="233">
        <f t="shared" si="0"/>
        <v>3146969026.4072227</v>
      </c>
      <c r="K24" s="240">
        <f t="shared" si="1"/>
        <v>0.18269626126419927</v>
      </c>
      <c r="L24" s="233">
        <f t="shared" si="13"/>
        <v>574939475.43883681</v>
      </c>
      <c r="M24" s="233">
        <f t="shared" si="14"/>
        <v>12156037114.371145</v>
      </c>
      <c r="O24" s="240">
        <f t="shared" si="2"/>
        <v>2.8051083253584863E-5</v>
      </c>
      <c r="P24" s="233">
        <f t="shared" si="6"/>
        <v>88275.890156201902</v>
      </c>
      <c r="Q24" s="233">
        <f t="shared" si="11"/>
        <v>-90901.331380176969</v>
      </c>
      <c r="S24" s="191">
        <f t="shared" si="3"/>
        <v>574939475.43883681</v>
      </c>
      <c r="T24" s="191">
        <f t="shared" si="7"/>
        <v>0</v>
      </c>
      <c r="X24" s="368">
        <f t="shared" si="15"/>
        <v>5.4735657592570428</v>
      </c>
      <c r="Y24" s="245">
        <f t="shared" si="8"/>
        <v>17225141908.385048</v>
      </c>
    </row>
    <row r="25" spans="1:33" ht="10.5" customHeight="1" x14ac:dyDescent="0.2">
      <c r="B25" s="239">
        <f t="shared" si="9"/>
        <v>16</v>
      </c>
      <c r="C25" s="180"/>
      <c r="D25" s="256">
        <f>IncomeStatement!R29</f>
        <v>4116867188.3786764</v>
      </c>
      <c r="E25" s="362">
        <f>-1*IncomeStatement!R32</f>
        <v>-905710781.44330883</v>
      </c>
      <c r="F25" s="255">
        <f>IncomeStatement!R19</f>
        <v>0</v>
      </c>
      <c r="G25" s="233">
        <f t="shared" si="4"/>
        <v>3211156406.9353676</v>
      </c>
      <c r="I25" s="233">
        <f t="shared" si="0"/>
        <v>3211156406.9353676</v>
      </c>
      <c r="K25" s="240">
        <f t="shared" si="1"/>
        <v>0.16312166184303503</v>
      </c>
      <c r="L25" s="233">
        <f t="shared" si="13"/>
        <v>523809169.53720641</v>
      </c>
      <c r="M25" s="233">
        <f t="shared" si="14"/>
        <v>12679846283.908352</v>
      </c>
      <c r="O25" s="240">
        <f t="shared" si="2"/>
        <v>1.3946961849999067E-5</v>
      </c>
      <c r="P25" s="233">
        <f t="shared" si="6"/>
        <v>44785.875901907653</v>
      </c>
      <c r="Q25" s="233">
        <f t="shared" si="11"/>
        <v>-46115.455478269316</v>
      </c>
      <c r="S25" s="191">
        <f t="shared" si="3"/>
        <v>523809169.53720641</v>
      </c>
      <c r="T25" s="191">
        <f t="shared" si="7"/>
        <v>0</v>
      </c>
      <c r="X25" s="368">
        <f t="shared" si="15"/>
        <v>4.8871122850509314</v>
      </c>
      <c r="Y25" s="245">
        <f t="shared" si="8"/>
        <v>15693281925.553843</v>
      </c>
    </row>
    <row r="26" spans="1:33" ht="10.5" customHeight="1" x14ac:dyDescent="0.2">
      <c r="B26" s="239">
        <f t="shared" si="9"/>
        <v>17</v>
      </c>
      <c r="C26" s="180"/>
      <c r="D26" s="256">
        <f>IncomeStatement!S29</f>
        <v>4200804532.1462493</v>
      </c>
      <c r="E26" s="362">
        <f>-1*IncomeStatement!S32</f>
        <v>-924176997.07217491</v>
      </c>
      <c r="F26" s="255">
        <f>IncomeStatement!S19</f>
        <v>0</v>
      </c>
      <c r="G26" s="233">
        <f t="shared" si="4"/>
        <v>3276627535.0740743</v>
      </c>
      <c r="I26" s="233">
        <f t="shared" si="0"/>
        <v>3276627535.0740743</v>
      </c>
      <c r="K26" s="240">
        <f t="shared" si="1"/>
        <v>0.14564434093128129</v>
      </c>
      <c r="L26" s="233">
        <f t="shared" si="13"/>
        <v>477222257.8231523</v>
      </c>
      <c r="M26" s="233">
        <f t="shared" si="14"/>
        <v>13157068541.731504</v>
      </c>
      <c r="O26" s="240">
        <f t="shared" si="2"/>
        <v>6.9344111629083171E-6</v>
      </c>
      <c r="P26" s="233">
        <f t="shared" si="6"/>
        <v>22721.482555910425</v>
      </c>
      <c r="Q26" s="233">
        <f t="shared" si="11"/>
        <v>-23393.972922358891</v>
      </c>
      <c r="S26" s="191">
        <f t="shared" si="3"/>
        <v>477222257.8231523</v>
      </c>
      <c r="T26" s="191">
        <f t="shared" si="7"/>
        <v>0</v>
      </c>
      <c r="X26" s="368">
        <f t="shared" si="15"/>
        <v>4.363493111652617</v>
      </c>
      <c r="Y26" s="245">
        <f t="shared" si="8"/>
        <v>14297541678.747017</v>
      </c>
    </row>
    <row r="27" spans="1:33" ht="10.5" customHeight="1" x14ac:dyDescent="0.2">
      <c r="B27" s="239">
        <f t="shared" si="9"/>
        <v>18</v>
      </c>
      <c r="C27" s="180"/>
      <c r="D27" s="256">
        <f>IncomeStatement!T29</f>
        <v>4286420622.7891741</v>
      </c>
      <c r="E27" s="362">
        <f>-1*IncomeStatement!T32</f>
        <v>-943012537.01361835</v>
      </c>
      <c r="F27" s="255">
        <f>IncomeStatement!T19</f>
        <v>0</v>
      </c>
      <c r="G27" s="233">
        <f t="shared" si="4"/>
        <v>3343408085.7755556</v>
      </c>
      <c r="I27" s="233">
        <f t="shared" si="0"/>
        <v>3343408085.7755556</v>
      </c>
      <c r="K27" s="240">
        <f t="shared" si="1"/>
        <v>0.13003959011721541</v>
      </c>
      <c r="L27" s="233">
        <f t="shared" si="13"/>
        <v>434775417.06883705</v>
      </c>
      <c r="M27" s="233">
        <f t="shared" si="14"/>
        <v>13591843958.800341</v>
      </c>
      <c r="O27" s="240">
        <f t="shared" si="2"/>
        <v>3.447780146919287E-6</v>
      </c>
      <c r="P27" s="233">
        <f t="shared" si="6"/>
        <v>11527.336021186376</v>
      </c>
      <c r="Q27" s="233">
        <f t="shared" si="11"/>
        <v>-11866.636901172515</v>
      </c>
      <c r="S27" s="191">
        <f t="shared" si="3"/>
        <v>434775417.06883705</v>
      </c>
      <c r="T27" s="191">
        <f t="shared" si="7"/>
        <v>0</v>
      </c>
      <c r="X27" s="368">
        <f t="shared" si="15"/>
        <v>3.8959759925469788</v>
      </c>
      <c r="Y27" s="245">
        <f t="shared" si="8"/>
        <v>13025837635.469015</v>
      </c>
    </row>
    <row r="28" spans="1:33" ht="10.5" customHeight="1" x14ac:dyDescent="0.2">
      <c r="B28" s="239">
        <f t="shared" si="9"/>
        <v>19</v>
      </c>
      <c r="C28" s="180"/>
      <c r="D28" s="256">
        <f>IncomeStatement!U29</f>
        <v>4373749035.2449598</v>
      </c>
      <c r="E28" s="362">
        <f>-1*IncomeStatement!U32</f>
        <v>-962224787.75389111</v>
      </c>
      <c r="F28" s="255">
        <f>IncomeStatement!U19</f>
        <v>0</v>
      </c>
      <c r="G28" s="233">
        <f t="shared" si="4"/>
        <v>3411524247.4910688</v>
      </c>
      <c r="I28" s="233">
        <f t="shared" si="0"/>
        <v>3411524247.4910688</v>
      </c>
      <c r="K28" s="240">
        <f t="shared" si="1"/>
        <v>0.1161067768903709</v>
      </c>
      <c r="L28" s="233">
        <f t="shared" si="13"/>
        <v>396101084.659536</v>
      </c>
      <c r="M28" s="233">
        <f t="shared" si="14"/>
        <v>13987945043.459877</v>
      </c>
      <c r="O28" s="240">
        <f t="shared" si="2"/>
        <v>1.7142317728539842E-6</v>
      </c>
      <c r="P28" s="233">
        <f t="shared" si="6"/>
        <v>5848.1432589109691</v>
      </c>
      <c r="Q28" s="233">
        <f t="shared" si="11"/>
        <v>-6018.4936422615456</v>
      </c>
      <c r="S28" s="191">
        <f t="shared" si="3"/>
        <v>396101084.659536</v>
      </c>
      <c r="T28" s="191">
        <f t="shared" si="7"/>
        <v>0</v>
      </c>
      <c r="X28" s="368">
        <f t="shared" si="15"/>
        <v>3.4785499933455171</v>
      </c>
      <c r="Y28" s="245">
        <f t="shared" si="8"/>
        <v>11867157648.408127</v>
      </c>
    </row>
    <row r="29" spans="1:33" ht="10.5" customHeight="1" x14ac:dyDescent="0.2">
      <c r="B29" s="239">
        <f t="shared" si="9"/>
        <v>20</v>
      </c>
      <c r="C29" s="180"/>
      <c r="D29" s="256">
        <f>IncomeStatement!V29</f>
        <v>4462824015.9498596</v>
      </c>
      <c r="E29" s="362">
        <f>-1*IncomeStatement!V32</f>
        <v>-981821283.50896907</v>
      </c>
      <c r="F29" s="255">
        <f>IncomeStatement!V19</f>
        <v>0</v>
      </c>
      <c r="G29" s="233">
        <f t="shared" si="4"/>
        <v>3481002732.4408903</v>
      </c>
      <c r="I29" s="233">
        <f t="shared" si="0"/>
        <v>3481002732.4408903</v>
      </c>
      <c r="K29" s="240">
        <f t="shared" si="1"/>
        <v>0.1036667650806883</v>
      </c>
      <c r="L29" s="233">
        <f t="shared" si="13"/>
        <v>360864292.50918382</v>
      </c>
      <c r="M29" s="233">
        <f t="shared" si="14"/>
        <v>14348809335.969061</v>
      </c>
      <c r="O29" s="240">
        <f t="shared" si="2"/>
        <v>8.5231379201711783E-7</v>
      </c>
      <c r="P29" s="233">
        <f t="shared" si="6"/>
        <v>2966.9066389086438</v>
      </c>
      <c r="Q29" s="233">
        <f t="shared" si="11"/>
        <v>-3051.5870033529018</v>
      </c>
      <c r="S29" s="191">
        <f t="shared" si="3"/>
        <v>360864292.50918382</v>
      </c>
      <c r="T29" s="191">
        <f t="shared" si="7"/>
        <v>0</v>
      </c>
      <c r="X29" s="368">
        <f t="shared" si="15"/>
        <v>3.1058482083442112</v>
      </c>
      <c r="Y29" s="245">
        <f t="shared" si="8"/>
        <v>10811466099.792843</v>
      </c>
    </row>
    <row r="30" spans="1:33" ht="10.5" customHeight="1" x14ac:dyDescent="0.2">
      <c r="B30" s="239">
        <f t="shared" si="9"/>
        <v>21</v>
      </c>
      <c r="C30" s="180"/>
      <c r="D30" s="256">
        <f>IncomeStatement!W29</f>
        <v>4553680496.268857</v>
      </c>
      <c r="E30" s="362">
        <f>-1*IncomeStatement!W32</f>
        <v>-1001809709.1791486</v>
      </c>
      <c r="F30" s="255">
        <f>IncomeStatement!W19</f>
        <v>0</v>
      </c>
      <c r="G30" s="233">
        <f t="shared" si="4"/>
        <v>3551870787.0897083</v>
      </c>
      <c r="I30" s="233">
        <f t="shared" si="0"/>
        <v>3551870787.0897083</v>
      </c>
      <c r="K30" s="240">
        <f t="shared" si="1"/>
        <v>9.2559611679185971E-2</v>
      </c>
      <c r="L30" s="233">
        <f t="shared" si="13"/>
        <v>328759780.78766805</v>
      </c>
      <c r="M30" s="233">
        <f t="shared" si="14"/>
        <v>14677569116.756729</v>
      </c>
      <c r="O30" s="240">
        <f t="shared" si="2"/>
        <v>4.2376930095815921E-7</v>
      </c>
      <c r="P30" s="233">
        <f t="shared" si="6"/>
        <v>1505.1738005387124</v>
      </c>
      <c r="Q30" s="233">
        <f t="shared" si="11"/>
        <v>-1546.4132028141894</v>
      </c>
      <c r="S30" s="191">
        <f t="shared" si="3"/>
        <v>328759780.78766805</v>
      </c>
      <c r="T30" s="191">
        <f t="shared" si="7"/>
        <v>0</v>
      </c>
      <c r="X30" s="368">
        <f t="shared" si="15"/>
        <v>2.7730787574501883</v>
      </c>
      <c r="Y30" s="245">
        <f t="shared" si="8"/>
        <v>9849617428.8863506</v>
      </c>
    </row>
    <row r="31" spans="1:33" ht="10.5" customHeight="1" x14ac:dyDescent="0.2">
      <c r="B31" s="239">
        <f t="shared" si="9"/>
        <v>22</v>
      </c>
      <c r="D31" s="256">
        <f>IncomeStatement!X29</f>
        <v>4646354106.1942329</v>
      </c>
      <c r="E31" s="362">
        <f>-1*IncomeStatement!X32</f>
        <v>-1022197903.3627312</v>
      </c>
      <c r="F31" s="255">
        <f>IncomeStatement!X19</f>
        <v>0</v>
      </c>
      <c r="G31" s="233">
        <f t="shared" si="4"/>
        <v>3624156202.831502</v>
      </c>
      <c r="I31" s="233">
        <f t="shared" si="0"/>
        <v>3624156202.831502</v>
      </c>
      <c r="K31" s="240">
        <f t="shared" si="1"/>
        <v>8.2642510427844609E-2</v>
      </c>
      <c r="L31" s="233">
        <f t="shared" si="13"/>
        <v>299509366.78464013</v>
      </c>
      <c r="M31" s="233">
        <f t="shared" si="14"/>
        <v>14977078483.541368</v>
      </c>
      <c r="O31" s="240">
        <f t="shared" si="2"/>
        <v>2.1069754134749492E-7</v>
      </c>
      <c r="P31" s="233">
        <f t="shared" si="6"/>
        <v>763.60080139587058</v>
      </c>
      <c r="Q31" s="233">
        <f t="shared" si="11"/>
        <v>-782.81240141831881</v>
      </c>
      <c r="S31" s="191">
        <f t="shared" si="3"/>
        <v>299509366.78464013</v>
      </c>
      <c r="T31" s="191">
        <f t="shared" si="7"/>
        <v>0</v>
      </c>
      <c r="X31" s="368">
        <f t="shared" si="15"/>
        <v>2.4759631762948109</v>
      </c>
      <c r="Y31" s="245">
        <f t="shared" si="8"/>
        <v>8973277303.3512268</v>
      </c>
    </row>
    <row r="32" spans="1:33" ht="10.5" customHeight="1" x14ac:dyDescent="0.2">
      <c r="B32" s="239">
        <f t="shared" si="9"/>
        <v>23</v>
      </c>
      <c r="D32" s="256">
        <f>IncomeStatement!Y29</f>
        <v>4740881188.3181181</v>
      </c>
      <c r="E32" s="362">
        <f>-1*IncomeStatement!Y32</f>
        <v>-1042993861.429986</v>
      </c>
      <c r="F32" s="255">
        <f>IncomeStatement!Y19</f>
        <v>0</v>
      </c>
      <c r="G32" s="233">
        <f t="shared" si="4"/>
        <v>3697887326.8881321</v>
      </c>
      <c r="I32" s="233">
        <f t="shared" si="0"/>
        <v>3697887326.8881321</v>
      </c>
      <c r="K32" s="240">
        <f t="shared" si="1"/>
        <v>7.3787955739146982E-2</v>
      </c>
      <c r="L32" s="233">
        <f t="shared" si="13"/>
        <v>272859546.40477401</v>
      </c>
      <c r="M32" s="233">
        <f t="shared" si="14"/>
        <v>15249938029.946142</v>
      </c>
      <c r="O32" s="240">
        <f t="shared" si="2"/>
        <v>1.047585415684996E-7</v>
      </c>
      <c r="P32" s="233">
        <f t="shared" si="6"/>
        <v>387.38528324943826</v>
      </c>
      <c r="Q32" s="233">
        <f t="shared" si="11"/>
        <v>-395.42711816888055</v>
      </c>
      <c r="S32" s="191">
        <f t="shared" si="3"/>
        <v>272859546.40477401</v>
      </c>
      <c r="T32" s="191">
        <f t="shared" si="7"/>
        <v>0</v>
      </c>
      <c r="X32" s="368">
        <f t="shared" si="15"/>
        <v>2.210681407406081</v>
      </c>
      <c r="Y32" s="245">
        <f t="shared" si="8"/>
        <v>8174850760.2341661</v>
      </c>
    </row>
    <row r="33" spans="1:25" ht="10.5" customHeight="1" x14ac:dyDescent="0.2">
      <c r="B33" s="239">
        <f t="shared" si="9"/>
        <v>24</v>
      </c>
      <c r="D33" s="256">
        <f>IncomeStatement!Z29</f>
        <v>4837298812.0844803</v>
      </c>
      <c r="E33" s="362">
        <f>-1*IncomeStatement!Z32</f>
        <v>-1064205738.6585857</v>
      </c>
      <c r="F33" s="255">
        <f>IncomeStatement!Z19</f>
        <v>0</v>
      </c>
      <c r="G33" s="233">
        <f t="shared" si="4"/>
        <v>3773093073.4258947</v>
      </c>
      <c r="I33" s="233">
        <f t="shared" si="0"/>
        <v>3773093073.4258947</v>
      </c>
      <c r="K33" s="240">
        <f t="shared" si="1"/>
        <v>6.5882103338524081E-2</v>
      </c>
      <c r="L33" s="233">
        <f t="shared" si="13"/>
        <v>248579307.76931423</v>
      </c>
      <c r="M33" s="233">
        <f t="shared" si="14"/>
        <v>15498517337.715456</v>
      </c>
      <c r="O33" s="240">
        <f t="shared" si="2"/>
        <v>5.2085809646252617E-8</v>
      </c>
      <c r="P33" s="233">
        <f t="shared" si="6"/>
        <v>196.52460760005539</v>
      </c>
      <c r="Q33" s="233">
        <f t="shared" si="11"/>
        <v>-198.90251056882516</v>
      </c>
      <c r="S33" s="191">
        <f t="shared" si="3"/>
        <v>248579307.76931423</v>
      </c>
      <c r="T33" s="191">
        <f t="shared" si="7"/>
        <v>0</v>
      </c>
      <c r="X33" s="368">
        <f t="shared" si="15"/>
        <v>1.9738226851840008</v>
      </c>
      <c r="Y33" s="245">
        <f t="shared" si="8"/>
        <v>7447416701.6386538</v>
      </c>
    </row>
    <row r="34" spans="1:25" ht="10.5" customHeight="1" x14ac:dyDescent="0.2">
      <c r="B34" s="239">
        <f t="shared" si="9"/>
        <v>25</v>
      </c>
      <c r="D34" s="256">
        <f>IncomeStatement!AA29</f>
        <v>4935644788.32617</v>
      </c>
      <c r="E34" s="362">
        <f>-1*IncomeStatement!AA32</f>
        <v>-1085841853.4317575</v>
      </c>
      <c r="F34" s="255">
        <f>IncomeStatement!AA19</f>
        <v>0</v>
      </c>
      <c r="G34" s="233">
        <f t="shared" si="4"/>
        <v>3849802934.8944125</v>
      </c>
      <c r="I34" s="233">
        <f t="shared" si="0"/>
        <v>3849802934.8944125</v>
      </c>
      <c r="K34" s="240">
        <f t="shared" si="1"/>
        <v>5.8823306552253637E-2</v>
      </c>
      <c r="L34" s="233">
        <f t="shared" si="13"/>
        <v>226458138.20505977</v>
      </c>
      <c r="M34" s="233">
        <f t="shared" si="14"/>
        <v>15724975475.920515</v>
      </c>
      <c r="O34" s="240">
        <f t="shared" si="2"/>
        <v>2.5896996329714343E-8</v>
      </c>
      <c r="P34" s="233">
        <f t="shared" si="6"/>
        <v>99.698332475084115</v>
      </c>
      <c r="Q34" s="233">
        <f t="shared" si="11"/>
        <v>-99.204178093741049</v>
      </c>
      <c r="S34" s="191">
        <f t="shared" si="3"/>
        <v>226458138.20505977</v>
      </c>
      <c r="T34" s="191">
        <f t="shared" si="7"/>
        <v>0</v>
      </c>
      <c r="X34" s="368">
        <f t="shared" si="15"/>
        <v>1.7623416832000005</v>
      </c>
      <c r="Y34" s="245">
        <f t="shared" si="8"/>
        <v>6784668184.2701206</v>
      </c>
    </row>
    <row r="35" spans="1:25" ht="10.5" customHeight="1" x14ac:dyDescent="0.2">
      <c r="B35" s="239">
        <f t="shared" si="9"/>
        <v>26</v>
      </c>
      <c r="D35" s="256">
        <f>IncomeStatement!AB29</f>
        <v>5035957684.0926943</v>
      </c>
      <c r="E35" s="362">
        <f>-1*IncomeStatement!AB32</f>
        <v>-1107910690.5003927</v>
      </c>
      <c r="F35" s="255">
        <f>IncomeStatement!AB19</f>
        <v>0</v>
      </c>
      <c r="G35" s="233">
        <f t="shared" si="4"/>
        <v>3928046993.5923014</v>
      </c>
      <c r="I35" s="233">
        <f t="shared" si="0"/>
        <v>3928046993.5923014</v>
      </c>
      <c r="K35" s="240">
        <f t="shared" si="1"/>
        <v>5.2520809421655032E-2</v>
      </c>
      <c r="L35" s="233">
        <f t="shared" si="13"/>
        <v>206304207.54976627</v>
      </c>
      <c r="M35" s="233">
        <f t="shared" si="14"/>
        <v>15931279683.470282</v>
      </c>
      <c r="O35" s="240">
        <f t="shared" si="2"/>
        <v>1.2875952653056038E-8</v>
      </c>
      <c r="P35" s="233">
        <f t="shared" si="6"/>
        <v>50.577347108473589</v>
      </c>
      <c r="Q35" s="233">
        <f t="shared" si="11"/>
        <v>-48.626830985267461</v>
      </c>
      <c r="S35" s="191">
        <f t="shared" si="3"/>
        <v>206304207.54976627</v>
      </c>
      <c r="T35" s="191">
        <f t="shared" si="7"/>
        <v>0</v>
      </c>
      <c r="X35" s="368">
        <f t="shared" si="15"/>
        <v>1.5735193600000004</v>
      </c>
      <c r="Y35" s="245">
        <f t="shared" si="8"/>
        <v>6180857991.4072838</v>
      </c>
    </row>
    <row r="36" spans="1:25" ht="10.5" customHeight="1" x14ac:dyDescent="0.2">
      <c r="B36" s="239">
        <f t="shared" si="9"/>
        <v>27</v>
      </c>
      <c r="D36" s="256">
        <f>IncomeStatement!AC29</f>
        <v>5138276837.7745495</v>
      </c>
      <c r="E36" s="362">
        <f>-1*IncomeStatement!AC32</f>
        <v>-1130420904.310401</v>
      </c>
      <c r="F36" s="255">
        <f>IncomeStatement!AC19</f>
        <v>0</v>
      </c>
      <c r="G36" s="233">
        <f t="shared" si="4"/>
        <v>4007855933.4641485</v>
      </c>
      <c r="I36" s="233">
        <f t="shared" si="0"/>
        <v>4007855933.4641485</v>
      </c>
      <c r="K36" s="240">
        <f t="shared" si="1"/>
        <v>4.6893579840763415E-2</v>
      </c>
      <c r="L36" s="233">
        <f t="shared" si="13"/>
        <v>187942712.20617843</v>
      </c>
      <c r="M36" s="233">
        <f t="shared" si="14"/>
        <v>16119222395.67646</v>
      </c>
      <c r="O36" s="240">
        <f t="shared" si="2"/>
        <v>6.4019067930867488E-9</v>
      </c>
      <c r="P36" s="233">
        <f t="shared" si="6"/>
        <v>25.657920126157165</v>
      </c>
      <c r="Q36" s="233">
        <f t="shared" si="11"/>
        <v>-22.968910859110295</v>
      </c>
      <c r="S36" s="191">
        <f t="shared" si="3"/>
        <v>187942712.20617843</v>
      </c>
      <c r="T36" s="191">
        <f t="shared" si="7"/>
        <v>0</v>
      </c>
      <c r="X36" s="368">
        <f t="shared" si="15"/>
        <v>1.4049280000000004</v>
      </c>
      <c r="Y36" s="245">
        <f t="shared" si="8"/>
        <v>5630749020.8899212</v>
      </c>
    </row>
    <row r="37" spans="1:25" ht="10.5" customHeight="1" x14ac:dyDescent="0.2">
      <c r="B37" s="239">
        <f t="shared" si="9"/>
        <v>28</v>
      </c>
      <c r="D37" s="256">
        <f>IncomeStatement!AD29</f>
        <v>5242642374.5300407</v>
      </c>
      <c r="E37" s="362">
        <f>-1*IncomeStatement!AD32</f>
        <v>-1153381322.3966091</v>
      </c>
      <c r="F37" s="255">
        <f>IncomeStatement!AD19</f>
        <v>0</v>
      </c>
      <c r="G37" s="233">
        <f t="shared" si="4"/>
        <v>4089261052.1334314</v>
      </c>
      <c r="I37" s="233">
        <f t="shared" si="0"/>
        <v>4089261052.1334314</v>
      </c>
      <c r="K37" s="240">
        <f t="shared" si="1"/>
        <v>4.1869267714967337E-2</v>
      </c>
      <c r="L37" s="233">
        <f t="shared" si="13"/>
        <v>171214365.74816364</v>
      </c>
      <c r="M37" s="233">
        <f t="shared" si="14"/>
        <v>16290436761.424623</v>
      </c>
      <c r="O37" s="240">
        <f t="shared" si="2"/>
        <v>3.183019671763303E-9</v>
      </c>
      <c r="P37" s="233">
        <f t="shared" si="6"/>
        <v>13.016198371916214</v>
      </c>
      <c r="Q37" s="233">
        <f t="shared" si="11"/>
        <v>-9.9527124871940806</v>
      </c>
      <c r="S37" s="191">
        <f t="shared" si="3"/>
        <v>171214365.74816364</v>
      </c>
      <c r="T37" s="191">
        <f t="shared" si="7"/>
        <v>0</v>
      </c>
      <c r="X37" s="368">
        <f>(1+$L$6)^($B$39-B37)</f>
        <v>1.2544000000000002</v>
      </c>
      <c r="Y37" s="245">
        <f t="shared" si="8"/>
        <v>5129569063.7961769</v>
      </c>
    </row>
    <row r="38" spans="1:25" ht="10.5" customHeight="1" x14ac:dyDescent="0.2">
      <c r="B38" s="239">
        <f t="shared" si="9"/>
        <v>29</v>
      </c>
      <c r="D38" s="256">
        <f>IncomeStatement!AE29</f>
        <v>5349095222.0206404</v>
      </c>
      <c r="E38" s="362">
        <f>-1*IncomeStatement!AE32</f>
        <v>-1176800948.8445408</v>
      </c>
      <c r="F38" s="255">
        <f>IncomeStatement!AE19</f>
        <v>0</v>
      </c>
      <c r="G38" s="233">
        <f t="shared" si="4"/>
        <v>4172294273.1760998</v>
      </c>
      <c r="I38" s="233">
        <f t="shared" si="0"/>
        <v>4172294273.1760998</v>
      </c>
      <c r="K38" s="240">
        <f t="shared" si="1"/>
        <v>3.7383274745506546E-2</v>
      </c>
      <c r="L38" s="233">
        <f t="shared" si="13"/>
        <v>155974023.13324568</v>
      </c>
      <c r="M38" s="233">
        <f t="shared" si="14"/>
        <v>16446410784.557869</v>
      </c>
      <c r="O38" s="240">
        <f t="shared" si="2"/>
        <v>1.5825932114121107E-9</v>
      </c>
      <c r="P38" s="233">
        <f t="shared" si="6"/>
        <v>6.6030445927421217</v>
      </c>
      <c r="Q38" s="233">
        <f t="shared" si="11"/>
        <v>-3.3496678944519589</v>
      </c>
      <c r="S38" s="191">
        <f t="shared" si="3"/>
        <v>155974023.13324568</v>
      </c>
      <c r="T38" s="191">
        <f t="shared" si="7"/>
        <v>0</v>
      </c>
      <c r="X38" s="368">
        <f t="shared" si="15"/>
        <v>1.1200000000000001</v>
      </c>
      <c r="Y38" s="245">
        <f t="shared" si="8"/>
        <v>4672969585.9572325</v>
      </c>
    </row>
    <row r="39" spans="1:25" ht="10.5" customHeight="1" x14ac:dyDescent="0.2">
      <c r="B39" s="239">
        <f t="shared" si="9"/>
        <v>30</v>
      </c>
      <c r="D39" s="256">
        <f>IncomeStatement!AF29</f>
        <v>5457677126.4610519</v>
      </c>
      <c r="E39" s="362">
        <f>-1*IncomeStatement!AF32</f>
        <v>-1200688967.8214314</v>
      </c>
      <c r="F39" s="255">
        <f>IncomeStatement!AF19</f>
        <v>0</v>
      </c>
      <c r="G39" s="233">
        <f t="shared" si="4"/>
        <v>4256988158.6396208</v>
      </c>
      <c r="I39" s="233">
        <f t="shared" si="0"/>
        <v>4256988158.6396208</v>
      </c>
      <c r="K39" s="240">
        <f>1/(1+$L$6)^B39</f>
        <v>3.3377923879916553E-2</v>
      </c>
      <c r="L39" s="233">
        <f t="shared" si="13"/>
        <v>142089426.71677938</v>
      </c>
      <c r="M39" s="233">
        <f t="shared" si="14"/>
        <v>16588500211.274649</v>
      </c>
      <c r="O39" s="240">
        <f t="shared" si="2"/>
        <v>7.8686327169954896E-10</v>
      </c>
      <c r="P39" s="233">
        <f t="shared" si="6"/>
        <v>3.3496676300934105</v>
      </c>
      <c r="Q39" s="233">
        <f t="shared" si="11"/>
        <v>-2.6435854838524619E-7</v>
      </c>
      <c r="S39" s="191">
        <f t="shared" si="3"/>
        <v>142089426.71677938</v>
      </c>
      <c r="T39" s="191">
        <f t="shared" si="7"/>
        <v>0</v>
      </c>
      <c r="X39" s="368">
        <f>(1+$L$6)^($B$39-B39)</f>
        <v>1</v>
      </c>
      <c r="Y39" s="245">
        <f>X39*G39</f>
        <v>4256988158.6396208</v>
      </c>
    </row>
    <row r="40" spans="1:25" ht="10.5" customHeight="1" x14ac:dyDescent="0.25">
      <c r="A40" s="243"/>
      <c r="B40" s="243"/>
      <c r="C40" s="243"/>
      <c r="D40" s="243"/>
      <c r="E40" s="243"/>
      <c r="F40" s="243" t="s">
        <v>656</v>
      </c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184"/>
      <c r="S40" s="244"/>
      <c r="T40" s="244"/>
      <c r="U40" s="244"/>
      <c r="V40" s="244"/>
      <c r="W40" s="244"/>
      <c r="X40" s="244"/>
      <c r="Y40" s="244"/>
    </row>
    <row r="42" spans="1:25" ht="10.5" customHeight="1" x14ac:dyDescent="0.25">
      <c r="D42" s="246" t="s">
        <v>180</v>
      </c>
      <c r="I42" s="367" t="s">
        <v>665</v>
      </c>
      <c r="P42" s="194" t="s">
        <v>673</v>
      </c>
    </row>
    <row r="43" spans="1:25" ht="10.5" customHeight="1" x14ac:dyDescent="0.2">
      <c r="D43" s="247" t="s">
        <v>681</v>
      </c>
      <c r="F43" s="248">
        <f>Assumption!B28</f>
        <v>12</v>
      </c>
      <c r="G43" s="216" t="s">
        <v>62</v>
      </c>
      <c r="I43" s="187" t="s">
        <v>666</v>
      </c>
      <c r="M43" s="440">
        <f>-1*W9</f>
        <v>950000000</v>
      </c>
      <c r="N43" s="180" t="s">
        <v>387</v>
      </c>
      <c r="P43" s="180" t="s">
        <v>674</v>
      </c>
      <c r="V43" s="364">
        <f>B10</f>
        <v>1</v>
      </c>
      <c r="W43" s="180" t="s">
        <v>542</v>
      </c>
    </row>
    <row r="44" spans="1:25" ht="10.5" customHeight="1" x14ac:dyDescent="0.2">
      <c r="A44" s="361" t="s">
        <v>657</v>
      </c>
      <c r="D44" s="247" t="s">
        <v>266</v>
      </c>
      <c r="F44" s="249">
        <f>-1*H9</f>
        <v>950000000</v>
      </c>
      <c r="G44" s="216" t="s">
        <v>387</v>
      </c>
      <c r="I44" s="187" t="s">
        <v>667</v>
      </c>
      <c r="M44" s="364">
        <f>SUM(Y10:Y39)</f>
        <v>525452100447.37207</v>
      </c>
      <c r="N44" s="180" t="s">
        <v>387</v>
      </c>
      <c r="P44" s="180" t="s">
        <v>675</v>
      </c>
      <c r="V44" s="364">
        <f>M10</f>
        <v>-336600775.29371464</v>
      </c>
      <c r="W44" s="180" t="s">
        <v>387</v>
      </c>
    </row>
    <row r="45" spans="1:25" ht="10.5" customHeight="1" x14ac:dyDescent="0.2">
      <c r="A45" s="180"/>
      <c r="D45" s="245" t="s">
        <v>78</v>
      </c>
      <c r="F45" s="250">
        <f>NPV(12%,I10:I39)-F44</f>
        <v>16588500211.274647</v>
      </c>
      <c r="G45" s="216" t="s">
        <v>387</v>
      </c>
      <c r="I45" s="187" t="s">
        <v>668</v>
      </c>
      <c r="M45" s="441">
        <f>L6*100</f>
        <v>12</v>
      </c>
      <c r="N45" s="180" t="s">
        <v>60</v>
      </c>
      <c r="P45" s="180" t="s">
        <v>676</v>
      </c>
      <c r="V45" s="364">
        <f>L11</f>
        <v>785679295.20444894</v>
      </c>
      <c r="W45" s="180" t="s">
        <v>387</v>
      </c>
    </row>
    <row r="46" spans="1:25" ht="10.5" customHeight="1" x14ac:dyDescent="0.2">
      <c r="A46" s="180"/>
      <c r="D46" s="247" t="s">
        <v>178</v>
      </c>
      <c r="F46" s="251">
        <f>Q6*100</f>
        <v>101.12683719420036</v>
      </c>
      <c r="G46" s="216" t="s">
        <v>60</v>
      </c>
      <c r="I46" s="187" t="s">
        <v>669</v>
      </c>
      <c r="M46" s="441">
        <f>B39</f>
        <v>30</v>
      </c>
      <c r="N46" s="180" t="s">
        <v>542</v>
      </c>
      <c r="P46" s="180" t="s">
        <v>677</v>
      </c>
      <c r="V46" s="370">
        <f>V43-(V44/V45)</f>
        <v>1.4284200657293948</v>
      </c>
      <c r="W46" s="180" t="s">
        <v>542</v>
      </c>
    </row>
    <row r="47" spans="1:25" ht="10.5" customHeight="1" x14ac:dyDescent="0.25">
      <c r="A47" s="180"/>
      <c r="D47" s="182" t="s">
        <v>682</v>
      </c>
      <c r="F47" s="363">
        <f>M47</f>
        <v>23.431777804241282</v>
      </c>
      <c r="G47" s="180" t="s">
        <v>60</v>
      </c>
      <c r="I47" s="187" t="s">
        <v>815</v>
      </c>
      <c r="M47" s="441">
        <f>100*((M44/M43)^(1/M46)-1)</f>
        <v>23.431777804241282</v>
      </c>
      <c r="N47" s="180" t="s">
        <v>60</v>
      </c>
    </row>
    <row r="48" spans="1:25" ht="10.5" customHeight="1" x14ac:dyDescent="0.2">
      <c r="A48" s="180"/>
      <c r="D48" s="247" t="s">
        <v>79</v>
      </c>
      <c r="F48" s="251">
        <f>M52</f>
        <v>18.461579169762789</v>
      </c>
      <c r="G48" s="216"/>
      <c r="P48" s="246" t="s">
        <v>262</v>
      </c>
    </row>
    <row r="49" spans="1:24" ht="10.5" customHeight="1" x14ac:dyDescent="0.25">
      <c r="A49" s="180"/>
      <c r="D49" s="247" t="s">
        <v>179</v>
      </c>
      <c r="F49" s="251">
        <f>V46</f>
        <v>1.4284200657293948</v>
      </c>
      <c r="G49" s="245" t="s">
        <v>974</v>
      </c>
      <c r="I49" s="367" t="s">
        <v>678</v>
      </c>
      <c r="P49" s="247" t="s">
        <v>821</v>
      </c>
      <c r="S49" s="441">
        <f>IncomeStatement!AH41*100</f>
        <v>57.576296242363867</v>
      </c>
      <c r="T49" s="180" t="s">
        <v>60</v>
      </c>
    </row>
    <row r="50" spans="1:24" ht="10.5" customHeight="1" x14ac:dyDescent="0.25">
      <c r="A50" s="180"/>
      <c r="E50" s="187"/>
      <c r="F50" s="187"/>
      <c r="G50" s="182" t="s">
        <v>975</v>
      </c>
      <c r="I50" s="187" t="s">
        <v>679</v>
      </c>
      <c r="M50" s="364">
        <f>SUM(S10:S39)</f>
        <v>17538500211.274651</v>
      </c>
      <c r="N50" s="180" t="s">
        <v>387</v>
      </c>
      <c r="P50" s="247" t="s">
        <v>822</v>
      </c>
      <c r="S50" s="441">
        <f>IncomeStatement!AH42*100</f>
        <v>36.163925141413813</v>
      </c>
      <c r="T50" s="180" t="s">
        <v>60</v>
      </c>
    </row>
    <row r="51" spans="1:24" ht="10.5" customHeight="1" x14ac:dyDescent="0.25">
      <c r="E51" s="187"/>
      <c r="F51" s="187"/>
      <c r="I51" s="187" t="s">
        <v>680</v>
      </c>
      <c r="M51" s="364">
        <f>SUM(T9:T39)</f>
        <v>950000000</v>
      </c>
      <c r="N51" s="180" t="s">
        <v>387</v>
      </c>
      <c r="P51" s="247"/>
      <c r="R51" s="442"/>
      <c r="S51" s="247"/>
    </row>
    <row r="52" spans="1:24" ht="10.5" customHeight="1" x14ac:dyDescent="0.2">
      <c r="E52" s="187"/>
      <c r="F52" s="668">
        <f>IRR(L9:L39)</f>
        <v>0.79577533209107454</v>
      </c>
      <c r="G52" s="669"/>
      <c r="I52" s="187" t="s">
        <v>79</v>
      </c>
      <c r="M52" s="441">
        <f>M50/M51</f>
        <v>18.461579169762789</v>
      </c>
      <c r="P52" s="246"/>
      <c r="S52" s="443"/>
      <c r="T52" s="198"/>
    </row>
    <row r="53" spans="1:24" ht="10.5" customHeight="1" x14ac:dyDescent="0.25">
      <c r="E53" s="187"/>
      <c r="F53" s="187">
        <f>NPV(12%,L9:L19)-H9</f>
        <v>4738591373.4911785</v>
      </c>
      <c r="Q53" s="253"/>
      <c r="R53" s="247"/>
    </row>
    <row r="54" spans="1:24" ht="10.5" customHeight="1" x14ac:dyDescent="0.25">
      <c r="A54" s="180"/>
      <c r="B54" s="180"/>
      <c r="E54" s="187"/>
      <c r="F54" s="187"/>
      <c r="G54" s="364">
        <f>SUM(L9:L19)</f>
        <v>8662745748.5691719</v>
      </c>
      <c r="I54" s="187"/>
      <c r="O54" s="247"/>
      <c r="Q54" s="252"/>
      <c r="R54" s="214"/>
    </row>
    <row r="55" spans="1:24" ht="10.5" customHeight="1" x14ac:dyDescent="0.25">
      <c r="A55" s="180"/>
      <c r="B55" s="180"/>
      <c r="C55" s="247"/>
      <c r="E55" s="187"/>
      <c r="F55" s="187"/>
      <c r="I55" s="667">
        <f>IRR(L9:L19)</f>
        <v>0.79375862424715526</v>
      </c>
      <c r="O55" s="247"/>
      <c r="Q55" s="252"/>
      <c r="R55" s="214"/>
    </row>
    <row r="56" spans="1:24" ht="10.5" customHeight="1" x14ac:dyDescent="0.2">
      <c r="A56" s="180"/>
      <c r="B56" s="180"/>
      <c r="C56" s="247"/>
      <c r="E56" s="187"/>
      <c r="F56" s="187">
        <f>NPV(12%,M9:M19)-F44</f>
        <v>13657416164.272516</v>
      </c>
      <c r="I56" s="668">
        <f>MIRR(I9:I19,12%,12%)</f>
        <v>0.41166097104420696</v>
      </c>
      <c r="O56" s="247"/>
      <c r="Q56" s="254"/>
      <c r="R56" s="198"/>
    </row>
    <row r="57" spans="1:24" ht="10.5" customHeight="1" x14ac:dyDescent="0.25">
      <c r="A57" s="180"/>
      <c r="B57" s="180"/>
      <c r="C57" s="247"/>
    </row>
    <row r="58" spans="1:24" ht="10.5" customHeight="1" x14ac:dyDescent="0.25">
      <c r="A58" s="180"/>
      <c r="B58" s="180"/>
      <c r="C58" s="247"/>
      <c r="J58" s="230"/>
      <c r="K58" s="671"/>
      <c r="L58" s="230"/>
      <c r="M58" s="230"/>
      <c r="N58" s="672"/>
      <c r="O58" s="230"/>
      <c r="P58" s="230"/>
      <c r="Q58" s="671"/>
      <c r="R58" s="230"/>
      <c r="S58" s="673"/>
      <c r="T58" s="230"/>
      <c r="U58" s="230"/>
      <c r="V58" s="230"/>
      <c r="W58" s="230"/>
      <c r="X58" s="230"/>
    </row>
    <row r="59" spans="1:24" ht="10.5" customHeight="1" x14ac:dyDescent="0.25">
      <c r="A59" s="180"/>
      <c r="B59" s="180"/>
      <c r="C59" s="247"/>
      <c r="J59" s="230"/>
      <c r="K59" s="671"/>
      <c r="L59" s="230"/>
      <c r="M59" s="230"/>
      <c r="N59" s="672"/>
      <c r="O59" s="230"/>
      <c r="P59" s="230"/>
      <c r="Q59" s="671"/>
      <c r="R59" s="230"/>
      <c r="S59" s="674"/>
      <c r="T59" s="672"/>
      <c r="U59" s="672"/>
      <c r="V59" s="672"/>
      <c r="W59" s="672"/>
      <c r="X59" s="230"/>
    </row>
    <row r="60" spans="1:24" ht="10.5" customHeight="1" x14ac:dyDescent="0.25">
      <c r="A60" s="180"/>
      <c r="B60" s="180"/>
      <c r="C60" s="214"/>
      <c r="J60" s="230"/>
      <c r="K60" s="671"/>
      <c r="L60" s="230"/>
      <c r="M60" s="230"/>
      <c r="N60" s="672"/>
      <c r="O60" s="230"/>
      <c r="P60" s="230"/>
      <c r="Q60" s="671"/>
      <c r="R60" s="230"/>
      <c r="S60" s="673"/>
      <c r="T60" s="672"/>
      <c r="U60" s="672"/>
      <c r="V60" s="672"/>
      <c r="W60" s="672"/>
      <c r="X60" s="230"/>
    </row>
    <row r="61" spans="1:24" ht="10.5" customHeight="1" x14ac:dyDescent="0.25">
      <c r="A61" s="180"/>
      <c r="B61" s="180"/>
      <c r="C61" s="214"/>
      <c r="J61" s="230"/>
      <c r="K61" s="671"/>
      <c r="L61" s="230"/>
      <c r="M61" s="230"/>
      <c r="N61" s="672"/>
      <c r="O61" s="230"/>
      <c r="P61" s="230"/>
      <c r="Q61" s="671"/>
      <c r="R61" s="230"/>
      <c r="S61" s="674"/>
      <c r="T61" s="672"/>
      <c r="U61" s="672"/>
      <c r="V61" s="672"/>
      <c r="W61" s="672"/>
      <c r="X61" s="230"/>
    </row>
    <row r="62" spans="1:24" ht="10.5" customHeight="1" x14ac:dyDescent="0.25">
      <c r="A62" s="180"/>
      <c r="B62" s="180"/>
      <c r="J62" s="230"/>
      <c r="K62" s="671"/>
      <c r="L62" s="230"/>
      <c r="M62" s="230"/>
      <c r="N62" s="672"/>
      <c r="O62" s="230"/>
      <c r="P62" s="230"/>
      <c r="Q62" s="671"/>
      <c r="R62" s="230"/>
      <c r="S62" s="673"/>
      <c r="T62" s="672"/>
      <c r="U62" s="672"/>
      <c r="V62" s="672"/>
      <c r="W62" s="672"/>
      <c r="X62" s="230"/>
    </row>
    <row r="63" spans="1:24" ht="10.5" customHeight="1" x14ac:dyDescent="0.25">
      <c r="J63" s="230"/>
      <c r="K63" s="671"/>
      <c r="L63" s="230"/>
      <c r="M63" s="230"/>
      <c r="N63" s="672"/>
      <c r="O63" s="230"/>
      <c r="P63" s="230"/>
      <c r="Q63" s="671"/>
      <c r="R63" s="230"/>
      <c r="S63" s="674"/>
      <c r="T63" s="672"/>
      <c r="U63" s="672"/>
      <c r="V63" s="672"/>
      <c r="W63" s="672"/>
      <c r="X63" s="230"/>
    </row>
    <row r="64" spans="1:24" ht="10.5" customHeight="1" x14ac:dyDescent="0.25">
      <c r="A64" s="180"/>
      <c r="J64" s="230"/>
      <c r="K64" s="671"/>
      <c r="L64" s="230"/>
      <c r="M64" s="230"/>
      <c r="N64" s="672"/>
      <c r="O64" s="230"/>
      <c r="P64" s="230"/>
      <c r="Q64" s="671"/>
      <c r="R64" s="230"/>
      <c r="S64" s="673"/>
      <c r="T64" s="672"/>
      <c r="U64" s="672"/>
      <c r="V64" s="672"/>
      <c r="W64" s="672"/>
      <c r="X64" s="230"/>
    </row>
    <row r="65" spans="10:24" ht="10.5" customHeight="1" x14ac:dyDescent="0.25">
      <c r="J65" s="230"/>
      <c r="K65" s="230"/>
      <c r="L65" s="230"/>
      <c r="M65" s="230"/>
      <c r="N65" s="230"/>
      <c r="O65" s="230"/>
      <c r="P65" s="230"/>
      <c r="Q65" s="671"/>
      <c r="R65" s="230"/>
      <c r="S65" s="674"/>
      <c r="T65" s="672"/>
      <c r="U65" s="672"/>
      <c r="V65" s="672"/>
      <c r="W65" s="672"/>
      <c r="X65" s="230"/>
    </row>
    <row r="66" spans="10:24" ht="10.5" customHeight="1" x14ac:dyDescent="0.25">
      <c r="J66" s="230"/>
      <c r="K66" s="230"/>
      <c r="L66" s="230"/>
      <c r="M66" s="230"/>
      <c r="N66" s="230"/>
      <c r="O66" s="230"/>
      <c r="P66" s="230"/>
      <c r="Q66" s="671"/>
      <c r="R66" s="230"/>
      <c r="S66" s="673"/>
      <c r="T66" s="672"/>
      <c r="U66" s="672"/>
      <c r="V66" s="672"/>
      <c r="W66" s="672"/>
      <c r="X66" s="230"/>
    </row>
    <row r="67" spans="10:24" ht="10.5" customHeight="1" x14ac:dyDescent="0.25">
      <c r="J67" s="230"/>
      <c r="K67" s="230"/>
      <c r="L67" s="230"/>
      <c r="M67" s="230"/>
      <c r="N67" s="230"/>
      <c r="O67" s="230"/>
      <c r="P67" s="230"/>
      <c r="Q67" s="230"/>
      <c r="R67" s="230"/>
      <c r="S67" s="673"/>
      <c r="T67" s="230"/>
      <c r="U67" s="230"/>
      <c r="V67" s="230"/>
      <c r="W67" s="230"/>
      <c r="X67" s="230"/>
    </row>
    <row r="68" spans="10:24" ht="10.5" customHeight="1" x14ac:dyDescent="0.25">
      <c r="J68" s="230"/>
      <c r="K68" s="671"/>
      <c r="L68" s="230"/>
      <c r="M68" s="230"/>
      <c r="N68" s="230"/>
      <c r="O68" s="230"/>
      <c r="P68" s="230"/>
      <c r="Q68" s="671"/>
      <c r="R68" s="230"/>
      <c r="S68" s="230"/>
      <c r="T68" s="230"/>
      <c r="U68" s="230"/>
      <c r="V68" s="230"/>
      <c r="W68" s="230"/>
      <c r="X68" s="230"/>
    </row>
    <row r="69" spans="10:24" ht="10.5" customHeight="1" x14ac:dyDescent="0.25">
      <c r="J69" s="230"/>
      <c r="K69" s="671"/>
      <c r="L69" s="230"/>
      <c r="M69" s="230"/>
      <c r="N69" s="230"/>
      <c r="O69" s="230"/>
      <c r="P69" s="230"/>
      <c r="Q69" s="671"/>
      <c r="R69" s="230"/>
      <c r="S69" s="230"/>
      <c r="T69" s="230"/>
      <c r="U69" s="230"/>
      <c r="V69" s="230"/>
      <c r="W69" s="230"/>
      <c r="X69" s="230"/>
    </row>
    <row r="70" spans="10:24" ht="10.5" customHeight="1" x14ac:dyDescent="0.25">
      <c r="J70" s="230"/>
      <c r="K70" s="671"/>
      <c r="L70" s="230"/>
      <c r="M70" s="230"/>
      <c r="N70" s="230"/>
      <c r="O70" s="230"/>
      <c r="P70" s="230"/>
      <c r="Q70" s="671"/>
      <c r="R70" s="230"/>
      <c r="S70" s="230"/>
      <c r="T70" s="230"/>
      <c r="U70" s="230"/>
      <c r="V70" s="230"/>
      <c r="W70" s="230"/>
      <c r="X70" s="230"/>
    </row>
    <row r="71" spans="10:24" ht="10.5" customHeight="1" x14ac:dyDescent="0.25">
      <c r="J71" s="230"/>
      <c r="K71" s="671"/>
      <c r="L71" s="230"/>
      <c r="M71" s="230"/>
      <c r="N71" s="230"/>
      <c r="O71" s="230"/>
      <c r="P71" s="230"/>
      <c r="Q71" s="671"/>
      <c r="R71" s="230"/>
      <c r="S71" s="230"/>
      <c r="T71" s="230"/>
      <c r="U71" s="230"/>
      <c r="V71" s="230"/>
      <c r="W71" s="230"/>
      <c r="X71" s="230"/>
    </row>
    <row r="72" spans="10:24" ht="10.5" customHeight="1" x14ac:dyDescent="0.25">
      <c r="J72" s="230"/>
      <c r="K72" s="671"/>
      <c r="L72" s="230"/>
      <c r="M72" s="230"/>
      <c r="N72" s="230"/>
      <c r="O72" s="230"/>
      <c r="P72" s="230"/>
      <c r="Q72" s="671"/>
      <c r="R72" s="230"/>
      <c r="S72" s="230"/>
      <c r="T72" s="230"/>
      <c r="U72" s="230"/>
      <c r="V72" s="230"/>
      <c r="W72" s="230"/>
      <c r="X72" s="230"/>
    </row>
    <row r="73" spans="10:24" ht="10.5" customHeight="1" x14ac:dyDescent="0.25">
      <c r="J73" s="230"/>
      <c r="K73" s="671"/>
      <c r="L73" s="230"/>
      <c r="M73" s="230"/>
      <c r="N73" s="230"/>
      <c r="O73" s="230"/>
      <c r="P73" s="230"/>
      <c r="Q73" s="671"/>
      <c r="R73" s="230"/>
      <c r="S73" s="230"/>
      <c r="T73" s="230"/>
      <c r="U73" s="230"/>
      <c r="V73" s="230"/>
      <c r="W73" s="230"/>
      <c r="X73" s="230"/>
    </row>
    <row r="74" spans="10:24" ht="10.5" customHeight="1" x14ac:dyDescent="0.25">
      <c r="J74" s="230"/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V74" s="230"/>
      <c r="W74" s="230"/>
      <c r="X74" s="230"/>
    </row>
    <row r="75" spans="10:24" ht="10.5" customHeight="1" x14ac:dyDescent="0.25"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V75" s="230"/>
      <c r="W75" s="230"/>
      <c r="X75" s="230"/>
    </row>
    <row r="76" spans="10:24" ht="10.5" customHeight="1" x14ac:dyDescent="0.25">
      <c r="J76" s="230"/>
      <c r="K76" s="230"/>
      <c r="L76" s="230"/>
      <c r="M76" s="230"/>
      <c r="N76" s="230"/>
      <c r="O76" s="230"/>
      <c r="P76" s="230"/>
      <c r="Q76" s="230"/>
      <c r="R76" s="230"/>
      <c r="S76" s="230"/>
      <c r="T76" s="230"/>
      <c r="U76" s="230"/>
      <c r="V76" s="230"/>
      <c r="W76" s="230"/>
      <c r="X76" s="230"/>
    </row>
  </sheetData>
  <mergeCells count="11">
    <mergeCell ref="V6:Y6"/>
    <mergeCell ref="S6:T6"/>
    <mergeCell ref="O6:P6"/>
    <mergeCell ref="A10:A19"/>
    <mergeCell ref="A6:B8"/>
    <mergeCell ref="I6:I7"/>
    <mergeCell ref="H6:H7"/>
    <mergeCell ref="D6:D7"/>
    <mergeCell ref="E6:E7"/>
    <mergeCell ref="F6:F7"/>
    <mergeCell ref="G6:G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"/>
  <sheetViews>
    <sheetView workbookViewId="0">
      <pane ySplit="4" topLeftCell="A65" activePane="bottomLeft" state="frozen"/>
      <selection pane="bottomLeft" activeCell="H77" sqref="H77"/>
    </sheetView>
  </sheetViews>
  <sheetFormatPr defaultColWidth="9" defaultRowHeight="11.25" x14ac:dyDescent="0.2"/>
  <cols>
    <col min="1" max="1" width="2.875" style="169" customWidth="1"/>
    <col min="2" max="2" width="18.375" style="169" customWidth="1"/>
    <col min="3" max="3" width="11.625" style="169" bestFit="1" customWidth="1"/>
    <col min="4" max="4" width="18.625" style="169" bestFit="1" customWidth="1"/>
    <col min="5" max="5" width="16" style="169" bestFit="1" customWidth="1"/>
    <col min="6" max="6" width="17.375" style="169" bestFit="1" customWidth="1"/>
    <col min="7" max="7" width="21.25" style="169" bestFit="1" customWidth="1"/>
    <col min="8" max="8" width="6.125" style="169" customWidth="1"/>
    <col min="9" max="9" width="4.25" style="169" bestFit="1" customWidth="1"/>
    <col min="10" max="11" width="13.5" style="169" bestFit="1" customWidth="1"/>
    <col min="12" max="14" width="13.5" style="169" customWidth="1"/>
    <col min="15" max="15" width="13.5" style="169" bestFit="1" customWidth="1"/>
    <col min="16" max="16" width="13.5" style="169" customWidth="1"/>
    <col min="17" max="17" width="13.5" style="169" bestFit="1" customWidth="1"/>
    <col min="18" max="18" width="13.5" style="169" customWidth="1"/>
    <col min="19" max="19" width="13.5" style="169" bestFit="1" customWidth="1"/>
    <col min="20" max="23" width="13.5" style="169" customWidth="1"/>
    <col min="24" max="24" width="13.5" style="169" bestFit="1" customWidth="1"/>
    <col min="25" max="26" width="8.625" style="169" customWidth="1"/>
    <col min="27" max="27" width="13.5" style="169" customWidth="1"/>
    <col min="28" max="28" width="13.75" style="169" customWidth="1"/>
    <col min="29" max="31" width="13.75" style="169" bestFit="1" customWidth="1"/>
    <col min="32" max="16384" width="9" style="169"/>
  </cols>
  <sheetData>
    <row r="1" spans="1:9" x14ac:dyDescent="0.2">
      <c r="A1" s="168" t="str">
        <f>'ProjectValuation(JO)'!A1</f>
        <v>Bisnis Penyewaan INTEGRATED COLD STORAGE - Revitalitation</v>
      </c>
    </row>
    <row r="2" spans="1:9" x14ac:dyDescent="0.2">
      <c r="A2" s="168" t="str">
        <f>[1]Assumption!A2</f>
        <v>Financial Pre-Feasibility Study</v>
      </c>
    </row>
    <row r="3" spans="1:9" x14ac:dyDescent="0.2">
      <c r="A3" s="231" t="s">
        <v>598</v>
      </c>
      <c r="F3" s="170"/>
    </row>
    <row r="4" spans="1:9" x14ac:dyDescent="0.2">
      <c r="F4" s="170"/>
    </row>
    <row r="6" spans="1:9" x14ac:dyDescent="0.2">
      <c r="A6" s="171" t="s">
        <v>532</v>
      </c>
      <c r="B6" s="176" t="s">
        <v>533</v>
      </c>
      <c r="C6" s="176"/>
      <c r="D6" s="176"/>
    </row>
    <row r="7" spans="1:9" x14ac:dyDescent="0.2">
      <c r="B7" s="176"/>
      <c r="C7" s="176"/>
      <c r="D7" s="176"/>
    </row>
    <row r="8" spans="1:9" x14ac:dyDescent="0.2">
      <c r="B8" s="298" t="s">
        <v>823</v>
      </c>
      <c r="C8" s="169" t="s">
        <v>832</v>
      </c>
      <c r="D8" s="554">
        <v>130</v>
      </c>
      <c r="I8" s="556">
        <f>Assumption!B9/1000</f>
        <v>130</v>
      </c>
    </row>
    <row r="9" spans="1:9" x14ac:dyDescent="0.2">
      <c r="B9" s="298"/>
      <c r="C9" s="169" t="s">
        <v>876</v>
      </c>
      <c r="D9" s="554">
        <v>5</v>
      </c>
      <c r="I9" s="556">
        <f>I8/24</f>
        <v>5.416666666666667</v>
      </c>
    </row>
    <row r="10" spans="1:9" x14ac:dyDescent="0.2">
      <c r="B10" s="298" t="s">
        <v>824</v>
      </c>
      <c r="C10" s="169" t="s">
        <v>371</v>
      </c>
      <c r="D10" s="172">
        <v>2600</v>
      </c>
      <c r="I10" s="173">
        <f>Assumption!B13</f>
        <v>2600</v>
      </c>
    </row>
    <row r="11" spans="1:9" x14ac:dyDescent="0.2">
      <c r="B11" s="298" t="s">
        <v>1038</v>
      </c>
      <c r="C11" s="169" t="s">
        <v>831</v>
      </c>
      <c r="D11" s="172">
        <v>300</v>
      </c>
      <c r="I11" s="173">
        <f>Assumption!B20/10^6</f>
        <v>600</v>
      </c>
    </row>
    <row r="12" spans="1:9" x14ac:dyDescent="0.2">
      <c r="B12" s="298" t="s">
        <v>830</v>
      </c>
      <c r="C12" s="169" t="s">
        <v>831</v>
      </c>
      <c r="D12" s="172">
        <v>350</v>
      </c>
      <c r="I12" s="173">
        <f>Assumption!B21/10^6</f>
        <v>350</v>
      </c>
    </row>
    <row r="13" spans="1:9" x14ac:dyDescent="0.2">
      <c r="B13" s="298" t="s">
        <v>534</v>
      </c>
      <c r="D13" s="167"/>
      <c r="I13" s="174"/>
    </row>
    <row r="14" spans="1:9" x14ac:dyDescent="0.2">
      <c r="B14" s="171" t="s">
        <v>535</v>
      </c>
      <c r="C14" s="169" t="s">
        <v>831</v>
      </c>
      <c r="D14" s="172">
        <v>1357.8669445501812</v>
      </c>
      <c r="E14" s="174"/>
      <c r="F14" s="174"/>
      <c r="G14" s="174"/>
      <c r="H14" s="174"/>
      <c r="I14" s="173">
        <f>'ProjectValuation(JO)'!F45/1000</f>
        <v>16588500.211274646</v>
      </c>
    </row>
    <row r="15" spans="1:9" x14ac:dyDescent="0.2">
      <c r="B15" s="171" t="s">
        <v>536</v>
      </c>
      <c r="C15" s="169" t="s">
        <v>60</v>
      </c>
      <c r="D15" s="178">
        <v>56.236778403771773</v>
      </c>
      <c r="I15" s="175">
        <f>'ProjectValuation(JO)'!F46</f>
        <v>101.12683719420036</v>
      </c>
    </row>
    <row r="16" spans="1:9" x14ac:dyDescent="0.2">
      <c r="B16" s="171" t="s">
        <v>684</v>
      </c>
      <c r="C16" s="169" t="s">
        <v>60</v>
      </c>
      <c r="D16" s="178">
        <v>24.976368260044168</v>
      </c>
      <c r="I16" s="175">
        <f>'ProjectValuation(JO)'!F47</f>
        <v>23.431777804241282</v>
      </c>
    </row>
    <row r="17" spans="1:31" x14ac:dyDescent="0.2">
      <c r="B17" s="171" t="s">
        <v>537</v>
      </c>
      <c r="D17" s="178">
        <v>2.9818832113958837</v>
      </c>
      <c r="I17" s="175">
        <f>'ProjectValuation(JO)'!F48</f>
        <v>18.461579169762789</v>
      </c>
    </row>
    <row r="18" spans="1:31" x14ac:dyDescent="0.2">
      <c r="B18" s="171" t="s">
        <v>538</v>
      </c>
      <c r="C18" s="169" t="s">
        <v>571</v>
      </c>
      <c r="D18" s="178">
        <v>2.1546124858449778</v>
      </c>
      <c r="I18" s="175">
        <f>'ProjectValuation(JO)'!F49</f>
        <v>1.4284200657293948</v>
      </c>
    </row>
    <row r="19" spans="1:31" x14ac:dyDescent="0.2">
      <c r="B19" s="171" t="s">
        <v>539</v>
      </c>
      <c r="C19" s="169" t="s">
        <v>60</v>
      </c>
      <c r="D19" s="178">
        <v>28.205785345566902</v>
      </c>
      <c r="I19" s="175">
        <f>'ProjectValuation(JO)'!S49</f>
        <v>57.576296242363867</v>
      </c>
    </row>
    <row r="20" spans="1:31" x14ac:dyDescent="0.2">
      <c r="B20" s="171" t="s">
        <v>540</v>
      </c>
      <c r="C20" s="169" t="s">
        <v>60</v>
      </c>
      <c r="D20" s="178">
        <v>8.8059292362088488</v>
      </c>
      <c r="I20" s="175">
        <f>'ProjectValuation(JO)'!S50</f>
        <v>36.163925141413813</v>
      </c>
    </row>
    <row r="22" spans="1:31" ht="12" thickBot="1" x14ac:dyDescent="0.25"/>
    <row r="23" spans="1:31" ht="16.5" thickBot="1" x14ac:dyDescent="0.3">
      <c r="A23" s="171" t="s">
        <v>825</v>
      </c>
      <c r="B23" s="176" t="s">
        <v>1013</v>
      </c>
      <c r="C23" s="176"/>
      <c r="D23" s="553" t="s">
        <v>1014</v>
      </c>
      <c r="E23" s="553" t="s">
        <v>879</v>
      </c>
      <c r="F23" s="553" t="s">
        <v>1039</v>
      </c>
      <c r="Y23" s="700" t="s">
        <v>1073</v>
      </c>
      <c r="Z23" s="701"/>
      <c r="AA23" s="701"/>
      <c r="AB23" s="701"/>
      <c r="AC23" s="701"/>
      <c r="AD23" s="701"/>
      <c r="AE23" s="702"/>
    </row>
    <row r="24" spans="1:31" ht="16.5" thickBot="1" x14ac:dyDescent="0.3">
      <c r="B24" s="176"/>
      <c r="C24" s="176"/>
      <c r="D24" s="553" t="s">
        <v>827</v>
      </c>
      <c r="E24" s="553" t="s">
        <v>827</v>
      </c>
      <c r="F24" s="553" t="s">
        <v>1040</v>
      </c>
      <c r="Y24" s="706" t="s">
        <v>1074</v>
      </c>
      <c r="Z24" s="707"/>
      <c r="AA24" s="707"/>
      <c r="AB24" s="707"/>
      <c r="AC24" s="707"/>
      <c r="AD24" s="707"/>
      <c r="AE24" s="708"/>
    </row>
    <row r="25" spans="1:31" ht="16.5" customHeight="1" thickBot="1" x14ac:dyDescent="0.3">
      <c r="B25" s="298" t="s">
        <v>823</v>
      </c>
      <c r="C25" s="169" t="s">
        <v>832</v>
      </c>
      <c r="D25" s="565">
        <v>70.25330625715884</v>
      </c>
      <c r="E25" s="554">
        <v>130</v>
      </c>
      <c r="F25" s="554">
        <v>130</v>
      </c>
      <c r="Y25" s="703" t="s">
        <v>1075</v>
      </c>
      <c r="Z25" s="595">
        <f>S32</f>
        <v>0</v>
      </c>
      <c r="AA25" s="596">
        <v>90000</v>
      </c>
      <c r="AB25" s="596">
        <v>110000</v>
      </c>
      <c r="AC25" s="597">
        <v>130000</v>
      </c>
      <c r="AD25" s="596">
        <v>150000</v>
      </c>
      <c r="AE25" s="598">
        <v>170000</v>
      </c>
    </row>
    <row r="26" spans="1:31" ht="16.5" customHeight="1" thickBot="1" x14ac:dyDescent="0.3">
      <c r="B26" s="298"/>
      <c r="C26" s="169" t="s">
        <v>876</v>
      </c>
      <c r="D26" s="554">
        <v>2.927221094048285</v>
      </c>
      <c r="E26" s="554">
        <v>5.416666666666667</v>
      </c>
      <c r="F26" s="554">
        <v>5.416666666666667</v>
      </c>
      <c r="J26" s="169">
        <v>100</v>
      </c>
      <c r="K26" s="169">
        <v>110</v>
      </c>
      <c r="O26" s="169">
        <v>120</v>
      </c>
      <c r="Q26" s="169">
        <v>130</v>
      </c>
      <c r="S26" s="169">
        <v>140</v>
      </c>
      <c r="X26" s="169">
        <v>150</v>
      </c>
      <c r="Y26" s="704"/>
      <c r="Z26" s="613">
        <f>Z27+100</f>
        <v>2800</v>
      </c>
      <c r="AA26" s="599">
        <f>AA25*Z26*12</f>
        <v>3024000000</v>
      </c>
      <c r="AB26" s="599">
        <f>AB25*Z26*12</f>
        <v>3696000000</v>
      </c>
      <c r="AC26" s="599">
        <f>AC25*Z26*12</f>
        <v>4368000000</v>
      </c>
      <c r="AD26" s="599">
        <f>AD25*Z26*12</f>
        <v>5040000000</v>
      </c>
      <c r="AE26" s="612">
        <f>AE25*Z26*12</f>
        <v>5712000000</v>
      </c>
    </row>
    <row r="27" spans="1:31" ht="16.5" thickBot="1" x14ac:dyDescent="0.3">
      <c r="B27" s="298" t="s">
        <v>824</v>
      </c>
      <c r="C27" s="169" t="s">
        <v>371</v>
      </c>
      <c r="D27" s="172">
        <v>2600</v>
      </c>
      <c r="E27" s="564">
        <v>1719.3747423334603</v>
      </c>
      <c r="F27" s="172">
        <v>2600</v>
      </c>
      <c r="Y27" s="704"/>
      <c r="Z27" s="614">
        <f>Z28+100</f>
        <v>2700</v>
      </c>
      <c r="AA27" s="599">
        <f>AA25*Z27*12</f>
        <v>2916000000</v>
      </c>
      <c r="AB27" s="601">
        <f>AB25*Z27*12</f>
        <v>3564000000</v>
      </c>
      <c r="AC27" s="602">
        <f>AC25*Z27*12</f>
        <v>4212000000</v>
      </c>
      <c r="AD27" s="603">
        <v>65245687.897</v>
      </c>
      <c r="AE27" s="600">
        <v>81682752.184</v>
      </c>
    </row>
    <row r="28" spans="1:31" ht="16.5" customHeight="1" thickBot="1" x14ac:dyDescent="0.3">
      <c r="B28" s="298" t="s">
        <v>1038</v>
      </c>
      <c r="D28" s="172">
        <v>300</v>
      </c>
      <c r="E28" s="172">
        <v>300</v>
      </c>
      <c r="F28" s="564">
        <v>10222.193833015262</v>
      </c>
      <c r="I28" s="169">
        <v>2500</v>
      </c>
      <c r="Y28" s="704"/>
      <c r="Z28" s="615">
        <v>2600</v>
      </c>
      <c r="AA28" s="599">
        <f>AA25*Z28*12</f>
        <v>2808000000</v>
      </c>
      <c r="AB28" s="604">
        <f>Z28*AB25*12</f>
        <v>3432000000</v>
      </c>
      <c r="AC28" s="605">
        <v>28343362.322999999</v>
      </c>
      <c r="AD28" s="606">
        <v>57188304.897</v>
      </c>
      <c r="AE28" s="600">
        <v>71610776.184</v>
      </c>
    </row>
    <row r="29" spans="1:31" ht="16.5" thickBot="1" x14ac:dyDescent="0.3">
      <c r="B29" s="298" t="s">
        <v>830</v>
      </c>
      <c r="C29" s="169" t="s">
        <v>831</v>
      </c>
      <c r="D29" s="172">
        <v>350</v>
      </c>
      <c r="E29" s="172">
        <v>350</v>
      </c>
      <c r="F29" s="172">
        <v>350</v>
      </c>
      <c r="I29" s="169">
        <v>2550</v>
      </c>
      <c r="Y29" s="704"/>
      <c r="Z29" s="614">
        <f>Z28-100</f>
        <v>2500</v>
      </c>
      <c r="AA29" s="599">
        <f>AA25*Z29*12</f>
        <v>2700000000</v>
      </c>
      <c r="AB29" s="607">
        <f>AB25*Z29*12</f>
        <v>3300000000</v>
      </c>
      <c r="AC29" s="608">
        <v>24315165.322999999</v>
      </c>
      <c r="AD29" s="609">
        <v>49130921.897</v>
      </c>
      <c r="AE29" s="600">
        <v>61538800.184</v>
      </c>
    </row>
    <row r="30" spans="1:31" ht="16.5" thickBot="1" x14ac:dyDescent="0.3">
      <c r="B30" s="298" t="s">
        <v>534</v>
      </c>
      <c r="D30" s="167"/>
      <c r="E30" s="167"/>
      <c r="F30" s="167"/>
      <c r="I30" s="169">
        <v>2600</v>
      </c>
      <c r="Q30" s="593">
        <v>585143000</v>
      </c>
      <c r="R30" s="593"/>
      <c r="Y30" s="705"/>
      <c r="Z30" s="616">
        <f>Z28-200</f>
        <v>2400</v>
      </c>
      <c r="AA30" s="610">
        <f>AA25*Z30*12</f>
        <v>2592000000</v>
      </c>
      <c r="AB30" s="610">
        <f>AB25*Z30*12</f>
        <v>3168000000</v>
      </c>
      <c r="AC30" s="610">
        <v>20286968.322999999</v>
      </c>
      <c r="AD30" s="610">
        <v>41073538.897</v>
      </c>
      <c r="AE30" s="611">
        <v>51466824.184</v>
      </c>
    </row>
    <row r="31" spans="1:31" ht="15.75" x14ac:dyDescent="0.25">
      <c r="B31" s="171" t="s">
        <v>535</v>
      </c>
      <c r="C31" s="169" t="s">
        <v>831</v>
      </c>
      <c r="D31" s="531">
        <v>-3.5506673157215118E-12</v>
      </c>
      <c r="E31" s="531">
        <v>-1.4551915228366853E-12</v>
      </c>
      <c r="F31" s="531">
        <v>-2.3283064365386963E-12</v>
      </c>
      <c r="I31" s="169">
        <v>2650</v>
      </c>
      <c r="Y31"/>
      <c r="Z31"/>
      <c r="AA31"/>
      <c r="AB31"/>
      <c r="AC31"/>
      <c r="AD31"/>
      <c r="AE31"/>
    </row>
    <row r="32" spans="1:31" x14ac:dyDescent="0.2">
      <c r="B32" s="171" t="s">
        <v>536</v>
      </c>
      <c r="C32" s="169" t="s">
        <v>60</v>
      </c>
      <c r="D32" s="178">
        <v>130.14307077379232</v>
      </c>
      <c r="E32" s="178">
        <v>130.14307077379232</v>
      </c>
      <c r="F32" s="178">
        <v>130.14307077379232</v>
      </c>
      <c r="I32" s="169">
        <v>2700</v>
      </c>
    </row>
    <row r="33" spans="1:31" x14ac:dyDescent="0.2">
      <c r="B33" s="171" t="s">
        <v>684</v>
      </c>
      <c r="C33" s="169" t="s">
        <v>60</v>
      </c>
      <c r="D33" s="178">
        <v>11.999999999999943</v>
      </c>
      <c r="E33" s="178">
        <v>11.999999999999989</v>
      </c>
      <c r="F33" s="178">
        <v>12.000000000000011</v>
      </c>
    </row>
    <row r="34" spans="1:31" x14ac:dyDescent="0.2">
      <c r="B34" s="171" t="s">
        <v>537</v>
      </c>
      <c r="D34" s="178">
        <v>0.89285714285713769</v>
      </c>
      <c r="E34" s="178">
        <v>0.89285714285714046</v>
      </c>
      <c r="F34" s="178">
        <v>0.89285714285714268</v>
      </c>
    </row>
    <row r="35" spans="1:31" ht="16.5" customHeight="1" x14ac:dyDescent="0.2">
      <c r="B35" s="171" t="s">
        <v>538</v>
      </c>
      <c r="C35" s="169" t="s">
        <v>571</v>
      </c>
      <c r="D35" s="178">
        <v>-3.3236964930543165</v>
      </c>
      <c r="E35" s="178">
        <v>-2.6593440176213825</v>
      </c>
      <c r="F35" s="178">
        <v>15.581969058259709</v>
      </c>
    </row>
    <row r="36" spans="1:31" ht="16.5" customHeight="1" x14ac:dyDescent="0.25">
      <c r="B36" s="171" t="s">
        <v>539</v>
      </c>
      <c r="C36" s="169" t="s">
        <v>60</v>
      </c>
      <c r="D36" s="178">
        <v>29.383917752356474</v>
      </c>
      <c r="E36" s="178">
        <v>25.254825413358027</v>
      </c>
      <c r="F36" s="178">
        <v>34.187082734131046</v>
      </c>
      <c r="Z36" s="617"/>
      <c r="AA36" s="617"/>
      <c r="AB36" s="599"/>
      <c r="AC36" s="599"/>
      <c r="AD36" s="599"/>
      <c r="AE36" s="599"/>
    </row>
    <row r="37" spans="1:31" ht="15.75" x14ac:dyDescent="0.25">
      <c r="B37" s="171" t="s">
        <v>540</v>
      </c>
      <c r="C37" s="169" t="s">
        <v>60</v>
      </c>
      <c r="D37" s="557">
        <v>6.5822081419871514</v>
      </c>
      <c r="E37" s="557">
        <v>6.1005735887911836</v>
      </c>
      <c r="F37" s="557">
        <v>17.476217950599967</v>
      </c>
      <c r="Z37" s="617"/>
      <c r="AA37" s="617"/>
      <c r="AB37" s="599"/>
      <c r="AC37" s="599"/>
      <c r="AD37" s="599"/>
      <c r="AE37" s="599"/>
    </row>
    <row r="38" spans="1:31" ht="16.5" customHeight="1" x14ac:dyDescent="0.25">
      <c r="B38" s="205"/>
      <c r="C38" s="205"/>
      <c r="D38" s="205"/>
      <c r="E38" s="205"/>
      <c r="F38" s="205"/>
      <c r="Z38" s="618"/>
      <c r="AA38" s="618"/>
      <c r="AB38" s="599"/>
      <c r="AC38" s="619"/>
      <c r="AD38" s="599"/>
      <c r="AE38" s="599"/>
    </row>
    <row r="39" spans="1:31" ht="15.75" x14ac:dyDescent="0.25">
      <c r="Z39" s="617"/>
      <c r="AA39" s="617"/>
      <c r="AB39" s="599"/>
      <c r="AC39" s="599"/>
      <c r="AD39" s="599"/>
      <c r="AE39" s="599"/>
    </row>
    <row r="40" spans="1:31" ht="15.75" x14ac:dyDescent="0.25">
      <c r="A40" s="566"/>
      <c r="B40" s="566"/>
      <c r="C40" s="566"/>
      <c r="D40" s="566"/>
      <c r="E40" s="566"/>
      <c r="F40" s="566"/>
      <c r="G40" s="566"/>
      <c r="H40" s="566"/>
      <c r="I40" s="566"/>
      <c r="J40" s="566"/>
      <c r="AB40" s="599"/>
      <c r="AC40" s="599"/>
      <c r="AD40" s="599"/>
      <c r="AE40" s="599"/>
    </row>
    <row r="41" spans="1:31" x14ac:dyDescent="0.2">
      <c r="A41" s="567" t="s">
        <v>1012</v>
      </c>
      <c r="B41" s="568" t="s">
        <v>967</v>
      </c>
      <c r="C41" s="568"/>
      <c r="D41" s="568"/>
      <c r="E41" s="568"/>
      <c r="F41" s="568"/>
      <c r="G41" s="568"/>
      <c r="H41" s="566"/>
      <c r="I41" s="566"/>
      <c r="J41" s="566"/>
    </row>
    <row r="42" spans="1:31" x14ac:dyDescent="0.2">
      <c r="A42" s="566"/>
      <c r="B42" s="568"/>
      <c r="C42" s="568"/>
      <c r="D42" s="568"/>
      <c r="E42" s="568"/>
      <c r="F42" s="568"/>
      <c r="G42" s="568"/>
      <c r="H42" s="566"/>
      <c r="I42" s="566"/>
      <c r="J42" s="566"/>
    </row>
    <row r="43" spans="1:31" x14ac:dyDescent="0.2">
      <c r="A43" s="569"/>
      <c r="B43" s="570" t="s">
        <v>870</v>
      </c>
      <c r="C43" s="566"/>
      <c r="D43" s="571" t="s">
        <v>827</v>
      </c>
      <c r="E43" s="572" t="s">
        <v>826</v>
      </c>
      <c r="F43" s="573" t="s">
        <v>828</v>
      </c>
      <c r="G43" s="573" t="s">
        <v>829</v>
      </c>
      <c r="H43" s="566"/>
      <c r="I43" s="566"/>
      <c r="J43" s="566"/>
    </row>
    <row r="44" spans="1:31" x14ac:dyDescent="0.2">
      <c r="A44" s="569"/>
      <c r="B44" s="570" t="s">
        <v>685</v>
      </c>
      <c r="C44" s="566" t="s">
        <v>60</v>
      </c>
      <c r="D44" s="574">
        <f>100*(D45-$E$45)/$E$45</f>
        <v>-2.5</v>
      </c>
      <c r="E44" s="575">
        <f>100*(E45-$E$45)/$E$45</f>
        <v>0</v>
      </c>
      <c r="F44" s="574">
        <f>100*(F45-$E$45)/$E$45</f>
        <v>20</v>
      </c>
      <c r="G44" s="574">
        <f>100*(G45-$E$45)/$E$45</f>
        <v>60</v>
      </c>
      <c r="H44" s="566"/>
      <c r="I44" s="566"/>
      <c r="J44" s="566"/>
    </row>
    <row r="45" spans="1:31" x14ac:dyDescent="0.2">
      <c r="A45" s="566"/>
      <c r="B45" s="570" t="s">
        <v>823</v>
      </c>
      <c r="C45" s="566" t="s">
        <v>832</v>
      </c>
      <c r="D45" s="576">
        <v>117</v>
      </c>
      <c r="E45" s="577">
        <v>120</v>
      </c>
      <c r="F45" s="576">
        <v>144</v>
      </c>
      <c r="G45" s="576">
        <v>192</v>
      </c>
      <c r="H45" s="566"/>
      <c r="I45" s="578">
        <f>Assumption!B9/1000</f>
        <v>130</v>
      </c>
      <c r="J45" s="566"/>
    </row>
    <row r="46" spans="1:31" x14ac:dyDescent="0.2">
      <c r="A46" s="566"/>
      <c r="B46" s="570"/>
      <c r="C46" s="566" t="s">
        <v>876</v>
      </c>
      <c r="D46" s="576">
        <v>4.875</v>
      </c>
      <c r="E46" s="577">
        <v>5</v>
      </c>
      <c r="F46" s="576">
        <v>6</v>
      </c>
      <c r="G46" s="576">
        <v>8</v>
      </c>
      <c r="H46" s="566"/>
      <c r="I46" s="579">
        <f>I45/24</f>
        <v>5.416666666666667</v>
      </c>
      <c r="J46" s="566"/>
    </row>
    <row r="47" spans="1:31" x14ac:dyDescent="0.2">
      <c r="A47" s="566"/>
      <c r="B47" s="570" t="s">
        <v>824</v>
      </c>
      <c r="C47" s="566" t="s">
        <v>371</v>
      </c>
      <c r="D47" s="580">
        <v>2600</v>
      </c>
      <c r="E47" s="581">
        <v>2600</v>
      </c>
      <c r="F47" s="580">
        <v>2600</v>
      </c>
      <c r="G47" s="580">
        <v>2600</v>
      </c>
      <c r="H47" s="566"/>
      <c r="I47" s="578">
        <f>Assumption!B13</f>
        <v>2600</v>
      </c>
      <c r="J47" s="566"/>
    </row>
    <row r="48" spans="1:31" x14ac:dyDescent="0.2">
      <c r="A48" s="566"/>
      <c r="B48" s="570" t="s">
        <v>1038</v>
      </c>
      <c r="C48" s="566" t="s">
        <v>831</v>
      </c>
      <c r="D48" s="580">
        <v>300</v>
      </c>
      <c r="E48" s="581">
        <v>300</v>
      </c>
      <c r="F48" s="580">
        <v>300</v>
      </c>
      <c r="G48" s="580">
        <v>300</v>
      </c>
      <c r="H48" s="566"/>
      <c r="I48" s="578">
        <f>Assumption!B20/10^6</f>
        <v>600</v>
      </c>
      <c r="J48" s="566"/>
    </row>
    <row r="49" spans="1:24" x14ac:dyDescent="0.2">
      <c r="A49" s="566"/>
      <c r="B49" s="570" t="s">
        <v>604</v>
      </c>
      <c r="C49" s="566" t="s">
        <v>831</v>
      </c>
      <c r="D49" s="580"/>
      <c r="E49" s="581">
        <v>350</v>
      </c>
      <c r="F49" s="580"/>
      <c r="G49" s="580"/>
      <c r="H49" s="566"/>
      <c r="I49" s="578">
        <f>Assumption!B21/10^6</f>
        <v>350</v>
      </c>
      <c r="J49" s="566"/>
    </row>
    <row r="50" spans="1:24" x14ac:dyDescent="0.2">
      <c r="A50" s="566"/>
      <c r="B50" s="570" t="s">
        <v>534</v>
      </c>
      <c r="C50" s="566"/>
      <c r="D50" s="581"/>
      <c r="E50" s="581"/>
      <c r="F50" s="581"/>
      <c r="G50" s="581"/>
      <c r="H50" s="566"/>
      <c r="I50" s="582"/>
      <c r="J50" s="566"/>
    </row>
    <row r="51" spans="1:24" x14ac:dyDescent="0.2">
      <c r="A51" s="566"/>
      <c r="B51" s="567" t="s">
        <v>535</v>
      </c>
      <c r="C51" s="566" t="s">
        <v>831</v>
      </c>
      <c r="D51" s="574"/>
      <c r="E51" s="575">
        <v>1429.3694576248927</v>
      </c>
      <c r="F51" s="574"/>
      <c r="G51" s="574"/>
      <c r="H51" s="582"/>
      <c r="I51" s="578">
        <f>'ProjectValuation(JO)'!F45/1000</f>
        <v>16588500.211274646</v>
      </c>
      <c r="J51" s="566"/>
    </row>
    <row r="52" spans="1:24" x14ac:dyDescent="0.2">
      <c r="A52" s="566"/>
      <c r="B52" s="567" t="s">
        <v>536</v>
      </c>
      <c r="C52" s="566" t="s">
        <v>60</v>
      </c>
      <c r="D52" s="583"/>
      <c r="E52" s="584">
        <v>58.335480145071813</v>
      </c>
      <c r="F52" s="583"/>
      <c r="G52" s="583"/>
      <c r="H52" s="566"/>
      <c r="I52" s="585">
        <f>'ProjectValuation(JO)'!F46</f>
        <v>101.12683719420036</v>
      </c>
      <c r="J52" s="566"/>
    </row>
    <row r="53" spans="1:24" x14ac:dyDescent="0.2">
      <c r="A53" s="566"/>
      <c r="B53" s="567" t="s">
        <v>684</v>
      </c>
      <c r="C53" s="566" t="s">
        <v>60</v>
      </c>
      <c r="D53" s="583"/>
      <c r="E53" s="584">
        <v>25.388634357331096</v>
      </c>
      <c r="F53" s="583"/>
      <c r="G53" s="583"/>
      <c r="H53" s="566"/>
      <c r="I53" s="585">
        <f>'ProjectValuation(JO)'!F47</f>
        <v>23.431777804241282</v>
      </c>
      <c r="J53" s="566"/>
    </row>
    <row r="54" spans="1:24" x14ac:dyDescent="0.2">
      <c r="A54" s="566"/>
      <c r="B54" s="567" t="s">
        <v>537</v>
      </c>
      <c r="C54" s="566"/>
      <c r="D54" s="583"/>
      <c r="E54" s="584">
        <v>3.0918870776646701</v>
      </c>
      <c r="F54" s="583"/>
      <c r="G54" s="583"/>
      <c r="H54" s="566"/>
      <c r="I54" s="585">
        <f>'ProjectValuation(JO)'!F48</f>
        <v>18.461579169762789</v>
      </c>
      <c r="J54" s="566"/>
    </row>
    <row r="55" spans="1:24" x14ac:dyDescent="0.2">
      <c r="A55" s="566"/>
      <c r="B55" s="567" t="s">
        <v>538</v>
      </c>
      <c r="C55" s="566" t="s">
        <v>571</v>
      </c>
      <c r="D55" s="583"/>
      <c r="E55" s="584">
        <v>2.0676052182457503</v>
      </c>
      <c r="F55" s="583"/>
      <c r="G55" s="583"/>
      <c r="H55" s="566"/>
      <c r="I55" s="585">
        <f>'ProjectValuation(JO)'!F49</f>
        <v>1.4284200657293948</v>
      </c>
      <c r="J55" s="566"/>
    </row>
    <row r="56" spans="1:24" x14ac:dyDescent="0.2">
      <c r="A56" s="566"/>
      <c r="B56" s="567" t="s">
        <v>539</v>
      </c>
      <c r="C56" s="566" t="s">
        <v>60</v>
      </c>
      <c r="D56" s="583"/>
      <c r="E56" s="584">
        <v>28.205785345566902</v>
      </c>
      <c r="F56" s="583"/>
      <c r="G56" s="583"/>
      <c r="H56" s="566"/>
      <c r="I56" s="585">
        <f>'ProjectValuation(JO)'!S49</f>
        <v>57.576296242363867</v>
      </c>
      <c r="J56" s="566"/>
    </row>
    <row r="57" spans="1:24" x14ac:dyDescent="0.2">
      <c r="A57" s="566"/>
      <c r="B57" s="567" t="s">
        <v>540</v>
      </c>
      <c r="C57" s="566" t="s">
        <v>60</v>
      </c>
      <c r="D57" s="583"/>
      <c r="E57" s="584">
        <v>9.1580125695421781</v>
      </c>
      <c r="F57" s="583"/>
      <c r="G57" s="583"/>
      <c r="H57" s="566"/>
      <c r="I57" s="585">
        <f>'ProjectValuation(JO)'!S50</f>
        <v>36.163925141413813</v>
      </c>
      <c r="J57" s="566"/>
    </row>
    <row r="58" spans="1:24" x14ac:dyDescent="0.2">
      <c r="A58" s="566"/>
      <c r="B58" s="586"/>
      <c r="C58" s="586"/>
      <c r="D58" s="586"/>
      <c r="E58" s="586"/>
      <c r="F58" s="586"/>
      <c r="G58" s="586"/>
      <c r="H58" s="566"/>
      <c r="I58" s="566"/>
      <c r="J58" s="566"/>
    </row>
    <row r="64" spans="1:24" x14ac:dyDescent="0.2">
      <c r="B64" s="198"/>
      <c r="C64" s="198"/>
      <c r="D64" s="198"/>
      <c r="E64" s="200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</row>
    <row r="65" spans="2:24" ht="15.75" x14ac:dyDescent="0.25">
      <c r="B65"/>
      <c r="C65"/>
      <c r="D65"/>
      <c r="E65"/>
      <c r="F65"/>
      <c r="G65"/>
      <c r="H65"/>
      <c r="I65" s="709" t="s">
        <v>1073</v>
      </c>
      <c r="J65" s="709"/>
      <c r="K65" s="709"/>
      <c r="L65" s="709"/>
      <c r="M65" s="709"/>
      <c r="N65" s="709"/>
      <c r="O65" s="709"/>
      <c r="P65" s="709"/>
      <c r="Q65" s="709"/>
      <c r="R65" s="709"/>
      <c r="S65" s="709"/>
      <c r="T65" s="709"/>
      <c r="U65" s="709"/>
      <c r="V65" s="709"/>
      <c r="W65" s="709"/>
      <c r="X65" s="709"/>
    </row>
    <row r="66" spans="2:24" ht="15.75" x14ac:dyDescent="0.25">
      <c r="B66"/>
      <c r="C66" s="709" t="s">
        <v>1077</v>
      </c>
      <c r="D66" s="709"/>
      <c r="E66" s="709"/>
      <c r="F66" s="709"/>
      <c r="G66" s="709"/>
      <c r="H66"/>
      <c r="I66" s="699" t="s">
        <v>1078</v>
      </c>
      <c r="J66" s="699"/>
      <c r="K66" s="699"/>
      <c r="L66" s="699"/>
      <c r="M66" s="699"/>
      <c r="N66" s="699"/>
      <c r="O66" s="699"/>
      <c r="P66" s="699"/>
      <c r="Q66" s="699"/>
      <c r="R66" s="699"/>
      <c r="S66" s="699"/>
      <c r="T66" s="699"/>
      <c r="U66" s="699"/>
      <c r="V66" s="699"/>
      <c r="W66" s="699"/>
      <c r="X66" s="699"/>
    </row>
    <row r="67" spans="2:24" ht="15.75" x14ac:dyDescent="0.25">
      <c r="B67"/>
      <c r="C67"/>
      <c r="D67"/>
      <c r="E67"/>
      <c r="F67"/>
      <c r="G67"/>
      <c r="H67"/>
      <c r="I67" s="648"/>
      <c r="J67" s="648"/>
      <c r="K67" s="643" t="s">
        <v>1136</v>
      </c>
      <c r="L67" s="643" t="s">
        <v>1135</v>
      </c>
      <c r="M67" s="643" t="s">
        <v>1101</v>
      </c>
      <c r="N67" s="643" t="s">
        <v>1130</v>
      </c>
      <c r="O67" s="643" t="s">
        <v>1102</v>
      </c>
      <c r="P67" s="643" t="s">
        <v>1129</v>
      </c>
      <c r="Q67" s="643" t="s">
        <v>1103</v>
      </c>
      <c r="R67" s="643" t="s">
        <v>1128</v>
      </c>
      <c r="S67" s="643" t="s">
        <v>1104</v>
      </c>
      <c r="T67" s="643" t="s">
        <v>1131</v>
      </c>
      <c r="U67" s="643" t="s">
        <v>1105</v>
      </c>
      <c r="V67" s="643" t="s">
        <v>1132</v>
      </c>
      <c r="W67" s="643" t="s">
        <v>1133</v>
      </c>
      <c r="X67" s="643" t="s">
        <v>1134</v>
      </c>
    </row>
    <row r="68" spans="2:24" ht="15.75" x14ac:dyDescent="0.25">
      <c r="B68"/>
      <c r="C68" s="709" t="s">
        <v>1079</v>
      </c>
      <c r="D68" s="709"/>
      <c r="E68"/>
      <c r="F68" s="709" t="s">
        <v>1080</v>
      </c>
      <c r="G68" s="709"/>
      <c r="H68"/>
      <c r="I68" s="648"/>
      <c r="J68" s="666">
        <f>G75</f>
        <v>627002503.67460036</v>
      </c>
      <c r="K68" s="644">
        <v>840000</v>
      </c>
      <c r="L68" s="644">
        <v>960000</v>
      </c>
      <c r="M68" s="644">
        <v>1080000</v>
      </c>
      <c r="N68" s="644">
        <v>1200000</v>
      </c>
      <c r="O68" s="644">
        <f>Q68-240000</f>
        <v>1320000</v>
      </c>
      <c r="P68" s="644">
        <v>1440000</v>
      </c>
      <c r="Q68" s="645">
        <v>1560000</v>
      </c>
      <c r="R68" s="660">
        <v>1680000</v>
      </c>
      <c r="S68" s="644">
        <f>Q68+240000</f>
        <v>1800000</v>
      </c>
      <c r="T68" s="644">
        <v>1920000</v>
      </c>
      <c r="U68" s="644">
        <f>N68+480000</f>
        <v>1680000</v>
      </c>
      <c r="V68" s="644">
        <v>2160000</v>
      </c>
      <c r="W68" s="644">
        <v>2280000</v>
      </c>
      <c r="X68" s="644">
        <v>2400000</v>
      </c>
    </row>
    <row r="69" spans="2:24" ht="15.75" customHeight="1" x14ac:dyDescent="0.25">
      <c r="B69"/>
      <c r="C69" t="s">
        <v>1081</v>
      </c>
      <c r="D69" s="622">
        <v>1560000</v>
      </c>
      <c r="E69"/>
      <c r="F69" t="s">
        <v>802</v>
      </c>
      <c r="G69" s="2">
        <f>D69*D70</f>
        <v>4056000000</v>
      </c>
      <c r="H69"/>
      <c r="I69" s="711" t="s">
        <v>1082</v>
      </c>
      <c r="J69" s="646">
        <f>J71+100</f>
        <v>2700</v>
      </c>
      <c r="K69" s="623">
        <f t="dataTable" ref="K69:X81" dt2D="1" dtr="1" r1="D69" r2="D70"/>
        <v>-416516404.8599999</v>
      </c>
      <c r="L69" s="623">
        <v>-203680804.8599999</v>
      </c>
      <c r="M69" s="623">
        <v>8147767.674600305</v>
      </c>
      <c r="N69" s="623">
        <v>197571451.6746003</v>
      </c>
      <c r="O69" s="623">
        <v>386995135.6746003</v>
      </c>
      <c r="P69" s="623">
        <v>576418819.67460036</v>
      </c>
      <c r="Q69" s="623">
        <v>765842503.67460036</v>
      </c>
      <c r="R69" s="623">
        <v>955266187.67460036</v>
      </c>
      <c r="S69" s="623">
        <v>1144689871.6746004</v>
      </c>
      <c r="T69" s="623">
        <v>1334113555.6746004</v>
      </c>
      <c r="U69" s="623">
        <v>955266187.67460036</v>
      </c>
      <c r="V69" s="623">
        <v>1712960923.6746004</v>
      </c>
      <c r="W69" s="623">
        <v>1902384607.6746004</v>
      </c>
      <c r="X69" s="623">
        <v>2091808291.6746004</v>
      </c>
    </row>
    <row r="70" spans="2:24" ht="15.75" x14ac:dyDescent="0.25">
      <c r="B70"/>
      <c r="C70" t="s">
        <v>1083</v>
      </c>
      <c r="D70" s="622">
        <v>2600</v>
      </c>
      <c r="E70"/>
      <c r="F70" t="s">
        <v>637</v>
      </c>
      <c r="G70" s="2">
        <f>-(D72*D69+D71)</f>
        <v>-2659902804.8599997</v>
      </c>
      <c r="H70"/>
      <c r="I70" s="711"/>
      <c r="J70" s="646">
        <f>J71+50</f>
        <v>2650</v>
      </c>
      <c r="K70" s="623">
        <v>-458516404.8599999</v>
      </c>
      <c r="L70" s="623">
        <v>-251680804.8599999</v>
      </c>
      <c r="M70" s="623">
        <v>-44845204.859999657</v>
      </c>
      <c r="N70" s="623">
        <v>144171451.6746003</v>
      </c>
      <c r="O70" s="663">
        <v>328255135.6746003</v>
      </c>
      <c r="P70" s="663">
        <v>512338819.6746003</v>
      </c>
      <c r="Q70" s="663">
        <v>696422503.67460036</v>
      </c>
      <c r="R70" s="663">
        <v>880506187.67460036</v>
      </c>
      <c r="S70" s="663">
        <v>1064589871.6746004</v>
      </c>
      <c r="T70" s="661">
        <v>1248673555.6746004</v>
      </c>
      <c r="U70" s="661">
        <v>880506187.67460036</v>
      </c>
      <c r="V70" s="661">
        <v>1616840923.6746004</v>
      </c>
      <c r="W70" s="661">
        <v>1800924607.6746004</v>
      </c>
      <c r="X70" s="623">
        <v>1985008291.6746004</v>
      </c>
    </row>
    <row r="71" spans="2:24" ht="15.75" x14ac:dyDescent="0.25">
      <c r="B71" s="1">
        <v>1105265604.8640001</v>
      </c>
      <c r="C71" t="s">
        <v>637</v>
      </c>
      <c r="D71" s="657">
        <v>1214765604.8599999</v>
      </c>
      <c r="E71"/>
      <c r="F71" s="624" t="s">
        <v>283</v>
      </c>
      <c r="G71" s="625">
        <f>SUM(G69:G70)</f>
        <v>1396097195.1400003</v>
      </c>
      <c r="H71"/>
      <c r="I71" s="711"/>
      <c r="J71" s="647">
        <v>2600</v>
      </c>
      <c r="K71" s="623">
        <v>-500516404.8599999</v>
      </c>
      <c r="L71" s="623">
        <v>-299680804.8599999</v>
      </c>
      <c r="M71" s="623">
        <v>-98845204.859999657</v>
      </c>
      <c r="N71" s="623">
        <v>90771451.674600303</v>
      </c>
      <c r="O71" s="663">
        <v>269515135.6746003</v>
      </c>
      <c r="P71" s="663">
        <v>448258819.6746003</v>
      </c>
      <c r="Q71" s="662">
        <v>627002503.67460036</v>
      </c>
      <c r="R71" s="663">
        <v>805746187.67460036</v>
      </c>
      <c r="S71" s="663">
        <v>984489871.67460036</v>
      </c>
      <c r="T71" s="661">
        <v>1163233555.6746004</v>
      </c>
      <c r="U71" s="661">
        <v>805746187.67460036</v>
      </c>
      <c r="V71" s="661">
        <v>1520720923.6746004</v>
      </c>
      <c r="W71" s="661">
        <v>1699464607.6746004</v>
      </c>
      <c r="X71" s="623">
        <v>1878208291.6746004</v>
      </c>
    </row>
    <row r="72" spans="2:24" ht="15.75" x14ac:dyDescent="0.25">
      <c r="B72" s="1">
        <v>1254765604.8640001</v>
      </c>
      <c r="C72" t="s">
        <v>1084</v>
      </c>
      <c r="D72" s="657">
        <v>926.37</v>
      </c>
      <c r="E72"/>
      <c r="F72" t="s">
        <v>837</v>
      </c>
      <c r="G72" s="2">
        <f>-D73</f>
        <v>-691600000</v>
      </c>
      <c r="H72"/>
      <c r="I72" s="711"/>
      <c r="J72" s="646">
        <f>J71-50</f>
        <v>2550</v>
      </c>
      <c r="K72" s="623">
        <v>-542516404.8599999</v>
      </c>
      <c r="L72" s="623">
        <v>-347680804.8599999</v>
      </c>
      <c r="M72" s="623">
        <v>-152845204.85999966</v>
      </c>
      <c r="N72" s="623">
        <v>37371451.674600303</v>
      </c>
      <c r="O72" s="663">
        <v>210775135.6746003</v>
      </c>
      <c r="P72" s="663">
        <v>384178819.6746003</v>
      </c>
      <c r="Q72" s="663">
        <v>557582503.67460036</v>
      </c>
      <c r="R72" s="663">
        <v>730986187.67460036</v>
      </c>
      <c r="S72" s="663">
        <v>904389871.67460036</v>
      </c>
      <c r="T72" s="661">
        <v>1077793555.6746004</v>
      </c>
      <c r="U72" s="661">
        <v>730986187.67460036</v>
      </c>
      <c r="V72" s="661">
        <v>1424600923.6746004</v>
      </c>
      <c r="W72" s="661">
        <v>1598004607.6746004</v>
      </c>
      <c r="X72" s="623">
        <v>1771408291.6746004</v>
      </c>
    </row>
    <row r="73" spans="2:24" ht="15.75" x14ac:dyDescent="0.25">
      <c r="B73"/>
      <c r="C73" t="s">
        <v>837</v>
      </c>
      <c r="D73" s="622">
        <v>691600000</v>
      </c>
      <c r="E73" s="651"/>
      <c r="F73" s="624" t="s">
        <v>801</v>
      </c>
      <c r="G73" s="625">
        <f>SUM(G71:G72)</f>
        <v>704497195.14000034</v>
      </c>
      <c r="H73"/>
      <c r="I73" s="711"/>
      <c r="J73" s="646">
        <f>J71-100</f>
        <v>2500</v>
      </c>
      <c r="K73" s="623">
        <v>-584516404.8599999</v>
      </c>
      <c r="L73" s="623">
        <v>-395680804.8599999</v>
      </c>
      <c r="M73" s="623">
        <v>-206845204.85999966</v>
      </c>
      <c r="N73" s="623">
        <v>-18009604.859999657</v>
      </c>
      <c r="O73" s="623">
        <v>152035135.6746003</v>
      </c>
      <c r="P73" s="623">
        <v>320098819.6746003</v>
      </c>
      <c r="Q73" s="623">
        <v>488162503.6746003</v>
      </c>
      <c r="R73" s="623">
        <v>656226187.67460036</v>
      </c>
      <c r="S73" s="623">
        <v>824289871.67460036</v>
      </c>
      <c r="T73" s="623">
        <v>992353555.67460036</v>
      </c>
      <c r="U73" s="623">
        <v>656226187.67460036</v>
      </c>
      <c r="V73" s="623">
        <v>1328480923.6746004</v>
      </c>
      <c r="W73" s="623">
        <v>1496544607.6746004</v>
      </c>
      <c r="X73" s="623">
        <v>1664608291.6746004</v>
      </c>
    </row>
    <row r="74" spans="2:24" ht="15.75" x14ac:dyDescent="0.25">
      <c r="B74"/>
      <c r="C74" t="s">
        <v>1086</v>
      </c>
      <c r="D74" s="627">
        <v>0.11</v>
      </c>
      <c r="E74" s="1"/>
      <c r="F74" t="s">
        <v>1085</v>
      </c>
      <c r="G74" s="626">
        <f>IF(G73&lt;=0,"0",-D74*G73)</f>
        <v>-77494691.46540004</v>
      </c>
      <c r="H74"/>
      <c r="I74" s="711"/>
      <c r="J74" s="646">
        <v>2450</v>
      </c>
      <c r="K74" s="623">
        <v>-626516404.8599999</v>
      </c>
      <c r="L74" s="623">
        <v>-443680804.8599999</v>
      </c>
      <c r="M74" s="623">
        <v>-260845204.85999966</v>
      </c>
      <c r="N74" s="623">
        <v>-78009604.859999657</v>
      </c>
      <c r="O74" s="623">
        <v>93295135.674600303</v>
      </c>
      <c r="P74" s="623">
        <v>256018819.6746003</v>
      </c>
      <c r="Q74" s="623">
        <v>418742503.6746003</v>
      </c>
      <c r="R74" s="623">
        <v>581466187.67460036</v>
      </c>
      <c r="S74" s="623">
        <v>744189871.67460036</v>
      </c>
      <c r="T74" s="623">
        <v>906913555.67460036</v>
      </c>
      <c r="U74" s="623">
        <v>581466187.67460036</v>
      </c>
      <c r="V74" s="623">
        <v>1232360923.6746004</v>
      </c>
      <c r="W74" s="623">
        <v>1395084607.6746004</v>
      </c>
      <c r="X74" s="623">
        <v>1557808291.6746004</v>
      </c>
    </row>
    <row r="75" spans="2:24" ht="15.75" x14ac:dyDescent="0.25">
      <c r="B75"/>
      <c r="C75" s="652" t="s">
        <v>1088</v>
      </c>
      <c r="D75" s="652"/>
      <c r="E75"/>
      <c r="F75" s="628" t="s">
        <v>1087</v>
      </c>
      <c r="G75" s="629">
        <f>SUM(G73:G74)</f>
        <v>627002503.67460036</v>
      </c>
      <c r="H75"/>
      <c r="I75" s="711"/>
      <c r="J75" s="646">
        <v>2400</v>
      </c>
      <c r="K75" s="623">
        <v>-668516404.8599999</v>
      </c>
      <c r="L75" s="623">
        <v>-491680804.8599999</v>
      </c>
      <c r="M75" s="623">
        <v>-314845204.85999966</v>
      </c>
      <c r="N75" s="623">
        <v>-138009604.85999966</v>
      </c>
      <c r="O75" s="623">
        <v>34555135.674600303</v>
      </c>
      <c r="P75" s="623">
        <v>191938819.6746003</v>
      </c>
      <c r="Q75" s="623">
        <v>349322503.6746003</v>
      </c>
      <c r="R75" s="623">
        <v>506706187.6746003</v>
      </c>
      <c r="S75" s="623">
        <v>664089871.67460036</v>
      </c>
      <c r="T75" s="623">
        <v>821473555.67460036</v>
      </c>
      <c r="U75" s="623">
        <v>506706187.6746003</v>
      </c>
      <c r="V75" s="623">
        <v>1136240923.6746004</v>
      </c>
      <c r="W75" s="623">
        <v>1293624607.6746004</v>
      </c>
      <c r="X75" s="623">
        <v>1451008291.6746004</v>
      </c>
    </row>
    <row r="76" spans="2:24" ht="15.75" x14ac:dyDescent="0.25">
      <c r="B76"/>
      <c r="E76"/>
      <c r="F76"/>
      <c r="G76"/>
      <c r="H76"/>
      <c r="I76" s="711"/>
      <c r="J76" s="646">
        <v>2350</v>
      </c>
      <c r="K76" s="623">
        <v>-710516404.8599999</v>
      </c>
      <c r="L76" s="623">
        <v>-539680804.8599999</v>
      </c>
      <c r="M76" s="623">
        <v>-368845204.85999966</v>
      </c>
      <c r="N76" s="623">
        <v>-198009604.85999966</v>
      </c>
      <c r="O76" s="623">
        <v>-27174004.859999657</v>
      </c>
      <c r="P76" s="623">
        <v>127858819.6746003</v>
      </c>
      <c r="Q76" s="623">
        <v>279902503.6746003</v>
      </c>
      <c r="R76" s="623">
        <v>431946187.6746003</v>
      </c>
      <c r="S76" s="623">
        <v>583989871.67460036</v>
      </c>
      <c r="T76" s="623">
        <v>736033555.67460036</v>
      </c>
      <c r="U76" s="623">
        <v>431946187.6746003</v>
      </c>
      <c r="V76" s="623">
        <v>1040120923.6746004</v>
      </c>
      <c r="W76" s="623">
        <v>1192164607.6746004</v>
      </c>
      <c r="X76" s="623">
        <v>1344208291.6746004</v>
      </c>
    </row>
    <row r="77" spans="2:24" ht="15.75" x14ac:dyDescent="0.25">
      <c r="B77"/>
      <c r="C77"/>
      <c r="D77" s="630"/>
      <c r="E77"/>
      <c r="F77"/>
      <c r="G77"/>
      <c r="H77"/>
      <c r="I77" s="711"/>
      <c r="J77" s="646">
        <v>2300</v>
      </c>
      <c r="K77" s="623">
        <v>-752516404.8599999</v>
      </c>
      <c r="L77" s="623">
        <v>-587680804.8599999</v>
      </c>
      <c r="M77" s="623">
        <v>-422845204.85999966</v>
      </c>
      <c r="N77" s="623">
        <v>-258009604.85999966</v>
      </c>
      <c r="O77" s="623">
        <v>-93174004.859999657</v>
      </c>
      <c r="P77" s="623">
        <v>63778819.674600303</v>
      </c>
      <c r="Q77" s="623">
        <v>210482503.6746003</v>
      </c>
      <c r="R77" s="623">
        <v>357186187.6746003</v>
      </c>
      <c r="S77" s="623">
        <v>503889871.6746003</v>
      </c>
      <c r="T77" s="623">
        <v>650593555.67460036</v>
      </c>
      <c r="U77" s="623">
        <v>357186187.6746003</v>
      </c>
      <c r="V77" s="623">
        <v>944000923.67460036</v>
      </c>
      <c r="W77" s="623">
        <v>1090704607.6746004</v>
      </c>
      <c r="X77" s="623">
        <v>1237408291.6746004</v>
      </c>
    </row>
    <row r="78" spans="2:24" ht="15.75" x14ac:dyDescent="0.25">
      <c r="B78" s="201"/>
      <c r="C78"/>
      <c r="D78" s="630"/>
      <c r="E78" s="198"/>
      <c r="F78" s="200"/>
      <c r="G78" s="198"/>
      <c r="H78" s="198"/>
      <c r="I78" s="711"/>
      <c r="J78" s="646">
        <v>2250</v>
      </c>
      <c r="K78" s="623">
        <v>-794516404.8599999</v>
      </c>
      <c r="L78" s="623">
        <v>-635680804.8599999</v>
      </c>
      <c r="M78" s="623">
        <v>-476845204.85999966</v>
      </c>
      <c r="N78" s="623">
        <v>-318009604.85999966</v>
      </c>
      <c r="O78" s="623">
        <v>-159174004.85999966</v>
      </c>
      <c r="P78" s="623">
        <v>-338404.85999965668</v>
      </c>
      <c r="Q78" s="623">
        <v>141062503.6746003</v>
      </c>
      <c r="R78" s="623">
        <v>282426187.6746003</v>
      </c>
      <c r="S78" s="623">
        <v>423789871.6746003</v>
      </c>
      <c r="T78" s="623">
        <v>565153555.67460036</v>
      </c>
      <c r="U78" s="623">
        <v>282426187.6746003</v>
      </c>
      <c r="V78" s="623">
        <v>847880923.67460036</v>
      </c>
      <c r="W78" s="623">
        <v>989244607.67460036</v>
      </c>
      <c r="X78" s="623">
        <v>1130608291.6746004</v>
      </c>
    </row>
    <row r="79" spans="2:24" ht="15.75" x14ac:dyDescent="0.25">
      <c r="B79" s="198"/>
      <c r="C79"/>
      <c r="D79" s="630"/>
      <c r="E79" s="198"/>
      <c r="F79" s="198"/>
      <c r="G79" s="198"/>
      <c r="H79" s="198"/>
      <c r="I79" s="711"/>
      <c r="J79" s="646">
        <v>2200</v>
      </c>
      <c r="K79" s="623">
        <v>-836516404.8599999</v>
      </c>
      <c r="L79" s="623">
        <v>-683680804.8599999</v>
      </c>
      <c r="M79" s="623">
        <v>-530845204.85999966</v>
      </c>
      <c r="N79" s="623">
        <v>-378009604.85999966</v>
      </c>
      <c r="O79" s="623">
        <v>-225174004.85999966</v>
      </c>
      <c r="P79" s="623">
        <v>-72338404.859999657</v>
      </c>
      <c r="Q79" s="623">
        <v>71642503.674600303</v>
      </c>
      <c r="R79" s="623">
        <v>207666187.6746003</v>
      </c>
      <c r="S79" s="623">
        <v>343689871.6746003</v>
      </c>
      <c r="T79" s="623">
        <v>479713555.6746003</v>
      </c>
      <c r="U79" s="623">
        <v>207666187.6746003</v>
      </c>
      <c r="V79" s="623">
        <v>751760923.67460036</v>
      </c>
      <c r="W79" s="623">
        <v>887784607.67460036</v>
      </c>
      <c r="X79" s="623">
        <v>1023808291.6746004</v>
      </c>
    </row>
    <row r="80" spans="2:24" ht="15.75" x14ac:dyDescent="0.25">
      <c r="B80" s="198"/>
      <c r="C80"/>
      <c r="D80" s="198"/>
      <c r="E80" s="198"/>
      <c r="F80" s="198"/>
      <c r="G80" s="198"/>
      <c r="H80" s="198"/>
      <c r="I80" s="711"/>
      <c r="J80" s="646">
        <v>2150</v>
      </c>
      <c r="K80" s="623">
        <v>-878516404.8599999</v>
      </c>
      <c r="L80" s="623">
        <v>-731680804.8599999</v>
      </c>
      <c r="M80" s="623">
        <v>-584845204.85999966</v>
      </c>
      <c r="N80" s="623">
        <v>-438009604.85999966</v>
      </c>
      <c r="O80" s="623">
        <v>-291174004.85999966</v>
      </c>
      <c r="P80" s="623">
        <v>-144338404.85999966</v>
      </c>
      <c r="Q80" s="623">
        <v>2222503.6746003055</v>
      </c>
      <c r="R80" s="623">
        <v>132906187.6746003</v>
      </c>
      <c r="S80" s="623">
        <v>263589871.6746003</v>
      </c>
      <c r="T80" s="623">
        <v>394273555.6746003</v>
      </c>
      <c r="U80" s="623">
        <v>132906187.6746003</v>
      </c>
      <c r="V80" s="623">
        <v>655640923.67460036</v>
      </c>
      <c r="W80" s="623">
        <v>786324607.67460036</v>
      </c>
      <c r="X80" s="623">
        <v>917008291.67460036</v>
      </c>
    </row>
    <row r="81" spans="2:24" ht="15.75" x14ac:dyDescent="0.25">
      <c r="B81" s="198"/>
      <c r="C81"/>
      <c r="D81" s="198"/>
      <c r="E81" s="198"/>
      <c r="F81" s="198"/>
      <c r="G81" s="198"/>
      <c r="H81" s="198"/>
      <c r="I81" s="711"/>
      <c r="J81" s="646">
        <v>2100</v>
      </c>
      <c r="K81" s="623">
        <v>-920516404.8599999</v>
      </c>
      <c r="L81" s="623">
        <v>-779680804.8599999</v>
      </c>
      <c r="M81" s="623">
        <v>-638845204.85999966</v>
      </c>
      <c r="N81" s="623">
        <v>-498009604.85999966</v>
      </c>
      <c r="O81" s="623">
        <v>-357174004.85999966</v>
      </c>
      <c r="P81" s="623">
        <v>-216338404.85999966</v>
      </c>
      <c r="Q81" s="623">
        <v>-75502804.859999657</v>
      </c>
      <c r="R81" s="623">
        <v>58146187.674600303</v>
      </c>
      <c r="S81" s="623">
        <v>183489871.6746003</v>
      </c>
      <c r="T81" s="623">
        <v>308833555.6746003</v>
      </c>
      <c r="U81" s="623">
        <v>58146187.674600303</v>
      </c>
      <c r="V81" s="623">
        <v>559520923.67460036</v>
      </c>
      <c r="W81" s="623">
        <v>684864607.67460036</v>
      </c>
      <c r="X81" s="623">
        <v>810208291.67460036</v>
      </c>
    </row>
    <row r="82" spans="2:24" ht="15.75" x14ac:dyDescent="0.25">
      <c r="B82" s="198"/>
      <c r="C82" s="198"/>
      <c r="D82" s="621" t="s">
        <v>1089</v>
      </c>
      <c r="E82" s="621"/>
      <c r="F82" s="621"/>
      <c r="G82" s="621"/>
      <c r="H82" s="198"/>
      <c r="I82" s="665"/>
      <c r="J82" s="664"/>
      <c r="K82" s="599"/>
      <c r="L82" s="599"/>
      <c r="M82" s="599"/>
      <c r="N82" s="599"/>
      <c r="O82" s="599"/>
      <c r="P82" s="599"/>
      <c r="Q82" s="599"/>
      <c r="R82" s="599"/>
      <c r="S82" s="599"/>
      <c r="T82" s="599"/>
      <c r="U82" s="599"/>
      <c r="V82" s="599"/>
      <c r="W82" s="599"/>
      <c r="X82" s="599"/>
    </row>
    <row r="83" spans="2:24" ht="15.75" x14ac:dyDescent="0.25">
      <c r="B83" s="198"/>
      <c r="C83" s="216"/>
      <c r="D83" s="631" t="s">
        <v>1090</v>
      </c>
      <c r="E83" s="632">
        <v>44562</v>
      </c>
      <c r="F83" s="632">
        <v>44593</v>
      </c>
      <c r="G83" s="632">
        <v>44621</v>
      </c>
      <c r="H83" s="198"/>
      <c r="I83" s="665"/>
      <c r="J83" s="664"/>
      <c r="K83" s="599"/>
      <c r="L83" s="599"/>
      <c r="M83" s="599"/>
      <c r="N83" s="599"/>
      <c r="O83" s="599"/>
      <c r="P83" s="599"/>
      <c r="Q83" s="599"/>
      <c r="R83" s="599"/>
      <c r="S83" s="599"/>
      <c r="T83" s="599"/>
      <c r="U83" s="599"/>
      <c r="V83" s="599"/>
      <c r="W83" s="599"/>
      <c r="X83" s="599"/>
    </row>
    <row r="84" spans="2:24" ht="15.75" x14ac:dyDescent="0.25">
      <c r="B84" s="198"/>
      <c r="C84"/>
      <c r="D84" t="s">
        <v>1091</v>
      </c>
      <c r="E84" s="2">
        <f>CHOOSE(E91,E93,E94,E95)</f>
        <v>616000000</v>
      </c>
      <c r="F84" s="2"/>
      <c r="G84" s="2"/>
      <c r="H84"/>
    </row>
    <row r="85" spans="2:24" ht="15.75" x14ac:dyDescent="0.25">
      <c r="B85" s="198"/>
      <c r="C85"/>
      <c r="D85" t="s">
        <v>1092</v>
      </c>
      <c r="E85" s="2">
        <f>CHOOSE(E91,E98,E99,E100)</f>
        <v>-569792000</v>
      </c>
      <c r="F85" s="2"/>
      <c r="G85" s="2"/>
      <c r="H85"/>
    </row>
    <row r="86" spans="2:24" ht="15.75" x14ac:dyDescent="0.25">
      <c r="B86" s="198"/>
      <c r="C86"/>
      <c r="D86" t="s">
        <v>837</v>
      </c>
      <c r="E86" s="622">
        <v>-5000000</v>
      </c>
      <c r="F86" s="198"/>
      <c r="G86" s="198"/>
      <c r="H86"/>
      <c r="I86" s="712"/>
      <c r="J86" s="712"/>
      <c r="K86" s="712"/>
      <c r="L86" s="712"/>
      <c r="M86" s="712"/>
      <c r="N86" s="712"/>
      <c r="O86" s="712"/>
      <c r="P86" s="712"/>
      <c r="Q86" s="712"/>
      <c r="R86" s="712"/>
      <c r="S86" s="712"/>
      <c r="T86" s="712"/>
      <c r="U86" s="712"/>
      <c r="V86" s="712"/>
      <c r="W86" s="712"/>
      <c r="X86" s="712"/>
    </row>
    <row r="87" spans="2:24" ht="15.75" x14ac:dyDescent="0.25">
      <c r="B87" s="198"/>
      <c r="C87"/>
      <c r="D87" t="s">
        <v>1093</v>
      </c>
      <c r="E87" s="11">
        <f>SUM(E84:E86)</f>
        <v>41208000</v>
      </c>
      <c r="F87" s="198"/>
      <c r="G87" s="198"/>
      <c r="H87"/>
      <c r="I87" s="648"/>
      <c r="J87" s="648"/>
      <c r="K87" s="713"/>
      <c r="L87" s="713"/>
      <c r="M87" s="713"/>
      <c r="N87" s="713"/>
      <c r="O87" s="713"/>
      <c r="P87" s="713"/>
      <c r="Q87" s="713"/>
      <c r="R87" s="713"/>
      <c r="S87" s="713"/>
      <c r="T87" s="713"/>
      <c r="U87" s="713"/>
      <c r="V87" s="713"/>
      <c r="W87" s="713"/>
      <c r="X87" s="713"/>
    </row>
    <row r="88" spans="2:24" ht="15.75" x14ac:dyDescent="0.25">
      <c r="B88" s="198"/>
      <c r="C88"/>
      <c r="D88" t="s">
        <v>1094</v>
      </c>
      <c r="E88" s="11">
        <f>E87*-22%</f>
        <v>-9065760</v>
      </c>
      <c r="F88" s="198"/>
      <c r="G88" s="198"/>
      <c r="H88"/>
      <c r="I88" s="648"/>
      <c r="J88" s="650"/>
      <c r="K88" s="599"/>
      <c r="L88" s="599"/>
      <c r="M88" s="599"/>
      <c r="N88" s="599"/>
      <c r="O88" s="599"/>
      <c r="P88" s="599"/>
      <c r="Q88" s="649"/>
      <c r="R88" s="649"/>
      <c r="S88" s="599"/>
      <c r="T88" s="599"/>
      <c r="U88" s="599"/>
      <c r="V88" s="599"/>
      <c r="W88" s="599"/>
      <c r="X88" s="599"/>
    </row>
    <row r="89" spans="2:24" ht="15.75" x14ac:dyDescent="0.25">
      <c r="B89" s="198"/>
      <c r="C89"/>
      <c r="D89" s="628" t="s">
        <v>1087</v>
      </c>
      <c r="E89" s="629">
        <f>SUM(E87:E88)</f>
        <v>32142240</v>
      </c>
      <c r="F89" s="629"/>
      <c r="G89" s="629"/>
      <c r="H89"/>
      <c r="I89" s="710"/>
      <c r="J89" s="617"/>
      <c r="K89" s="599"/>
      <c r="L89" s="599"/>
      <c r="M89" s="599"/>
      <c r="N89" s="599"/>
      <c r="O89" s="599"/>
      <c r="P89" s="599"/>
      <c r="Q89" s="599"/>
      <c r="R89" s="599"/>
      <c r="S89" s="599"/>
      <c r="T89" s="599"/>
      <c r="U89" s="599"/>
      <c r="V89" s="599"/>
      <c r="W89" s="599"/>
      <c r="X89" s="599"/>
    </row>
    <row r="90" spans="2:24" ht="15.75" x14ac:dyDescent="0.25">
      <c r="B90" s="198"/>
      <c r="C90"/>
      <c r="D90"/>
      <c r="E90"/>
      <c r="F90"/>
      <c r="G90"/>
      <c r="H90"/>
      <c r="I90" s="710"/>
      <c r="J90" s="617"/>
      <c r="K90" s="599"/>
      <c r="L90" s="599"/>
      <c r="M90" s="599"/>
      <c r="N90" s="599"/>
      <c r="O90" s="599"/>
      <c r="P90" s="599"/>
      <c r="Q90" s="599"/>
      <c r="R90" s="599"/>
      <c r="S90" s="599"/>
      <c r="T90" s="599"/>
      <c r="U90" s="599"/>
      <c r="V90" s="599"/>
      <c r="W90" s="599"/>
      <c r="X90" s="599"/>
    </row>
    <row r="91" spans="2:24" ht="18.75" x14ac:dyDescent="0.3">
      <c r="B91" s="198"/>
      <c r="C91"/>
      <c r="D91" s="633" t="s">
        <v>1095</v>
      </c>
      <c r="E91" s="634">
        <v>1</v>
      </c>
      <c r="F91" s="198"/>
      <c r="G91" s="198"/>
      <c r="H91"/>
      <c r="I91" s="710"/>
      <c r="J91" s="618"/>
      <c r="K91" s="599"/>
      <c r="L91" s="599"/>
      <c r="M91" s="599"/>
      <c r="N91" s="599"/>
      <c r="O91" s="599"/>
      <c r="P91" s="599"/>
      <c r="Q91" s="599"/>
      <c r="R91" s="599"/>
      <c r="S91" s="599"/>
      <c r="T91" s="599"/>
      <c r="U91" s="599"/>
      <c r="V91" s="599"/>
      <c r="W91" s="599"/>
      <c r="X91" s="599"/>
    </row>
    <row r="92" spans="2:24" ht="15.75" x14ac:dyDescent="0.25">
      <c r="B92" s="198"/>
      <c r="C92"/>
      <c r="D92" s="635" t="s">
        <v>1096</v>
      </c>
      <c r="E92" s="636"/>
      <c r="F92" s="636"/>
      <c r="G92" s="636"/>
      <c r="H92" s="637"/>
      <c r="I92" s="710"/>
      <c r="J92" s="617"/>
      <c r="K92" s="599"/>
      <c r="L92" s="599"/>
      <c r="M92" s="599"/>
      <c r="N92" s="599"/>
      <c r="O92" s="599"/>
      <c r="P92" s="599"/>
      <c r="Q92" s="599"/>
      <c r="R92" s="599"/>
      <c r="S92" s="599"/>
      <c r="T92" s="599"/>
      <c r="U92" s="599"/>
      <c r="V92" s="599"/>
      <c r="W92" s="599"/>
      <c r="X92" s="599"/>
    </row>
    <row r="93" spans="2:24" ht="15.75" x14ac:dyDescent="0.25">
      <c r="B93" s="198"/>
      <c r="C93"/>
      <c r="D93" s="638" t="s">
        <v>1097</v>
      </c>
      <c r="E93" s="639">
        <v>616000000</v>
      </c>
      <c r="F93" s="639">
        <v>125000</v>
      </c>
      <c r="G93" s="639">
        <v>250000</v>
      </c>
      <c r="H93" s="637"/>
      <c r="I93" s="710"/>
      <c r="J93" s="617"/>
      <c r="K93" s="599"/>
      <c r="L93" s="599"/>
      <c r="M93" s="599"/>
      <c r="N93" s="599"/>
      <c r="O93" s="599"/>
      <c r="P93" s="599"/>
      <c r="Q93" s="599"/>
      <c r="R93" s="599"/>
      <c r="S93" s="599"/>
      <c r="T93" s="599"/>
      <c r="U93" s="599"/>
      <c r="V93" s="599"/>
      <c r="W93" s="599"/>
      <c r="X93" s="599"/>
    </row>
    <row r="94" spans="2:24" ht="15.75" x14ac:dyDescent="0.25">
      <c r="B94" s="198"/>
      <c r="C94"/>
      <c r="D94" s="638" t="s">
        <v>1098</v>
      </c>
      <c r="E94" s="639">
        <v>462000000</v>
      </c>
      <c r="F94" s="639">
        <v>37500</v>
      </c>
      <c r="G94" s="639">
        <v>50000</v>
      </c>
      <c r="H94" s="637"/>
    </row>
    <row r="95" spans="2:24" ht="15.75" x14ac:dyDescent="0.25">
      <c r="B95" s="198"/>
      <c r="C95"/>
      <c r="D95" s="638" t="s">
        <v>1099</v>
      </c>
      <c r="E95" s="639">
        <v>308000000</v>
      </c>
      <c r="F95" s="639">
        <v>13000</v>
      </c>
      <c r="G95" s="639">
        <v>13250</v>
      </c>
      <c r="H95"/>
      <c r="I95" s="198"/>
      <c r="J95" s="198"/>
      <c r="K95" s="198"/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</row>
    <row r="96" spans="2:24" ht="15.75" x14ac:dyDescent="0.25">
      <c r="B96" s="198"/>
      <c r="C96"/>
      <c r="D96" s="640"/>
      <c r="E96" s="641"/>
      <c r="F96" s="641"/>
      <c r="G96" s="641"/>
      <c r="H96"/>
      <c r="I96" s="198"/>
      <c r="J96" s="198"/>
      <c r="K96" s="198"/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</row>
    <row r="97" spans="2:24" ht="15.75" x14ac:dyDescent="0.25">
      <c r="B97" s="198"/>
      <c r="C97"/>
      <c r="D97" s="635" t="s">
        <v>1100</v>
      </c>
      <c r="E97" s="641"/>
      <c r="F97" s="641"/>
      <c r="G97" s="641"/>
      <c r="H97" s="637"/>
      <c r="I97" s="198"/>
      <c r="J97" s="198"/>
      <c r="K97" s="198"/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</row>
    <row r="98" spans="2:24" ht="15.75" x14ac:dyDescent="0.25">
      <c r="B98" s="198"/>
      <c r="C98"/>
      <c r="D98" s="638" t="s">
        <v>1097</v>
      </c>
      <c r="E98" s="623">
        <v>-569792000</v>
      </c>
      <c r="F98" s="639">
        <v>-12500</v>
      </c>
      <c r="G98" s="639">
        <v>-25000</v>
      </c>
      <c r="H98" s="637"/>
      <c r="I98" s="198"/>
      <c r="J98" s="198"/>
      <c r="K98" s="198"/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</row>
    <row r="99" spans="2:24" ht="15.75" x14ac:dyDescent="0.25">
      <c r="B99" s="198"/>
      <c r="C99"/>
      <c r="D99" s="638" t="s">
        <v>1098</v>
      </c>
      <c r="E99" s="623">
        <v>-427344000</v>
      </c>
      <c r="F99" s="639">
        <v>-25000</v>
      </c>
      <c r="G99" s="639">
        <v>-37500</v>
      </c>
      <c r="H99" s="637"/>
      <c r="I99" s="198"/>
      <c r="J99" s="198"/>
      <c r="K99" s="198"/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</row>
    <row r="100" spans="2:24" ht="15.75" x14ac:dyDescent="0.25">
      <c r="B100" s="198"/>
      <c r="C100"/>
      <c r="D100" s="638" t="s">
        <v>1099</v>
      </c>
      <c r="E100" s="623">
        <v>-284896000</v>
      </c>
      <c r="F100" s="639">
        <v>-30000</v>
      </c>
      <c r="G100" s="639">
        <v>-45000</v>
      </c>
      <c r="H100"/>
      <c r="I100" s="198"/>
      <c r="J100" s="198"/>
      <c r="K100" s="198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</row>
    <row r="101" spans="2:24" ht="15.75" x14ac:dyDescent="0.25">
      <c r="B101" s="198"/>
      <c r="C101"/>
      <c r="D101"/>
      <c r="E101"/>
      <c r="F101"/>
      <c r="G101"/>
      <c r="H101"/>
      <c r="I101" s="198"/>
      <c r="J101" s="198"/>
      <c r="K101" s="198"/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</row>
  </sheetData>
  <mergeCells count="12">
    <mergeCell ref="I89:I93"/>
    <mergeCell ref="C68:D68"/>
    <mergeCell ref="F68:G68"/>
    <mergeCell ref="I69:I81"/>
    <mergeCell ref="I86:X86"/>
    <mergeCell ref="K87:X87"/>
    <mergeCell ref="I66:X66"/>
    <mergeCell ref="Y23:AE23"/>
    <mergeCell ref="Y25:Y30"/>
    <mergeCell ref="Y24:AE24"/>
    <mergeCell ref="C66:G66"/>
    <mergeCell ref="I65:X65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N55"/>
  <sheetViews>
    <sheetView showGridLines="0" zoomScaleNormal="100" workbookViewId="0">
      <pane xSplit="2" ySplit="7" topLeftCell="C8" activePane="bottomRight" state="frozen"/>
      <selection pane="topRight" activeCell="B1" sqref="B1"/>
      <selection pane="bottomLeft" activeCell="A8" sqref="A8"/>
      <selection pane="bottomRight" activeCell="AK39" sqref="AK39"/>
    </sheetView>
  </sheetViews>
  <sheetFormatPr defaultColWidth="9" defaultRowHeight="11.25" x14ac:dyDescent="0.2"/>
  <cols>
    <col min="1" max="1" width="2.25" style="198" customWidth="1"/>
    <col min="2" max="2" width="19.875" style="198" bestFit="1" customWidth="1"/>
    <col min="3" max="4" width="9.75" style="198" bestFit="1" customWidth="1"/>
    <col min="5" max="14" width="10.25" style="198" bestFit="1" customWidth="1"/>
    <col min="15" max="15" width="10.25" style="198" customWidth="1"/>
    <col min="16" max="16" width="10.25" style="279" bestFit="1" customWidth="1"/>
    <col min="17" max="26" width="10.25" style="198" bestFit="1" customWidth="1"/>
    <col min="27" max="32" width="10.5" style="198" bestFit="1" customWidth="1"/>
    <col min="33" max="33" width="3.25" style="198" customWidth="1"/>
    <col min="34" max="34" width="12.125" style="198" bestFit="1" customWidth="1"/>
    <col min="35" max="35" width="13" style="198" bestFit="1" customWidth="1"/>
    <col min="36" max="16384" width="9" style="198"/>
  </cols>
  <sheetData>
    <row r="1" spans="1:40" x14ac:dyDescent="0.2">
      <c r="A1" s="197" t="str">
        <f>'ProjectValuation(JO)'!A1</f>
        <v>Bisnis Penyewaan INTEGRATED COLD STORAGE - Revitalitation</v>
      </c>
    </row>
    <row r="2" spans="1:40" x14ac:dyDescent="0.2">
      <c r="A2" s="197" t="str">
        <f>'ProjectValuation(JO)'!A2</f>
        <v>Financial Pre-Feasibility Study</v>
      </c>
    </row>
    <row r="3" spans="1:40" x14ac:dyDescent="0.2">
      <c r="A3" s="199" t="s">
        <v>547</v>
      </c>
    </row>
    <row r="5" spans="1:40" x14ac:dyDescent="0.2">
      <c r="C5" s="392"/>
      <c r="D5" s="690">
        <f>(C20/130000)/12</f>
        <v>1705.0625672205131</v>
      </c>
      <c r="E5" s="654" t="s">
        <v>1153</v>
      </c>
      <c r="I5" s="200"/>
      <c r="AE5" s="198">
        <f>(T28/12)/130000</f>
        <v>620.77369584197493</v>
      </c>
    </row>
    <row r="6" spans="1:40" x14ac:dyDescent="0.2">
      <c r="A6" s="198" t="s">
        <v>1137</v>
      </c>
      <c r="G6" s="156"/>
    </row>
    <row r="7" spans="1:40" ht="20.100000000000001" customHeight="1" x14ac:dyDescent="0.2">
      <c r="A7" s="185" t="s">
        <v>542</v>
      </c>
      <c r="B7" s="185"/>
      <c r="C7" s="186">
        <v>1</v>
      </c>
      <c r="D7" s="186">
        <f>C7+1</f>
        <v>2</v>
      </c>
      <c r="E7" s="186">
        <f t="shared" ref="E7:K7" si="0">D7+1</f>
        <v>3</v>
      </c>
      <c r="F7" s="186">
        <f t="shared" si="0"/>
        <v>4</v>
      </c>
      <c r="G7" s="186">
        <f t="shared" si="0"/>
        <v>5</v>
      </c>
      <c r="H7" s="186">
        <f t="shared" si="0"/>
        <v>6</v>
      </c>
      <c r="I7" s="186">
        <f t="shared" si="0"/>
        <v>7</v>
      </c>
      <c r="J7" s="186">
        <f t="shared" si="0"/>
        <v>8</v>
      </c>
      <c r="K7" s="186">
        <f t="shared" si="0"/>
        <v>9</v>
      </c>
      <c r="L7" s="186">
        <f>K7+1</f>
        <v>10</v>
      </c>
      <c r="M7" s="186">
        <f t="shared" ref="M7:AF7" si="1">L7+1</f>
        <v>11</v>
      </c>
      <c r="N7" s="186">
        <f t="shared" si="1"/>
        <v>12</v>
      </c>
      <c r="O7" s="186">
        <f t="shared" si="1"/>
        <v>13</v>
      </c>
      <c r="P7" s="186">
        <f t="shared" si="1"/>
        <v>14</v>
      </c>
      <c r="Q7" s="186">
        <f t="shared" si="1"/>
        <v>15</v>
      </c>
      <c r="R7" s="186">
        <f t="shared" si="1"/>
        <v>16</v>
      </c>
      <c r="S7" s="186">
        <f t="shared" si="1"/>
        <v>17</v>
      </c>
      <c r="T7" s="186">
        <f t="shared" si="1"/>
        <v>18</v>
      </c>
      <c r="U7" s="186">
        <f t="shared" si="1"/>
        <v>19</v>
      </c>
      <c r="V7" s="186">
        <f t="shared" si="1"/>
        <v>20</v>
      </c>
      <c r="W7" s="186">
        <f t="shared" si="1"/>
        <v>21</v>
      </c>
      <c r="X7" s="186">
        <f t="shared" si="1"/>
        <v>22</v>
      </c>
      <c r="Y7" s="186">
        <f>X7+1</f>
        <v>23</v>
      </c>
      <c r="Z7" s="186">
        <f t="shared" si="1"/>
        <v>24</v>
      </c>
      <c r="AA7" s="186">
        <f t="shared" si="1"/>
        <v>25</v>
      </c>
      <c r="AB7" s="186">
        <f t="shared" si="1"/>
        <v>26</v>
      </c>
      <c r="AC7" s="186">
        <f t="shared" si="1"/>
        <v>27</v>
      </c>
      <c r="AD7" s="186">
        <f t="shared" si="1"/>
        <v>28</v>
      </c>
      <c r="AE7" s="186">
        <f t="shared" si="1"/>
        <v>29</v>
      </c>
      <c r="AF7" s="186">
        <f t="shared" si="1"/>
        <v>30</v>
      </c>
      <c r="AG7" s="202"/>
      <c r="AH7" s="203" t="s">
        <v>72</v>
      </c>
      <c r="AJ7" s="279"/>
    </row>
    <row r="8" spans="1:40" x14ac:dyDescent="0.2">
      <c r="A8" s="298" t="s">
        <v>783</v>
      </c>
      <c r="B8" s="169"/>
      <c r="C8" s="233">
        <f>Revenue!I8</f>
        <v>4056000000</v>
      </c>
      <c r="D8" s="233">
        <f>Revenue!I9</f>
        <v>4455678240</v>
      </c>
      <c r="E8" s="233">
        <f>Revenue!I10</f>
        <v>4894740773.7695999</v>
      </c>
      <c r="F8" s="233">
        <f>Revenue!I11</f>
        <v>5377068529.6168566</v>
      </c>
      <c r="G8" s="233">
        <f>Revenue!I12</f>
        <v>5906924862.5253019</v>
      </c>
      <c r="H8" s="233">
        <f>Revenue!I13</f>
        <v>6488993238.4785452</v>
      </c>
      <c r="I8" s="233">
        <f>Revenue!I14</f>
        <v>7128418632.1982203</v>
      </c>
      <c r="J8" s="233">
        <f>Revenue!I15</f>
        <v>7270987004.8421841</v>
      </c>
      <c r="K8" s="233">
        <f>Revenue!I16</f>
        <v>7416406744.9390268</v>
      </c>
      <c r="L8" s="233">
        <f>Revenue!I17</f>
        <v>7564734879.8378086</v>
      </c>
      <c r="M8" s="233">
        <f>Revenue!I18</f>
        <v>7716029577.4345655</v>
      </c>
      <c r="N8" s="233">
        <f>Revenue!I19</f>
        <v>7870350168.9832563</v>
      </c>
      <c r="O8" s="233">
        <f>Revenue!I20</f>
        <v>8027757172.3629217</v>
      </c>
      <c r="P8" s="233">
        <f>Revenue!I21</f>
        <v>8188312315.8101807</v>
      </c>
      <c r="Q8" s="233">
        <f>Revenue!I22</f>
        <v>8352078562.1263838</v>
      </c>
      <c r="R8" s="233">
        <f>Revenue!I23</f>
        <v>8519120133.3689117</v>
      </c>
      <c r="S8" s="233">
        <f>Revenue!I24</f>
        <v>8689502536.0362892</v>
      </c>
      <c r="T8" s="233">
        <f>Revenue!I25</f>
        <v>8863292586.7570152</v>
      </c>
      <c r="U8" s="233">
        <f>Revenue!I26</f>
        <v>9040558438.492157</v>
      </c>
      <c r="V8" s="233">
        <f>Revenue!I27</f>
        <v>9221369607.262001</v>
      </c>
      <c r="W8" s="233">
        <f>Revenue!I28</f>
        <v>9405796999.4072418</v>
      </c>
      <c r="X8" s="233">
        <f>Revenue!I29</f>
        <v>9593912939.3953857</v>
      </c>
      <c r="Y8" s="233">
        <f>Revenue!I30</f>
        <v>9785791198.1832943</v>
      </c>
      <c r="Z8" s="233">
        <f>Revenue!I31</f>
        <v>9981507022.1469593</v>
      </c>
      <c r="AA8" s="233">
        <f>Revenue!I32</f>
        <v>10181137162.589899</v>
      </c>
      <c r="AB8" s="233">
        <f>Revenue!I33</f>
        <v>10384759905.841698</v>
      </c>
      <c r="AC8" s="233">
        <f>Revenue!I34</f>
        <v>10592455103.958532</v>
      </c>
      <c r="AD8" s="233">
        <f>Revenue!I35</f>
        <v>10804304206.037704</v>
      </c>
      <c r="AE8" s="233">
        <f>Revenue!I36</f>
        <v>11020390290.158457</v>
      </c>
      <c r="AF8" s="233">
        <f>Revenue!I37</f>
        <v>11240798095.961626</v>
      </c>
      <c r="AG8" s="486"/>
      <c r="AH8" s="392">
        <f>SUM(C8:AF8)</f>
        <v>248039176928.52206</v>
      </c>
      <c r="AI8" s="216">
        <f>AH8/30</f>
        <v>8267972564.2840691</v>
      </c>
      <c r="AJ8" s="279" t="s">
        <v>161</v>
      </c>
    </row>
    <row r="9" spans="1:40" x14ac:dyDescent="0.2">
      <c r="A9" s="298" t="s">
        <v>794</v>
      </c>
      <c r="B9" s="169"/>
      <c r="C9" s="233"/>
      <c r="D9" s="233"/>
      <c r="E9" s="233"/>
      <c r="F9" s="233"/>
      <c r="G9" s="233"/>
      <c r="H9" s="233"/>
      <c r="I9" s="233"/>
      <c r="J9" s="233"/>
      <c r="K9" s="233"/>
      <c r="L9" s="233"/>
      <c r="AG9" s="486"/>
      <c r="AH9" s="392"/>
      <c r="AJ9" s="279" t="s">
        <v>791</v>
      </c>
    </row>
    <row r="10" spans="1:40" x14ac:dyDescent="0.2">
      <c r="A10" s="169"/>
      <c r="B10" s="413" t="s">
        <v>1122</v>
      </c>
      <c r="C10" s="233">
        <f>'Cost of Services Sold'!P7</f>
        <v>1098500000</v>
      </c>
      <c r="D10" s="233">
        <f>'Cost of Services Sold'!P8</f>
        <v>1120470000</v>
      </c>
      <c r="E10" s="233">
        <f>'Cost of Services Sold'!P9</f>
        <v>1142879400</v>
      </c>
      <c r="F10" s="233">
        <f>'Cost of Services Sold'!P10</f>
        <v>1165736988</v>
      </c>
      <c r="G10" s="233">
        <f>'Cost of Services Sold'!P11</f>
        <v>1189051727.76</v>
      </c>
      <c r="H10" s="233">
        <f>'Cost of Services Sold'!P12</f>
        <v>1212832762.3152001</v>
      </c>
      <c r="I10" s="233">
        <f>'Cost of Services Sold'!P13</f>
        <v>1237089417.5615041</v>
      </c>
      <c r="J10" s="233">
        <f>'Cost of Services Sold'!P14</f>
        <v>1261831205.9127343</v>
      </c>
      <c r="K10" s="233">
        <f>'Cost of Services Sold'!P15</f>
        <v>1287067830.0309889</v>
      </c>
      <c r="L10" s="233">
        <f>'Cost of Services Sold'!P16</f>
        <v>1312809186.6316087</v>
      </c>
      <c r="M10" s="233">
        <f>'Cost of Services Sold'!P17</f>
        <v>1339065370.3642409</v>
      </c>
      <c r="N10" s="233">
        <f>'Cost of Services Sold'!P18</f>
        <v>1365846677.7715256</v>
      </c>
      <c r="O10" s="233">
        <f>'Cost of Services Sold'!P19</f>
        <v>1393163611.3269563</v>
      </c>
      <c r="P10" s="233">
        <f>'Cost of Services Sold'!P20</f>
        <v>1421026883.5534954</v>
      </c>
      <c r="Q10" s="233">
        <f>'Cost of Services Sold'!P21</f>
        <v>1449447421.2245653</v>
      </c>
      <c r="R10" s="233">
        <f>'Cost of Services Sold'!P22</f>
        <v>1478436369.6490567</v>
      </c>
      <c r="S10" s="233">
        <f>'Cost of Services Sold'!P23</f>
        <v>1508005097.0420377</v>
      </c>
      <c r="T10" s="233">
        <f>'Cost of Services Sold'!P24</f>
        <v>1538165198.9828784</v>
      </c>
      <c r="U10" s="233">
        <f>'Cost of Services Sold'!P25</f>
        <v>1568928502.9625361</v>
      </c>
      <c r="V10" s="233">
        <f>'Cost of Services Sold'!P26</f>
        <v>1600307073.0217869</v>
      </c>
      <c r="W10" s="233">
        <f>'Cost of Services Sold'!P27</f>
        <v>1632313214.4822228</v>
      </c>
      <c r="X10" s="233">
        <f>'Cost of Services Sold'!P28</f>
        <v>1664959478.7718673</v>
      </c>
      <c r="Y10" s="233">
        <f>'Cost of Services Sold'!P29</f>
        <v>1698258668.3473046</v>
      </c>
      <c r="Z10" s="233">
        <f>'Cost of Services Sold'!P30</f>
        <v>1732223841.7142508</v>
      </c>
      <c r="AA10" s="233">
        <f>'Cost of Services Sold'!P31</f>
        <v>1766868318.5485358</v>
      </c>
      <c r="AB10" s="233">
        <f>'Cost of Services Sold'!P32</f>
        <v>1802205684.9195065</v>
      </c>
      <c r="AC10" s="233">
        <f>'Cost of Services Sold'!P33</f>
        <v>1838249798.6178968</v>
      </c>
      <c r="AD10" s="233">
        <f>'Cost of Services Sold'!P34</f>
        <v>1875014794.5902548</v>
      </c>
      <c r="AE10" s="233">
        <f>'Cost of Services Sold'!P35</f>
        <v>1912515090.48206</v>
      </c>
      <c r="AF10" s="233">
        <f>'Cost of Services Sold'!P36</f>
        <v>1950765392.2917011</v>
      </c>
      <c r="AG10" s="486"/>
      <c r="AH10" s="392">
        <f>SUM(C10:AF10)</f>
        <v>44564035006.876724</v>
      </c>
      <c r="AJ10" s="279"/>
      <c r="AK10" s="198" t="s">
        <v>848</v>
      </c>
      <c r="AM10" s="415">
        <f>AH10/$AH$20</f>
        <v>0.4235021736307189</v>
      </c>
      <c r="AN10" s="415">
        <f>AH10/($AH$20+$AH$28)</f>
        <v>0.33435324803782146</v>
      </c>
    </row>
    <row r="11" spans="1:40" x14ac:dyDescent="0.2">
      <c r="A11" s="169"/>
      <c r="B11" s="414" t="s">
        <v>910</v>
      </c>
      <c r="C11" s="233">
        <f>'Cost of Services Sold'!Q7</f>
        <v>78000000</v>
      </c>
      <c r="D11" s="233">
        <f>'Cost of Services Sold'!Q8</f>
        <v>79560000</v>
      </c>
      <c r="E11" s="233">
        <f>'Cost of Services Sold'!Q9</f>
        <v>81151200</v>
      </c>
      <c r="F11" s="233">
        <f>'Cost of Services Sold'!Q10</f>
        <v>82774224</v>
      </c>
      <c r="G11" s="233">
        <f>'Cost of Services Sold'!Q11</f>
        <v>84429708.480000004</v>
      </c>
      <c r="H11" s="233">
        <f>'Cost of Services Sold'!Q12</f>
        <v>86118302.649599999</v>
      </c>
      <c r="I11" s="233">
        <f>'Cost of Services Sold'!Q13</f>
        <v>87840668.702592</v>
      </c>
      <c r="J11" s="233">
        <f>'Cost of Services Sold'!Q14</f>
        <v>89597482.076643839</v>
      </c>
      <c r="K11" s="233">
        <f>'Cost of Services Sold'!Q15</f>
        <v>91389431.718176723</v>
      </c>
      <c r="L11" s="233">
        <f>'Cost of Services Sold'!Q16</f>
        <v>93217220.352540255</v>
      </c>
      <c r="M11" s="233">
        <f>'Cost of Services Sold'!Q17</f>
        <v>95081564.759591058</v>
      </c>
      <c r="N11" s="233">
        <f>'Cost of Services Sold'!Q18</f>
        <v>96983196.054782882</v>
      </c>
      <c r="O11" s="233">
        <f>'Cost of Services Sold'!Q19</f>
        <v>98922859.975878537</v>
      </c>
      <c r="P11" s="233">
        <f>'Cost of Services Sold'!Q20</f>
        <v>100901317.17539611</v>
      </c>
      <c r="Q11" s="233">
        <f>'Cost of Services Sold'!Q21</f>
        <v>102919343.51890405</v>
      </c>
      <c r="R11" s="233">
        <f>'Cost of Services Sold'!Q22</f>
        <v>104977730.38928212</v>
      </c>
      <c r="S11" s="233">
        <f>'Cost of Services Sold'!Q23</f>
        <v>107077284.99706776</v>
      </c>
      <c r="T11" s="233">
        <f>'Cost of Services Sold'!Q24</f>
        <v>109218830.69700912</v>
      </c>
      <c r="U11" s="233">
        <f>'Cost of Services Sold'!Q25</f>
        <v>111403207.3109493</v>
      </c>
      <c r="V11" s="233">
        <f>'Cost of Services Sold'!Q26</f>
        <v>113631271.45716828</v>
      </c>
      <c r="W11" s="233">
        <f>'Cost of Services Sold'!Q27</f>
        <v>115903896.88631165</v>
      </c>
      <c r="X11" s="233">
        <f>'Cost of Services Sold'!Q28</f>
        <v>118221974.82403788</v>
      </c>
      <c r="Y11" s="233">
        <f>'Cost of Services Sold'!Q29</f>
        <v>120586414.32051864</v>
      </c>
      <c r="Z11" s="233">
        <f>'Cost of Services Sold'!Q30</f>
        <v>122998142.60692902</v>
      </c>
      <c r="AA11" s="233">
        <f>'Cost of Services Sold'!Q31</f>
        <v>125458105.4590676</v>
      </c>
      <c r="AB11" s="233">
        <f>'Cost of Services Sold'!Q32</f>
        <v>127967267.56824896</v>
      </c>
      <c r="AC11" s="233">
        <f>'Cost of Services Sold'!Q33</f>
        <v>130526612.91961394</v>
      </c>
      <c r="AD11" s="233">
        <f>'Cost of Services Sold'!Q34</f>
        <v>133137145.17800622</v>
      </c>
      <c r="AE11" s="233">
        <f>'Cost of Services Sold'!Q35</f>
        <v>135799888.08156633</v>
      </c>
      <c r="AF11" s="233">
        <f>'Cost of Services Sold'!Q36</f>
        <v>138515885.84319767</v>
      </c>
      <c r="AG11" s="486"/>
      <c r="AH11" s="392">
        <f>SUM(C11:AF11)</f>
        <v>3164310178.0030799</v>
      </c>
      <c r="AJ11" s="279"/>
      <c r="AK11" s="198" t="s">
        <v>919</v>
      </c>
      <c r="AM11" s="415">
        <f>AH11/$AH$20</f>
        <v>3.0071160257802518E-2</v>
      </c>
      <c r="AN11" s="415">
        <f>AH11/($AH$20+$AH$28)</f>
        <v>2.3741059032271337E-2</v>
      </c>
    </row>
    <row r="12" spans="1:40" x14ac:dyDescent="0.2">
      <c r="A12" s="169"/>
      <c r="B12" s="414" t="s">
        <v>912</v>
      </c>
      <c r="C12" s="233">
        <f>'Cost of Services Sold'!R7</f>
        <v>74880000</v>
      </c>
      <c r="D12" s="233">
        <f>'Cost of Services Sold'!R8</f>
        <v>76377600</v>
      </c>
      <c r="E12" s="233">
        <f>'Cost of Services Sold'!R9</f>
        <v>77905152</v>
      </c>
      <c r="F12" s="233">
        <f>'Cost of Services Sold'!R10</f>
        <v>79463255.040000007</v>
      </c>
      <c r="G12" s="233">
        <f>'Cost of Services Sold'!R11</f>
        <v>81052520.140800014</v>
      </c>
      <c r="H12" s="233">
        <f>'Cost of Services Sold'!R12</f>
        <v>82673570.543616012</v>
      </c>
      <c r="I12" s="233">
        <f>'Cost of Services Sold'!R13</f>
        <v>84327041.954488337</v>
      </c>
      <c r="J12" s="233">
        <f>'Cost of Services Sold'!R14</f>
        <v>86013582.793578103</v>
      </c>
      <c r="K12" s="233">
        <f>'Cost of Services Sold'!R15</f>
        <v>87733854.449449673</v>
      </c>
      <c r="L12" s="233">
        <f>'Cost of Services Sold'!R16</f>
        <v>89488531.538438663</v>
      </c>
      <c r="M12" s="233">
        <f>'Cost of Services Sold'!R17</f>
        <v>91278302.169207439</v>
      </c>
      <c r="N12" s="233">
        <f>'Cost of Services Sold'!R18</f>
        <v>93103868.212591588</v>
      </c>
      <c r="O12" s="233">
        <f>'Cost of Services Sold'!R19</f>
        <v>94965945.576843426</v>
      </c>
      <c r="P12" s="233">
        <f>'Cost of Services Sold'!R20</f>
        <v>96865264.488380298</v>
      </c>
      <c r="Q12" s="233">
        <f>'Cost of Services Sold'!R21</f>
        <v>98802569.778147906</v>
      </c>
      <c r="R12" s="233">
        <f>'Cost of Services Sold'!R22</f>
        <v>100778621.17371087</v>
      </c>
      <c r="S12" s="233">
        <f>'Cost of Services Sold'!R23</f>
        <v>102794193.59718509</v>
      </c>
      <c r="T12" s="233">
        <f>'Cost of Services Sold'!R24</f>
        <v>104850077.46912879</v>
      </c>
      <c r="U12" s="233">
        <f>'Cost of Services Sold'!R25</f>
        <v>106947079.01851137</v>
      </c>
      <c r="V12" s="233">
        <f>'Cost of Services Sold'!R26</f>
        <v>109086020.5988816</v>
      </c>
      <c r="W12" s="233">
        <f>'Cost of Services Sold'!R27</f>
        <v>111267741.01085924</v>
      </c>
      <c r="X12" s="233">
        <f>'Cost of Services Sold'!R28</f>
        <v>113493095.83107643</v>
      </c>
      <c r="Y12" s="233">
        <f>'Cost of Services Sold'!R29</f>
        <v>115762957.74769796</v>
      </c>
      <c r="Z12" s="233">
        <f>'Cost of Services Sold'!R30</f>
        <v>118078216.90265192</v>
      </c>
      <c r="AA12" s="233">
        <f>'Cost of Services Sold'!R31</f>
        <v>120439781.24070497</v>
      </c>
      <c r="AB12" s="233">
        <f>'Cost of Services Sold'!R32</f>
        <v>122848576.86551908</v>
      </c>
      <c r="AC12" s="233">
        <f>'Cost of Services Sold'!R33</f>
        <v>125305548.40282945</v>
      </c>
      <c r="AD12" s="233">
        <f>'Cost of Services Sold'!R34</f>
        <v>127811659.37088604</v>
      </c>
      <c r="AE12" s="233">
        <f>'Cost of Services Sold'!R35</f>
        <v>130367892.55830376</v>
      </c>
      <c r="AF12" s="233">
        <f>'Cost of Services Sold'!R36</f>
        <v>132975250.40946984</v>
      </c>
      <c r="AG12" s="486"/>
      <c r="AH12" s="392">
        <f t="shared" ref="AH12:AH19" si="2">SUM(C12:AF12)</f>
        <v>3037737770.8829575</v>
      </c>
      <c r="AJ12" s="279"/>
      <c r="AK12" s="198" t="s">
        <v>918</v>
      </c>
      <c r="AM12" s="415">
        <f>AH12/$AH$20</f>
        <v>2.8868313847490425E-2</v>
      </c>
      <c r="AN12" s="415">
        <f>AH12/($AH$20+$AH$28)</f>
        <v>2.2791416670980488E-2</v>
      </c>
    </row>
    <row r="13" spans="1:40" x14ac:dyDescent="0.2">
      <c r="A13" s="169"/>
      <c r="B13" s="413" t="s">
        <v>772</v>
      </c>
      <c r="C13" s="233">
        <f>'Cost of Services Sold'!S7</f>
        <v>124800000</v>
      </c>
      <c r="D13" s="233">
        <f>'Cost of Services Sold'!S8</f>
        <v>127296000</v>
      </c>
      <c r="E13" s="233">
        <f>'Cost of Services Sold'!S9</f>
        <v>129841920</v>
      </c>
      <c r="F13" s="233">
        <f>'Cost of Services Sold'!S10</f>
        <v>132438758.40000001</v>
      </c>
      <c r="G13" s="233">
        <f>'Cost of Services Sold'!S11</f>
        <v>135087533.56800002</v>
      </c>
      <c r="H13" s="233">
        <f>'Cost of Services Sold'!S12</f>
        <v>137789284.23936003</v>
      </c>
      <c r="I13" s="233">
        <f>'Cost of Services Sold'!S13</f>
        <v>140545069.92414725</v>
      </c>
      <c r="J13" s="233">
        <f>'Cost of Services Sold'!S14</f>
        <v>143355971.3226302</v>
      </c>
      <c r="K13" s="233">
        <f>'Cost of Services Sold'!S15</f>
        <v>146223090.7490828</v>
      </c>
      <c r="L13" s="233">
        <f>'Cost of Services Sold'!S16</f>
        <v>149147552.56406447</v>
      </c>
      <c r="M13" s="233">
        <f>'Cost of Services Sold'!S17</f>
        <v>152130503.61534578</v>
      </c>
      <c r="N13" s="233">
        <f>'Cost of Services Sold'!S18</f>
        <v>155173113.68765271</v>
      </c>
      <c r="O13" s="233">
        <f>'Cost of Services Sold'!S19</f>
        <v>158276575.96140575</v>
      </c>
      <c r="P13" s="233">
        <f>'Cost of Services Sold'!S20</f>
        <v>161442107.48063388</v>
      </c>
      <c r="Q13" s="233">
        <f>'Cost of Services Sold'!S21</f>
        <v>164670949.63024658</v>
      </c>
      <c r="R13" s="233">
        <f>'Cost of Services Sold'!S22</f>
        <v>167964368.62285152</v>
      </c>
      <c r="S13" s="233">
        <f>'Cost of Services Sold'!S23</f>
        <v>171323655.99530855</v>
      </c>
      <c r="T13" s="233">
        <f>'Cost of Services Sold'!S24</f>
        <v>174750129.11521474</v>
      </c>
      <c r="U13" s="233">
        <f>'Cost of Services Sold'!S25</f>
        <v>178245131.69751903</v>
      </c>
      <c r="V13" s="233">
        <f>'Cost of Services Sold'!S26</f>
        <v>181810034.33146942</v>
      </c>
      <c r="W13" s="233">
        <f>'Cost of Services Sold'!S27</f>
        <v>185446235.0180988</v>
      </c>
      <c r="X13" s="233">
        <f>'Cost of Services Sold'!S28</f>
        <v>189155159.71846077</v>
      </c>
      <c r="Y13" s="233">
        <f>'Cost of Services Sold'!S29</f>
        <v>192938262.91283</v>
      </c>
      <c r="Z13" s="233">
        <f>'Cost of Services Sold'!S30</f>
        <v>196797028.17108661</v>
      </c>
      <c r="AA13" s="233">
        <f>'Cost of Services Sold'!S31</f>
        <v>200732968.73450834</v>
      </c>
      <c r="AB13" s="233">
        <f>'Cost of Services Sold'!S32</f>
        <v>204747628.10919851</v>
      </c>
      <c r="AC13" s="233">
        <f>'Cost of Services Sold'!S33</f>
        <v>208842580.67138249</v>
      </c>
      <c r="AD13" s="233">
        <f>'Cost of Services Sold'!S34</f>
        <v>213019432.28481013</v>
      </c>
      <c r="AE13" s="233">
        <f>'Cost of Services Sold'!S35</f>
        <v>217279820.93050632</v>
      </c>
      <c r="AF13" s="233">
        <f>'Cost of Services Sold'!S36</f>
        <v>221625417.34911644</v>
      </c>
      <c r="AG13" s="486"/>
      <c r="AH13" s="392">
        <f t="shared" si="2"/>
        <v>5062896284.8049316</v>
      </c>
      <c r="AJ13" s="279"/>
      <c r="AK13" s="198" t="s">
        <v>849</v>
      </c>
      <c r="AM13" s="415">
        <f>AH13/$AH$20</f>
        <v>4.8113856412484064E-2</v>
      </c>
      <c r="AN13" s="415">
        <f>AH13/($AH$20+$AH$28)</f>
        <v>3.7985694451634168E-2</v>
      </c>
    </row>
    <row r="14" spans="1:40" x14ac:dyDescent="0.2">
      <c r="A14" s="169"/>
      <c r="B14" s="413" t="s">
        <v>1127</v>
      </c>
      <c r="C14" s="233">
        <f>'Cost of Services Sold'!V7</f>
        <v>149500000</v>
      </c>
      <c r="D14" s="233">
        <f>'Cost of Services Sold'!V8</f>
        <v>152490000</v>
      </c>
      <c r="E14" s="233">
        <f>'Cost of Services Sold'!V9</f>
        <v>155539800</v>
      </c>
      <c r="F14" s="233">
        <f>'Cost of Services Sold'!V10</f>
        <v>158650596</v>
      </c>
      <c r="G14" s="233">
        <f>'Cost of Services Sold'!V11</f>
        <v>161823607.92000002</v>
      </c>
      <c r="H14" s="233">
        <f>'Cost of Services Sold'!V12</f>
        <v>165060080.07840002</v>
      </c>
      <c r="I14" s="233">
        <f>'Cost of Services Sold'!V13</f>
        <v>168361281.67996803</v>
      </c>
      <c r="J14" s="233">
        <f>'Cost of Services Sold'!V14</f>
        <v>171728507.3135674</v>
      </c>
      <c r="K14" s="233">
        <f>'Cost of Services Sold'!V15</f>
        <v>175163077.45983875</v>
      </c>
      <c r="L14" s="233">
        <f>'Cost of Services Sold'!V16</f>
        <v>178666339.00903553</v>
      </c>
      <c r="M14" s="233">
        <f>'Cost of Services Sold'!V17</f>
        <v>182239665.78921625</v>
      </c>
      <c r="N14" s="233">
        <f>'Cost of Services Sold'!V18</f>
        <v>185884459.10500059</v>
      </c>
      <c r="O14" s="233">
        <f>'Cost of Services Sold'!V19</f>
        <v>189602148.28710061</v>
      </c>
      <c r="P14" s="233">
        <f>'Cost of Services Sold'!V20</f>
        <v>193394191.25284263</v>
      </c>
      <c r="Q14" s="233">
        <f>'Cost of Services Sold'!V21</f>
        <v>197262075.07789949</v>
      </c>
      <c r="R14" s="233">
        <f>'Cost of Services Sold'!V22</f>
        <v>201207316.57945749</v>
      </c>
      <c r="S14" s="233">
        <f>'Cost of Services Sold'!V23</f>
        <v>205231462.91104665</v>
      </c>
      <c r="T14" s="233">
        <f>'Cost of Services Sold'!V24</f>
        <v>209336092.16926759</v>
      </c>
      <c r="U14" s="233">
        <f>'Cost of Services Sold'!V25</f>
        <v>213522814.01265296</v>
      </c>
      <c r="V14" s="233">
        <f>'Cost of Services Sold'!V26</f>
        <v>217793270.29290602</v>
      </c>
      <c r="W14" s="233">
        <f>'Cost of Services Sold'!V27</f>
        <v>222149135.69876415</v>
      </c>
      <c r="X14" s="233">
        <f>'Cost of Services Sold'!V28</f>
        <v>226592118.41273943</v>
      </c>
      <c r="Y14" s="233">
        <f>'Cost of Services Sold'!V29</f>
        <v>231123960.78099421</v>
      </c>
      <c r="Z14" s="233">
        <f>'Cost of Services Sold'!V30</f>
        <v>235746439.9966141</v>
      </c>
      <c r="AA14" s="233">
        <f>'Cost of Services Sold'!V31</f>
        <v>240461368.7965464</v>
      </c>
      <c r="AB14" s="233">
        <f>'Cost of Services Sold'!V32</f>
        <v>245270596.17247733</v>
      </c>
      <c r="AC14" s="233">
        <f>'Cost of Services Sold'!V33</f>
        <v>250176008.09592688</v>
      </c>
      <c r="AD14" s="233">
        <f>'Cost of Services Sold'!V34</f>
        <v>255179528.25784543</v>
      </c>
      <c r="AE14" s="233">
        <f>'Cost of Services Sold'!V35</f>
        <v>260283118.82300234</v>
      </c>
      <c r="AF14" s="233">
        <f>'Cost of Services Sold'!V36</f>
        <v>265488781.19946238</v>
      </c>
      <c r="AG14" s="486"/>
      <c r="AH14" s="392">
        <f t="shared" si="2"/>
        <v>6064927841.1725721</v>
      </c>
      <c r="AJ14" s="279"/>
      <c r="AM14" s="415"/>
      <c r="AN14" s="415"/>
    </row>
    <row r="15" spans="1:40" x14ac:dyDescent="0.2">
      <c r="A15" s="169"/>
      <c r="B15" s="413" t="s">
        <v>774</v>
      </c>
      <c r="C15" s="233">
        <f>'Cost of Services Sold'!T7</f>
        <v>68952000</v>
      </c>
      <c r="D15" s="233">
        <f>'Cost of Services Sold'!T8</f>
        <v>70331040</v>
      </c>
      <c r="E15" s="233">
        <f>'Cost of Services Sold'!T9</f>
        <v>71737660.799999997</v>
      </c>
      <c r="F15" s="233">
        <f>'Cost of Services Sold'!T10</f>
        <v>73172414.016000003</v>
      </c>
      <c r="G15" s="233">
        <f>'Cost of Services Sold'!T11</f>
        <v>74635862.296320006</v>
      </c>
      <c r="H15" s="233">
        <f>'Cost of Services Sold'!T12</f>
        <v>76128579.542246401</v>
      </c>
      <c r="I15" s="233">
        <f>'Cost of Services Sold'!T13</f>
        <v>77651151.133091331</v>
      </c>
      <c r="J15" s="233">
        <f>'Cost of Services Sold'!T14</f>
        <v>79204174.155753165</v>
      </c>
      <c r="K15" s="233">
        <f>'Cost of Services Sold'!T15</f>
        <v>80788257.638868228</v>
      </c>
      <c r="L15" s="233">
        <f>'Cost of Services Sold'!T16</f>
        <v>82404022.791645586</v>
      </c>
      <c r="M15" s="233">
        <f>'Cost of Services Sold'!T17</f>
        <v>84052103.2474785</v>
      </c>
      <c r="N15" s="233">
        <f>'Cost of Services Sold'!T18</f>
        <v>85733145.312428072</v>
      </c>
      <c r="O15" s="233">
        <f>'Cost of Services Sold'!T19</f>
        <v>87447808.218676642</v>
      </c>
      <c r="P15" s="233">
        <f>'Cost of Services Sold'!T20</f>
        <v>89196764.383050174</v>
      </c>
      <c r="Q15" s="233">
        <f>'Cost of Services Sold'!T21</f>
        <v>90980699.670711175</v>
      </c>
      <c r="R15" s="233">
        <f>'Cost of Services Sold'!T22</f>
        <v>92800313.664125398</v>
      </c>
      <c r="S15" s="233">
        <f>'Cost of Services Sold'!T23</f>
        <v>94656319.937407911</v>
      </c>
      <c r="T15" s="233">
        <f>'Cost of Services Sold'!T24</f>
        <v>96549446.33615607</v>
      </c>
      <c r="U15" s="233">
        <f>'Cost of Services Sold'!T25</f>
        <v>98480435.262879193</v>
      </c>
      <c r="V15" s="233">
        <f>'Cost of Services Sold'!T26</f>
        <v>100450043.96813677</v>
      </c>
      <c r="W15" s="233">
        <f>'Cost of Services Sold'!T27</f>
        <v>102459044.8474995</v>
      </c>
      <c r="X15" s="233">
        <f>'Cost of Services Sold'!T28</f>
        <v>104508225.7444495</v>
      </c>
      <c r="Y15" s="233">
        <f>'Cost of Services Sold'!T29</f>
        <v>106598390.25933848</v>
      </c>
      <c r="Z15" s="233">
        <f>'Cost of Services Sold'!T30</f>
        <v>108730358.06452526</v>
      </c>
      <c r="AA15" s="233">
        <f>'Cost of Services Sold'!T31</f>
        <v>110904965.22581577</v>
      </c>
      <c r="AB15" s="233">
        <f>'Cost of Services Sold'!T32</f>
        <v>113123064.53033209</v>
      </c>
      <c r="AC15" s="233">
        <f>'Cost of Services Sold'!T33</f>
        <v>115385525.82093874</v>
      </c>
      <c r="AD15" s="233">
        <f>'Cost of Services Sold'!T34</f>
        <v>117693236.33735751</v>
      </c>
      <c r="AE15" s="233">
        <f>'Cost of Services Sold'!T35</f>
        <v>120047101.06410466</v>
      </c>
      <c r="AF15" s="233">
        <f>'Cost of Services Sold'!T36</f>
        <v>122448043.08538675</v>
      </c>
      <c r="AG15" s="486"/>
      <c r="AH15" s="392">
        <f t="shared" si="2"/>
        <v>2797250197.354723</v>
      </c>
      <c r="AJ15" s="279"/>
      <c r="AK15" s="198" t="s">
        <v>71</v>
      </c>
      <c r="AM15" s="415">
        <f t="shared" ref="AM15:AM20" si="3">AH15/$AH$20</f>
        <v>2.6582905667897429E-2</v>
      </c>
      <c r="AN15" s="415">
        <f t="shared" ref="AN15:AN20" si="4">AH15/($AH$20+$AH$28)</f>
        <v>2.0987096184527865E-2</v>
      </c>
    </row>
    <row r="16" spans="1:40" x14ac:dyDescent="0.2">
      <c r="A16" s="169"/>
      <c r="B16" s="413" t="s">
        <v>1017</v>
      </c>
      <c r="C16" s="233">
        <f>'Cost of Services Sold'!W7</f>
        <v>120000000</v>
      </c>
      <c r="D16" s="233">
        <f>'Cost of Services Sold'!W8</f>
        <v>122400000</v>
      </c>
      <c r="E16" s="233">
        <f>'Cost of Services Sold'!W9</f>
        <v>124848000</v>
      </c>
      <c r="F16" s="233">
        <f>'Cost of Services Sold'!W10</f>
        <v>127344960</v>
      </c>
      <c r="G16" s="233">
        <f>'Cost of Services Sold'!W11</f>
        <v>129891859.2</v>
      </c>
      <c r="H16" s="233">
        <f>'Cost of Services Sold'!W12</f>
        <v>132489696.384</v>
      </c>
      <c r="I16" s="233">
        <f>'Cost of Services Sold'!W13</f>
        <v>135139490.31168002</v>
      </c>
      <c r="J16" s="233">
        <f>'Cost of Services Sold'!W14</f>
        <v>137842280.11791363</v>
      </c>
      <c r="K16" s="233">
        <f>'Cost of Services Sold'!W15</f>
        <v>140599125.72027192</v>
      </c>
      <c r="L16" s="233">
        <f>'Cost of Services Sold'!W16</f>
        <v>143411108.23467734</v>
      </c>
      <c r="M16" s="233">
        <f>'Cost of Services Sold'!W17</f>
        <v>146279330.39937091</v>
      </c>
      <c r="N16" s="233">
        <f>'Cost of Services Sold'!W18</f>
        <v>149204917.00735834</v>
      </c>
      <c r="O16" s="233">
        <f>'Cost of Services Sold'!W19</f>
        <v>152189015.34750551</v>
      </c>
      <c r="P16" s="233">
        <f>'Cost of Services Sold'!W20</f>
        <v>155232795.65445563</v>
      </c>
      <c r="Q16" s="233">
        <f>'Cost of Services Sold'!W21</f>
        <v>158337451.56754476</v>
      </c>
      <c r="R16" s="233">
        <f>'Cost of Services Sold'!W22</f>
        <v>161504200.59889567</v>
      </c>
      <c r="S16" s="233">
        <f>'Cost of Services Sold'!W23</f>
        <v>164734284.61087358</v>
      </c>
      <c r="T16" s="233">
        <f>'Cost of Services Sold'!W24</f>
        <v>168028970.30309105</v>
      </c>
      <c r="U16" s="233">
        <f>'Cost of Services Sold'!W25</f>
        <v>171389549.70915288</v>
      </c>
      <c r="V16" s="233">
        <f>'Cost of Services Sold'!W26</f>
        <v>174817340.70333594</v>
      </c>
      <c r="W16" s="233">
        <f>'Cost of Services Sold'!W27</f>
        <v>178313687.51740265</v>
      </c>
      <c r="X16" s="233">
        <f>'Cost of Services Sold'!W28</f>
        <v>181879961.26775071</v>
      </c>
      <c r="Y16" s="233">
        <f>'Cost of Services Sold'!W29</f>
        <v>185517560.49310574</v>
      </c>
      <c r="Z16" s="233">
        <f>'Cost of Services Sold'!W30</f>
        <v>189227911.70296785</v>
      </c>
      <c r="AA16" s="233">
        <f>'Cost of Services Sold'!W31</f>
        <v>193012469.93702722</v>
      </c>
      <c r="AB16" s="233">
        <f>'Cost of Services Sold'!W32</f>
        <v>196872719.33576778</v>
      </c>
      <c r="AC16" s="233">
        <f>'Cost of Services Sold'!W33</f>
        <v>200810173.72248313</v>
      </c>
      <c r="AD16" s="233">
        <f>'Cost of Services Sold'!W34</f>
        <v>204826377.19693279</v>
      </c>
      <c r="AE16" s="233">
        <f>'Cost of Services Sold'!W35</f>
        <v>208922904.74087146</v>
      </c>
      <c r="AF16" s="233">
        <f>'Cost of Services Sold'!W36</f>
        <v>213101362.83568889</v>
      </c>
      <c r="AG16" s="486"/>
      <c r="AH16" s="392">
        <f t="shared" si="2"/>
        <v>4868169504.6201258</v>
      </c>
      <c r="AJ16" s="279"/>
      <c r="AK16" s="198" t="s">
        <v>698</v>
      </c>
      <c r="AM16" s="415">
        <f t="shared" si="3"/>
        <v>4.626332347354236E-2</v>
      </c>
      <c r="AN16" s="415">
        <f t="shared" si="4"/>
        <v>3.6524706203494385E-2</v>
      </c>
    </row>
    <row r="17" spans="1:40" x14ac:dyDescent="0.2">
      <c r="A17" s="169"/>
      <c r="B17" s="413" t="s">
        <v>775</v>
      </c>
      <c r="C17" s="233">
        <f>'Cost of Services Sold'!X7</f>
        <v>805265604.86400008</v>
      </c>
      <c r="D17" s="233">
        <f>'Cost of Services Sold'!X8</f>
        <v>821370916.96128011</v>
      </c>
      <c r="E17" s="233">
        <f>'Cost of Services Sold'!X9</f>
        <v>837798335.30050576</v>
      </c>
      <c r="F17" s="233">
        <f>'Cost of Services Sold'!X10</f>
        <v>854554302.00651586</v>
      </c>
      <c r="G17" s="233">
        <f>'Cost of Services Sold'!X11</f>
        <v>871645388.04664624</v>
      </c>
      <c r="H17" s="233">
        <f>'Cost of Services Sold'!X12</f>
        <v>889078295.80757916</v>
      </c>
      <c r="I17" s="233">
        <f>'Cost of Services Sold'!X13</f>
        <v>906859861.7237308</v>
      </c>
      <c r="J17" s="233">
        <f>'Cost of Services Sold'!X14</f>
        <v>924997058.95820546</v>
      </c>
      <c r="K17" s="233">
        <f>'Cost of Services Sold'!X15</f>
        <v>943497000.13736963</v>
      </c>
      <c r="L17" s="233">
        <f>'Cost of Services Sold'!X16</f>
        <v>962366940.14011705</v>
      </c>
      <c r="M17" s="233">
        <f>'Cost of Services Sold'!X17</f>
        <v>981614278.94291937</v>
      </c>
      <c r="N17" s="233">
        <f>'Cost of Services Sold'!X18</f>
        <v>1001246564.5217777</v>
      </c>
      <c r="O17" s="233">
        <f>'Cost of Services Sold'!X19</f>
        <v>1021271495.8122133</v>
      </c>
      <c r="P17" s="233">
        <f>'Cost of Services Sold'!X20</f>
        <v>1041696925.7284576</v>
      </c>
      <c r="Q17" s="233">
        <f>'Cost of Services Sold'!X21</f>
        <v>1062530864.2430267</v>
      </c>
      <c r="R17" s="233">
        <f>'Cost of Services Sold'!X22</f>
        <v>1083781481.5278873</v>
      </c>
      <c r="S17" s="233">
        <f>'Cost of Services Sold'!X23</f>
        <v>1105457111.1584451</v>
      </c>
      <c r="T17" s="233">
        <f>'Cost of Services Sold'!X24</f>
        <v>1127566253.381614</v>
      </c>
      <c r="U17" s="233">
        <f>'Cost of Services Sold'!X25</f>
        <v>1150117578.4492462</v>
      </c>
      <c r="V17" s="233">
        <f>'Cost of Services Sold'!X26</f>
        <v>1173119930.0182312</v>
      </c>
      <c r="W17" s="233">
        <f>'Cost of Services Sold'!X27</f>
        <v>1196582328.6185958</v>
      </c>
      <c r="X17" s="233">
        <f>'Cost of Services Sold'!X28</f>
        <v>1220513975.1909678</v>
      </c>
      <c r="Y17" s="233">
        <f>'Cost of Services Sold'!X29</f>
        <v>1244924254.6947873</v>
      </c>
      <c r="Z17" s="233">
        <f>'Cost of Services Sold'!X30</f>
        <v>1269822739.7886829</v>
      </c>
      <c r="AA17" s="233">
        <f>'Cost of Services Sold'!X31</f>
        <v>1295219194.5844567</v>
      </c>
      <c r="AB17" s="233">
        <f>'Cost of Services Sold'!X32</f>
        <v>1321123578.4761457</v>
      </c>
      <c r="AC17" s="233">
        <f>'Cost of Services Sold'!X33</f>
        <v>1347546050.0456686</v>
      </c>
      <c r="AD17" s="233">
        <f>'Cost of Services Sold'!X34</f>
        <v>1374496971.046582</v>
      </c>
      <c r="AE17" s="233">
        <f>'Cost of Services Sold'!X35</f>
        <v>1401986910.4675136</v>
      </c>
      <c r="AF17" s="233">
        <f>'Cost of Services Sold'!X36</f>
        <v>1430026648.6768639</v>
      </c>
      <c r="AG17" s="486"/>
      <c r="AH17" s="392">
        <f t="shared" si="2"/>
        <v>32668078839.320038</v>
      </c>
      <c r="AJ17" s="279"/>
      <c r="AK17" s="198" t="s">
        <v>76</v>
      </c>
      <c r="AM17" s="415">
        <f t="shared" si="3"/>
        <v>0.31045219299950816</v>
      </c>
      <c r="AN17" s="415">
        <f t="shared" si="4"/>
        <v>0.24510074694530665</v>
      </c>
    </row>
    <row r="18" spans="1:40" s="169" customFormat="1" x14ac:dyDescent="0.2">
      <c r="B18" s="413" t="s">
        <v>839</v>
      </c>
      <c r="C18" s="233">
        <f>'Cost of Services Sold'!Y7</f>
        <v>80000000</v>
      </c>
      <c r="D18" s="233">
        <f>'Cost of Services Sold'!Y8</f>
        <v>80000000</v>
      </c>
      <c r="E18" s="233">
        <f>'Cost of Services Sold'!Y9</f>
        <v>80000000</v>
      </c>
      <c r="F18" s="233">
        <f>'Cost of Services Sold'!Y10</f>
        <v>80000000</v>
      </c>
      <c r="G18" s="233">
        <f>'Cost of Services Sold'!Y11</f>
        <v>80000000</v>
      </c>
      <c r="H18" s="233">
        <f>'Cost of Services Sold'!Y12</f>
        <v>80000000</v>
      </c>
      <c r="I18" s="233">
        <f>'Cost of Services Sold'!Y13</f>
        <v>80000000</v>
      </c>
      <c r="J18" s="233">
        <f>'Cost of Services Sold'!Y14</f>
        <v>80000000</v>
      </c>
      <c r="K18" s="233">
        <f>'Cost of Services Sold'!Y15</f>
        <v>80000000</v>
      </c>
      <c r="L18" s="233">
        <f>'Cost of Services Sold'!Y16</f>
        <v>80000000</v>
      </c>
      <c r="M18" s="233">
        <f>'Cost of Services Sold'!Y17</f>
        <v>80000000</v>
      </c>
      <c r="N18" s="233">
        <f>'Cost of Services Sold'!Y18</f>
        <v>80000000</v>
      </c>
      <c r="O18" s="233">
        <f>'Cost of Services Sold'!Y19</f>
        <v>80000000</v>
      </c>
      <c r="P18" s="233">
        <f>'Cost of Services Sold'!Y20</f>
        <v>80000000</v>
      </c>
      <c r="Q18" s="233">
        <f>'Cost of Services Sold'!Y21</f>
        <v>80000000</v>
      </c>
      <c r="R18" s="233">
        <f>'Cost of Services Sold'!Y22</f>
        <v>80000000</v>
      </c>
      <c r="S18" s="233">
        <f>'Cost of Services Sold'!Y23</f>
        <v>80000000</v>
      </c>
      <c r="T18" s="233">
        <f>'Cost of Services Sold'!Y24</f>
        <v>80000000</v>
      </c>
      <c r="U18" s="233">
        <f>'Cost of Services Sold'!Y25</f>
        <v>80000000</v>
      </c>
      <c r="V18" s="233">
        <f>'Cost of Services Sold'!Y26</f>
        <v>80000000</v>
      </c>
      <c r="W18" s="233">
        <f>'Cost of Services Sold'!Y27</f>
        <v>80000000</v>
      </c>
      <c r="X18" s="233">
        <f>'Cost of Services Sold'!Y28</f>
        <v>80000000</v>
      </c>
      <c r="Y18" s="233">
        <f>'Cost of Services Sold'!Y29</f>
        <v>80000000</v>
      </c>
      <c r="Z18" s="233">
        <f>'Cost of Services Sold'!Y30</f>
        <v>80000000</v>
      </c>
      <c r="AA18" s="233">
        <f>'Cost of Services Sold'!Y31</f>
        <v>80000000</v>
      </c>
      <c r="AB18" s="233">
        <f>'Cost of Services Sold'!Y32</f>
        <v>80000000</v>
      </c>
      <c r="AC18" s="233">
        <f>'Cost of Services Sold'!Y33</f>
        <v>80000000</v>
      </c>
      <c r="AD18" s="233">
        <f>'Cost of Services Sold'!Y34</f>
        <v>80000000</v>
      </c>
      <c r="AE18" s="233">
        <f>'Cost of Services Sold'!Y35</f>
        <v>80000000</v>
      </c>
      <c r="AF18" s="233">
        <f>'Cost of Services Sold'!Y36</f>
        <v>80000000</v>
      </c>
      <c r="AG18" s="233"/>
      <c r="AH18" s="233">
        <f t="shared" si="2"/>
        <v>2400000000</v>
      </c>
      <c r="AJ18" s="298"/>
      <c r="AK18" s="169" t="s">
        <v>850</v>
      </c>
      <c r="AM18" s="680">
        <f t="shared" si="3"/>
        <v>2.2807746573147672E-2</v>
      </c>
      <c r="AN18" s="680">
        <f t="shared" si="4"/>
        <v>1.8006623394110181E-2</v>
      </c>
    </row>
    <row r="19" spans="1:40" x14ac:dyDescent="0.2">
      <c r="A19" s="169"/>
      <c r="B19" s="413" t="s">
        <v>972</v>
      </c>
      <c r="C19" s="493">
        <f>'Cost of Services Sold'!Z7</f>
        <v>60000000</v>
      </c>
      <c r="D19" s="493">
        <f>'Cost of Services Sold'!Z8</f>
        <v>60000000</v>
      </c>
      <c r="E19" s="493">
        <f>'Cost of Services Sold'!Z9</f>
        <v>60000000</v>
      </c>
      <c r="F19" s="493">
        <f>'Cost of Services Sold'!Z10</f>
        <v>60000000</v>
      </c>
      <c r="G19" s="493">
        <f>'Cost of Services Sold'!Z11</f>
        <v>60000000</v>
      </c>
      <c r="H19" s="493">
        <f>'Cost of Services Sold'!Z12</f>
        <v>60000000</v>
      </c>
      <c r="I19" s="493">
        <f>'Cost of Services Sold'!Z13</f>
        <v>60000000</v>
      </c>
      <c r="J19" s="493">
        <f>'Cost of Services Sold'!Z14</f>
        <v>60000000</v>
      </c>
      <c r="K19" s="493">
        <f>'Cost of Services Sold'!Z15</f>
        <v>60000000</v>
      </c>
      <c r="L19" s="493">
        <f>'Cost of Services Sold'!Z16</f>
        <v>60000000</v>
      </c>
      <c r="M19" s="493">
        <f>'Cost of Services Sold'!Z17</f>
        <v>0</v>
      </c>
      <c r="N19" s="493">
        <f>'Cost of Services Sold'!Z18</f>
        <v>0</v>
      </c>
      <c r="O19" s="493">
        <f>'Cost of Services Sold'!Z19</f>
        <v>0</v>
      </c>
      <c r="P19" s="493">
        <f>'Cost of Services Sold'!Z20</f>
        <v>0</v>
      </c>
      <c r="Q19" s="493">
        <f>'Cost of Services Sold'!Z21</f>
        <v>0</v>
      </c>
      <c r="R19" s="493">
        <f>'Cost of Services Sold'!Z22</f>
        <v>0</v>
      </c>
      <c r="S19" s="493">
        <f>'Cost of Services Sold'!Z23</f>
        <v>0</v>
      </c>
      <c r="T19" s="493">
        <f>'Cost of Services Sold'!Z24</f>
        <v>0</v>
      </c>
      <c r="U19" s="493">
        <f>'Cost of Services Sold'!Z25</f>
        <v>0</v>
      </c>
      <c r="V19" s="493">
        <f>'Cost of Services Sold'!Z26</f>
        <v>0</v>
      </c>
      <c r="W19" s="493">
        <f>'Cost of Services Sold'!Z27</f>
        <v>0</v>
      </c>
      <c r="X19" s="493">
        <f>'Cost of Services Sold'!Z28</f>
        <v>0</v>
      </c>
      <c r="Y19" s="493">
        <f>'Cost of Services Sold'!Z29</f>
        <v>0</v>
      </c>
      <c r="Z19" s="493">
        <f>'Cost of Services Sold'!Z30</f>
        <v>0</v>
      </c>
      <c r="AA19" s="493">
        <f>'Cost of Services Sold'!Z31</f>
        <v>0</v>
      </c>
      <c r="AB19" s="493">
        <f>'Cost of Services Sold'!Z32</f>
        <v>0</v>
      </c>
      <c r="AC19" s="493">
        <f>'Cost of Services Sold'!Z33</f>
        <v>0</v>
      </c>
      <c r="AD19" s="493">
        <f>'Cost of Services Sold'!Z34</f>
        <v>0</v>
      </c>
      <c r="AE19" s="493">
        <f>'Cost of Services Sold'!Z35</f>
        <v>0</v>
      </c>
      <c r="AF19" s="493">
        <f>'Cost of Services Sold'!Z36</f>
        <v>0</v>
      </c>
      <c r="AG19" s="486"/>
      <c r="AH19" s="392">
        <f t="shared" si="2"/>
        <v>600000000</v>
      </c>
      <c r="AJ19" s="279"/>
      <c r="AK19" s="198" t="s">
        <v>973</v>
      </c>
      <c r="AM19" s="499">
        <f t="shared" si="3"/>
        <v>5.701936643286918E-3</v>
      </c>
      <c r="AN19" s="499">
        <f t="shared" si="4"/>
        <v>4.5016558485275453E-3</v>
      </c>
    </row>
    <row r="20" spans="1:40" x14ac:dyDescent="0.2">
      <c r="A20" s="169"/>
      <c r="B20" s="169"/>
      <c r="C20" s="233">
        <f>SUM(C10:C19)</f>
        <v>2659897604.8640003</v>
      </c>
      <c r="D20" s="233">
        <f t="shared" ref="D20:AF20" si="5">SUM(D10:D19)</f>
        <v>2710295556.9612799</v>
      </c>
      <c r="E20" s="233">
        <f t="shared" si="5"/>
        <v>2761701468.1005058</v>
      </c>
      <c r="F20" s="233">
        <f t="shared" si="5"/>
        <v>2814135497.4625158</v>
      </c>
      <c r="G20" s="233">
        <f t="shared" si="5"/>
        <v>2867618207.4117665</v>
      </c>
      <c r="H20" s="233">
        <f t="shared" si="5"/>
        <v>2922170571.5600019</v>
      </c>
      <c r="I20" s="233">
        <f t="shared" si="5"/>
        <v>2977813982.9912019</v>
      </c>
      <c r="J20" s="233">
        <f t="shared" si="5"/>
        <v>3034570262.6510262</v>
      </c>
      <c r="K20" s="233">
        <f t="shared" si="5"/>
        <v>3092461667.904047</v>
      </c>
      <c r="L20" s="233">
        <f t="shared" si="5"/>
        <v>3151510901.2621274</v>
      </c>
      <c r="M20" s="233">
        <f t="shared" si="5"/>
        <v>3151741119.2873702</v>
      </c>
      <c r="N20" s="233">
        <f t="shared" si="5"/>
        <v>3213175941.6731176</v>
      </c>
      <c r="O20" s="233">
        <f t="shared" si="5"/>
        <v>3275839460.5065799</v>
      </c>
      <c r="P20" s="233">
        <f t="shared" si="5"/>
        <v>3339756249.7167115</v>
      </c>
      <c r="Q20" s="233">
        <f t="shared" si="5"/>
        <v>3404951374.7110462</v>
      </c>
      <c r="R20" s="233">
        <f t="shared" si="5"/>
        <v>3471450402.2052674</v>
      </c>
      <c r="S20" s="233">
        <f t="shared" si="5"/>
        <v>3539279410.2493725</v>
      </c>
      <c r="T20" s="233">
        <f t="shared" si="5"/>
        <v>3608464998.45436</v>
      </c>
      <c r="U20" s="233">
        <f t="shared" si="5"/>
        <v>3679034298.4234467</v>
      </c>
      <c r="V20" s="233">
        <f t="shared" si="5"/>
        <v>3751014984.3919163</v>
      </c>
      <c r="W20" s="233">
        <f t="shared" si="5"/>
        <v>3824435284.0797548</v>
      </c>
      <c r="X20" s="233">
        <f t="shared" si="5"/>
        <v>3899323989.7613497</v>
      </c>
      <c r="Y20" s="233">
        <f t="shared" si="5"/>
        <v>3975710469.5565777</v>
      </c>
      <c r="Z20" s="233">
        <f t="shared" si="5"/>
        <v>4053624678.9477081</v>
      </c>
      <c r="AA20" s="233">
        <f t="shared" si="5"/>
        <v>4133097172.5266628</v>
      </c>
      <c r="AB20" s="233">
        <f t="shared" si="5"/>
        <v>4214159115.9771957</v>
      </c>
      <c r="AC20" s="233">
        <f t="shared" si="5"/>
        <v>4296842298.2967396</v>
      </c>
      <c r="AD20" s="233">
        <f t="shared" si="5"/>
        <v>4381179144.2626753</v>
      </c>
      <c r="AE20" s="233">
        <f t="shared" si="5"/>
        <v>4467202727.1479282</v>
      </c>
      <c r="AF20" s="233">
        <f t="shared" si="5"/>
        <v>4554946781.6908875</v>
      </c>
      <c r="AG20" s="486"/>
      <c r="AH20" s="392">
        <f>SUM(AH10:AH19)</f>
        <v>105227405623.03516</v>
      </c>
      <c r="AI20" s="392">
        <f>AH20+AH28</f>
        <v>133284289201.32913</v>
      </c>
      <c r="AJ20" s="279"/>
      <c r="AM20" s="415">
        <f t="shared" si="3"/>
        <v>1</v>
      </c>
      <c r="AN20" s="500">
        <f t="shared" si="4"/>
        <v>0.78949594324719419</v>
      </c>
    </row>
    <row r="21" spans="1:40" x14ac:dyDescent="0.2">
      <c r="A21" s="298" t="s">
        <v>796</v>
      </c>
      <c r="B21" s="169"/>
      <c r="C21" s="676">
        <f>C8-C20</f>
        <v>1396102395.1359997</v>
      </c>
      <c r="D21" s="676">
        <f t="shared" ref="D21:AF21" si="6">D8-D20</f>
        <v>1745382683.0387201</v>
      </c>
      <c r="E21" s="676">
        <f t="shared" si="6"/>
        <v>2133039305.6690941</v>
      </c>
      <c r="F21" s="676">
        <f t="shared" si="6"/>
        <v>2562933032.1543407</v>
      </c>
      <c r="G21" s="676">
        <f t="shared" si="6"/>
        <v>3039306655.1135354</v>
      </c>
      <c r="H21" s="676">
        <f t="shared" si="6"/>
        <v>3566822666.9185433</v>
      </c>
      <c r="I21" s="676">
        <f t="shared" si="6"/>
        <v>4150604649.2070184</v>
      </c>
      <c r="J21" s="676">
        <f t="shared" si="6"/>
        <v>4236416742.1911578</v>
      </c>
      <c r="K21" s="676">
        <f t="shared" si="6"/>
        <v>4323945077.0349798</v>
      </c>
      <c r="L21" s="676">
        <f t="shared" si="6"/>
        <v>4413223978.5756817</v>
      </c>
      <c r="M21" s="676">
        <f t="shared" si="6"/>
        <v>4564288458.1471958</v>
      </c>
      <c r="N21" s="676">
        <f t="shared" si="6"/>
        <v>4657174227.3101387</v>
      </c>
      <c r="O21" s="676">
        <f t="shared" si="6"/>
        <v>4751917711.8563423</v>
      </c>
      <c r="P21" s="676">
        <f t="shared" si="6"/>
        <v>4848556066.0934696</v>
      </c>
      <c r="Q21" s="676">
        <f t="shared" si="6"/>
        <v>4947127187.4153376</v>
      </c>
      <c r="R21" s="676">
        <f t="shared" si="6"/>
        <v>5047669731.1636448</v>
      </c>
      <c r="S21" s="676">
        <f t="shared" si="6"/>
        <v>5150223125.7869167</v>
      </c>
      <c r="T21" s="676">
        <f t="shared" si="6"/>
        <v>5254827588.3026552</v>
      </c>
      <c r="U21" s="676">
        <f t="shared" si="6"/>
        <v>5361524140.0687103</v>
      </c>
      <c r="V21" s="676">
        <f t="shared" si="6"/>
        <v>5470354622.8700848</v>
      </c>
      <c r="W21" s="676">
        <f t="shared" si="6"/>
        <v>5581361715.327487</v>
      </c>
      <c r="X21" s="676">
        <f t="shared" si="6"/>
        <v>5694588949.6340361</v>
      </c>
      <c r="Y21" s="676">
        <f t="shared" si="6"/>
        <v>5810080728.6267166</v>
      </c>
      <c r="Z21" s="676">
        <f t="shared" si="6"/>
        <v>5927882343.1992512</v>
      </c>
      <c r="AA21" s="676">
        <f t="shared" si="6"/>
        <v>6048039990.0632362</v>
      </c>
      <c r="AB21" s="676">
        <f>AB8-AB20</f>
        <v>6170600789.864502</v>
      </c>
      <c r="AC21" s="676">
        <f t="shared" si="6"/>
        <v>6295612805.6617928</v>
      </c>
      <c r="AD21" s="676">
        <f t="shared" si="6"/>
        <v>6423125061.7750292</v>
      </c>
      <c r="AE21" s="676">
        <f t="shared" si="6"/>
        <v>6553187563.0105286</v>
      </c>
      <c r="AF21" s="676">
        <f t="shared" si="6"/>
        <v>6685851314.2707386</v>
      </c>
      <c r="AG21" s="486"/>
      <c r="AH21" s="392">
        <f>AH8-AH20</f>
        <v>142811771305.48691</v>
      </c>
      <c r="AI21" s="216">
        <f>AI20/30</f>
        <v>4442809640.0443048</v>
      </c>
      <c r="AJ21" s="279" t="s">
        <v>283</v>
      </c>
      <c r="AN21" s="415"/>
    </row>
    <row r="22" spans="1:40" x14ac:dyDescent="0.2">
      <c r="A22" s="298" t="s">
        <v>799</v>
      </c>
      <c r="B22" s="169"/>
      <c r="C22" s="233"/>
      <c r="D22" s="233"/>
      <c r="E22" s="233"/>
      <c r="F22" s="233"/>
      <c r="G22" s="233"/>
      <c r="H22" s="233"/>
      <c r="I22" s="233"/>
      <c r="J22" s="233"/>
      <c r="K22" s="233"/>
      <c r="L22" s="233"/>
      <c r="AG22" s="486"/>
      <c r="AH22" s="392"/>
      <c r="AJ22" s="279" t="s">
        <v>798</v>
      </c>
      <c r="AN22" s="415"/>
    </row>
    <row r="23" spans="1:40" x14ac:dyDescent="0.2">
      <c r="A23" s="169"/>
      <c r="B23" s="228" t="s">
        <v>765</v>
      </c>
      <c r="C23" s="233">
        <f>'SG&amp;A'!H7</f>
        <v>526500000</v>
      </c>
      <c r="D23" s="233">
        <f>'SG&amp;A'!H8</f>
        <v>537030000</v>
      </c>
      <c r="E23" s="233">
        <f>'SG&amp;A'!H9</f>
        <v>547770600</v>
      </c>
      <c r="F23" s="233">
        <f>'SG&amp;A'!H10</f>
        <v>558726012</v>
      </c>
      <c r="G23" s="233">
        <f>'SG&amp;A'!H11</f>
        <v>569900532.24000001</v>
      </c>
      <c r="H23" s="233">
        <f>'SG&amp;A'!H12</f>
        <v>581298542.88480008</v>
      </c>
      <c r="I23" s="233">
        <f>'SG&amp;A'!H13</f>
        <v>592924513.74249613</v>
      </c>
      <c r="J23" s="233">
        <f>'SG&amp;A'!H14</f>
        <v>604783004.01734602</v>
      </c>
      <c r="K23" s="233">
        <f>'SG&amp;A'!H15</f>
        <v>616878664.09769297</v>
      </c>
      <c r="L23" s="233">
        <f>'SG&amp;A'!H16</f>
        <v>629216237.37964678</v>
      </c>
      <c r="M23" s="233">
        <f>'SG&amp;A'!H17</f>
        <v>641800562.1272397</v>
      </c>
      <c r="N23" s="233">
        <f>'SG&amp;A'!H18</f>
        <v>654636573.36978447</v>
      </c>
      <c r="O23" s="233">
        <f>'SG&amp;A'!H19</f>
        <v>667729304.83718014</v>
      </c>
      <c r="P23" s="233">
        <f>'SG&amp;A'!H20</f>
        <v>681083890.93392372</v>
      </c>
      <c r="Q23" s="233">
        <f>'SG&amp;A'!H21</f>
        <v>694705568.75260222</v>
      </c>
      <c r="R23" s="233">
        <f>'SG&amp;A'!H22</f>
        <v>708599680.12765431</v>
      </c>
      <c r="S23" s="233">
        <f>'SG&amp;A'!H23</f>
        <v>722771673.73020744</v>
      </c>
      <c r="T23" s="233">
        <f>'SG&amp;A'!H24</f>
        <v>737227107.20481157</v>
      </c>
      <c r="U23" s="233">
        <f>'SG&amp;A'!H25</f>
        <v>751971649.34890783</v>
      </c>
      <c r="V23" s="233">
        <f>'SG&amp;A'!H26</f>
        <v>767011082.335886</v>
      </c>
      <c r="W23" s="233">
        <f>'SG&amp;A'!H27</f>
        <v>782351303.98260379</v>
      </c>
      <c r="X23" s="233">
        <f>'SG&amp;A'!H28</f>
        <v>797998330.06225586</v>
      </c>
      <c r="Y23" s="233">
        <f>'SG&amp;A'!H29</f>
        <v>813958296.66350102</v>
      </c>
      <c r="Z23" s="233">
        <f>'SG&amp;A'!H30</f>
        <v>830237462.596771</v>
      </c>
      <c r="AA23" s="233">
        <f>'SG&amp;A'!H31</f>
        <v>846842211.84870648</v>
      </c>
      <c r="AB23" s="233">
        <f>'SG&amp;A'!H32</f>
        <v>863779056.0856806</v>
      </c>
      <c r="AC23" s="233">
        <f>'SG&amp;A'!H33</f>
        <v>881054637.20739424</v>
      </c>
      <c r="AD23" s="233">
        <f>'SG&amp;A'!H34</f>
        <v>898675729.95154214</v>
      </c>
      <c r="AE23" s="233">
        <f>'SG&amp;A'!H35</f>
        <v>916649244.55057299</v>
      </c>
      <c r="AF23" s="233">
        <f>'SG&amp;A'!H36</f>
        <v>934982229.44158447</v>
      </c>
      <c r="AG23" s="486"/>
      <c r="AH23" s="392">
        <f>SUM(C23:AF23)</f>
        <v>21359093701.52079</v>
      </c>
      <c r="AJ23" s="279"/>
      <c r="AK23" s="198" t="s">
        <v>848</v>
      </c>
      <c r="AM23" s="415">
        <f t="shared" ref="AM23:AM28" si="7">AH23/$AH$28</f>
        <v>0.76127819548872167</v>
      </c>
      <c r="AN23" s="415">
        <f t="shared" ref="AN23:AN28" si="8">AH23/($AH$20+$AH$28)</f>
        <v>0.16025214846783153</v>
      </c>
    </row>
    <row r="24" spans="1:40" x14ac:dyDescent="0.2">
      <c r="A24" s="169"/>
      <c r="B24" s="228" t="s">
        <v>767</v>
      </c>
      <c r="C24" s="233">
        <f>'SG&amp;A'!I7</f>
        <v>144300000</v>
      </c>
      <c r="D24" s="233">
        <f>'SG&amp;A'!I8</f>
        <v>147186000</v>
      </c>
      <c r="E24" s="233">
        <f>'SG&amp;A'!I9</f>
        <v>150129720</v>
      </c>
      <c r="F24" s="233">
        <f>'SG&amp;A'!I10</f>
        <v>153132314.40000001</v>
      </c>
      <c r="G24" s="233">
        <f>'SG&amp;A'!I11</f>
        <v>156194960.68800002</v>
      </c>
      <c r="H24" s="233">
        <f>'SG&amp;A'!I12</f>
        <v>159318859.90176001</v>
      </c>
      <c r="I24" s="233">
        <f>'SG&amp;A'!I13</f>
        <v>162505237.09979522</v>
      </c>
      <c r="J24" s="233">
        <f>'SG&amp;A'!I14</f>
        <v>165755341.84179112</v>
      </c>
      <c r="K24" s="233">
        <f>'SG&amp;A'!I15</f>
        <v>169070448.67862695</v>
      </c>
      <c r="L24" s="233">
        <f>'SG&amp;A'!I16</f>
        <v>172451857.65219951</v>
      </c>
      <c r="M24" s="156">
        <f>'SG&amp;A'!I17</f>
        <v>175900894.80524349</v>
      </c>
      <c r="N24" s="156">
        <f>'SG&amp;A'!I18</f>
        <v>179418912.70134836</v>
      </c>
      <c r="O24" s="156">
        <f>'SG&amp;A'!I19</f>
        <v>183007290.95537534</v>
      </c>
      <c r="P24" s="156">
        <f>'SG&amp;A'!I20</f>
        <v>186667436.77448285</v>
      </c>
      <c r="Q24" s="156">
        <f>'SG&amp;A'!I21</f>
        <v>190400785.50997251</v>
      </c>
      <c r="R24" s="156">
        <f>'SG&amp;A'!I22</f>
        <v>194208801.22017196</v>
      </c>
      <c r="S24" s="156">
        <f>'SG&amp;A'!I23</f>
        <v>198092977.24457541</v>
      </c>
      <c r="T24" s="156">
        <f>'SG&amp;A'!I24</f>
        <v>202054836.78946692</v>
      </c>
      <c r="U24" s="156">
        <f>'SG&amp;A'!I25</f>
        <v>206095933.52525625</v>
      </c>
      <c r="V24" s="156">
        <f>'SG&amp;A'!I26</f>
        <v>210217852.19576138</v>
      </c>
      <c r="W24" s="156">
        <f>'SG&amp;A'!I27</f>
        <v>214422209.23967662</v>
      </c>
      <c r="X24" s="156">
        <f>'SG&amp;A'!I28</f>
        <v>218710653.42447016</v>
      </c>
      <c r="Y24" s="156">
        <f>'SG&amp;A'!I29</f>
        <v>223084866.49295956</v>
      </c>
      <c r="Z24" s="156">
        <f>'SG&amp;A'!I30</f>
        <v>227546563.82281876</v>
      </c>
      <c r="AA24" s="156">
        <f>'SG&amp;A'!I31</f>
        <v>232097495.09927514</v>
      </c>
      <c r="AB24" s="156">
        <f>'SG&amp;A'!I32</f>
        <v>236739445.00126064</v>
      </c>
      <c r="AC24" s="156">
        <f>'SG&amp;A'!I33</f>
        <v>241474233.90128586</v>
      </c>
      <c r="AD24" s="156">
        <f>'SG&amp;A'!I34</f>
        <v>246303718.57931158</v>
      </c>
      <c r="AE24" s="156">
        <f>'SG&amp;A'!I35</f>
        <v>251229792.95089781</v>
      </c>
      <c r="AF24" s="156">
        <f>'SG&amp;A'!I36</f>
        <v>256254388.80991578</v>
      </c>
      <c r="AG24" s="486"/>
      <c r="AH24" s="392">
        <f t="shared" ref="AH24:AH27" si="9">SUM(C24:AF24)</f>
        <v>5853973829.3056993</v>
      </c>
      <c r="AJ24" s="279"/>
      <c r="AK24" s="198" t="s">
        <v>851</v>
      </c>
      <c r="AM24" s="415">
        <f t="shared" si="7"/>
        <v>0.20864661654135341</v>
      </c>
      <c r="AN24" s="415">
        <f t="shared" si="8"/>
        <v>4.392095920970198E-2</v>
      </c>
    </row>
    <row r="25" spans="1:40" x14ac:dyDescent="0.2">
      <c r="A25" s="169"/>
      <c r="B25" s="228" t="s">
        <v>696</v>
      </c>
      <c r="C25" s="233">
        <f>'SG&amp;A'!J7</f>
        <v>4800000</v>
      </c>
      <c r="D25" s="233">
        <f>'SG&amp;A'!J8</f>
        <v>4896000</v>
      </c>
      <c r="E25" s="233">
        <f>'SG&amp;A'!J9</f>
        <v>4993920</v>
      </c>
      <c r="F25" s="233">
        <f>'SG&amp;A'!J10</f>
        <v>5093798.4000000004</v>
      </c>
      <c r="G25" s="233">
        <f>'SG&amp;A'!J11</f>
        <v>5195674.3680000007</v>
      </c>
      <c r="H25" s="233">
        <f>'SG&amp;A'!J12</f>
        <v>5299587.8553600004</v>
      </c>
      <c r="I25" s="233">
        <f>'SG&amp;A'!J13</f>
        <v>5405579.6124672005</v>
      </c>
      <c r="J25" s="233">
        <f>'SG&amp;A'!J14</f>
        <v>5513691.2047165446</v>
      </c>
      <c r="K25" s="233">
        <f>'SG&amp;A'!J15</f>
        <v>5623965.0288108755</v>
      </c>
      <c r="L25" s="233">
        <f>'SG&amp;A'!J16</f>
        <v>5736444.329387093</v>
      </c>
      <c r="M25" s="156">
        <f>'SG&amp;A'!J17</f>
        <v>5851173.2159748347</v>
      </c>
      <c r="N25" s="156">
        <f>'SG&amp;A'!J18</f>
        <v>5968196.6802943312</v>
      </c>
      <c r="O25" s="156">
        <f>'SG&amp;A'!J19</f>
        <v>6087560.6139002182</v>
      </c>
      <c r="P25" s="156">
        <f>'SG&amp;A'!J20</f>
        <v>6209311.8261782229</v>
      </c>
      <c r="Q25" s="156">
        <f>'SG&amp;A'!J21</f>
        <v>6333498.0627017878</v>
      </c>
      <c r="R25" s="156">
        <f>'SG&amp;A'!J22</f>
        <v>6460168.0239558239</v>
      </c>
      <c r="S25" s="156">
        <f>'SG&amp;A'!J23</f>
        <v>6589371.3844349403</v>
      </c>
      <c r="T25" s="156">
        <f>'SG&amp;A'!J24</f>
        <v>6721158.8121236395</v>
      </c>
      <c r="U25" s="156">
        <f>'SG&amp;A'!J25</f>
        <v>6855581.9883661121</v>
      </c>
      <c r="V25" s="156">
        <f>'SG&amp;A'!J26</f>
        <v>6992693.6281334348</v>
      </c>
      <c r="W25" s="156">
        <f>'SG&amp;A'!J27</f>
        <v>7132547.500696104</v>
      </c>
      <c r="X25" s="156">
        <f>'SG&amp;A'!J28</f>
        <v>7275198.4507100265</v>
      </c>
      <c r="Y25" s="156">
        <f>'SG&amp;A'!J29</f>
        <v>7420702.4197242269</v>
      </c>
      <c r="Z25" s="156">
        <f>'SG&amp;A'!J30</f>
        <v>7569116.4681187114</v>
      </c>
      <c r="AA25" s="156">
        <f>'SG&amp;A'!J31</f>
        <v>7720498.7974810861</v>
      </c>
      <c r="AB25" s="156">
        <f>'SG&amp;A'!J32</f>
        <v>7874908.7734307079</v>
      </c>
      <c r="AC25" s="156">
        <f>'SG&amp;A'!J33</f>
        <v>8032406.9488993222</v>
      </c>
      <c r="AD25" s="156">
        <f>'SG&amp;A'!J34</f>
        <v>8193055.0878773089</v>
      </c>
      <c r="AE25" s="156">
        <f>'SG&amp;A'!J35</f>
        <v>8356916.1896348549</v>
      </c>
      <c r="AF25" s="156">
        <f>'SG&amp;A'!J36</f>
        <v>8524054.5134275518</v>
      </c>
      <c r="AG25" s="486"/>
      <c r="AH25" s="392">
        <f t="shared" si="9"/>
        <v>194726780.18480495</v>
      </c>
      <c r="AJ25" s="279"/>
      <c r="AK25" s="198" t="s">
        <v>852</v>
      </c>
      <c r="AM25" s="415">
        <f t="shared" si="7"/>
        <v>6.940427993059572E-3</v>
      </c>
      <c r="AN25" s="415">
        <f t="shared" si="8"/>
        <v>1.4609882481397747E-3</v>
      </c>
    </row>
    <row r="26" spans="1:40" x14ac:dyDescent="0.2">
      <c r="A26" s="169"/>
      <c r="B26" s="228" t="s">
        <v>766</v>
      </c>
      <c r="C26" s="233">
        <f>'SG&amp;A'!K7</f>
        <v>6000000</v>
      </c>
      <c r="D26" s="233">
        <f>'SG&amp;A'!K8</f>
        <v>6120000</v>
      </c>
      <c r="E26" s="233">
        <f>'SG&amp;A'!K9</f>
        <v>6242400</v>
      </c>
      <c r="F26" s="233">
        <f>'SG&amp;A'!K10</f>
        <v>6367248</v>
      </c>
      <c r="G26" s="233">
        <f>'SG&amp;A'!K11</f>
        <v>6494592.96</v>
      </c>
      <c r="H26" s="233">
        <f>'SG&amp;A'!K12</f>
        <v>6624484.8191999998</v>
      </c>
      <c r="I26" s="233">
        <f>'SG&amp;A'!K13</f>
        <v>6756974.5155839995</v>
      </c>
      <c r="J26" s="233">
        <f>'SG&amp;A'!K14</f>
        <v>6892114.0058956798</v>
      </c>
      <c r="K26" s="233">
        <f>'SG&amp;A'!K15</f>
        <v>7029956.2860135939</v>
      </c>
      <c r="L26" s="233">
        <f>'SG&amp;A'!K16</f>
        <v>7170555.4117338657</v>
      </c>
      <c r="M26" s="156">
        <f>'SG&amp;A'!K17</f>
        <v>7313966.5199685432</v>
      </c>
      <c r="N26" s="156">
        <f>'SG&amp;A'!K18</f>
        <v>7460245.850367914</v>
      </c>
      <c r="O26" s="156">
        <f>'SG&amp;A'!K19</f>
        <v>7609450.7673752727</v>
      </c>
      <c r="P26" s="156">
        <f>'SG&amp;A'!K20</f>
        <v>7761639.7827227786</v>
      </c>
      <c r="Q26" s="156">
        <f>'SG&amp;A'!K21</f>
        <v>7916872.5783772347</v>
      </c>
      <c r="R26" s="156">
        <f>'SG&amp;A'!K22</f>
        <v>8075210.0299447794</v>
      </c>
      <c r="S26" s="156">
        <f>'SG&amp;A'!K23</f>
        <v>8236714.2305436749</v>
      </c>
      <c r="T26" s="156">
        <f>'SG&amp;A'!K24</f>
        <v>8401448.515154548</v>
      </c>
      <c r="U26" s="156">
        <f>'SG&amp;A'!K25</f>
        <v>8569477.4854576383</v>
      </c>
      <c r="V26" s="156">
        <f>'SG&amp;A'!K26</f>
        <v>8740867.0351667907</v>
      </c>
      <c r="W26" s="156">
        <f>'SG&amp;A'!K27</f>
        <v>8915684.3758701272</v>
      </c>
      <c r="X26" s="156">
        <f>'SG&amp;A'!K28</f>
        <v>9093998.0633875299</v>
      </c>
      <c r="Y26" s="156">
        <f>'SG&amp;A'!K29</f>
        <v>9275878.0246552806</v>
      </c>
      <c r="Z26" s="156">
        <f>'SG&amp;A'!K30</f>
        <v>9461395.5851483867</v>
      </c>
      <c r="AA26" s="156">
        <f>'SG&amp;A'!K31</f>
        <v>9650623.4968513548</v>
      </c>
      <c r="AB26" s="156">
        <f>'SG&amp;A'!K32</f>
        <v>9843635.9667883813</v>
      </c>
      <c r="AC26" s="156">
        <f>'SG&amp;A'!K33</f>
        <v>10040508.68612415</v>
      </c>
      <c r="AD26" s="156">
        <f>'SG&amp;A'!K34</f>
        <v>10241318.859846633</v>
      </c>
      <c r="AE26" s="156">
        <f>'SG&amp;A'!K35</f>
        <v>10446145.237043565</v>
      </c>
      <c r="AF26" s="156">
        <f>'SG&amp;A'!K36</f>
        <v>10655068.141784437</v>
      </c>
      <c r="AG26" s="486"/>
      <c r="AH26" s="392">
        <f t="shared" si="9"/>
        <v>243408475.23100618</v>
      </c>
      <c r="AJ26" s="279"/>
      <c r="AK26" s="198" t="s">
        <v>335</v>
      </c>
      <c r="AM26" s="415">
        <f t="shared" si="7"/>
        <v>8.6755349913244639E-3</v>
      </c>
      <c r="AN26" s="415">
        <f t="shared" si="8"/>
        <v>1.8262353101747184E-3</v>
      </c>
    </row>
    <row r="27" spans="1:40" x14ac:dyDescent="0.2">
      <c r="A27" s="169"/>
      <c r="B27" s="228" t="s">
        <v>920</v>
      </c>
      <c r="C27" s="529">
        <f>'SG&amp;A'!L7</f>
        <v>10000000</v>
      </c>
      <c r="D27" s="529">
        <f>'SG&amp;A'!L8</f>
        <v>10200000</v>
      </c>
      <c r="E27" s="529">
        <f>'SG&amp;A'!L9</f>
        <v>10404000</v>
      </c>
      <c r="F27" s="529">
        <f>'SG&amp;A'!L10</f>
        <v>10612080</v>
      </c>
      <c r="G27" s="529">
        <f>'SG&amp;A'!L11</f>
        <v>10824321.6</v>
      </c>
      <c r="H27" s="529">
        <f>'SG&amp;A'!L12</f>
        <v>11040808.032</v>
      </c>
      <c r="I27" s="529">
        <f>'SG&amp;A'!L13</f>
        <v>11261624.192639999</v>
      </c>
      <c r="J27" s="529">
        <f>'SG&amp;A'!L14</f>
        <v>11486856.676492799</v>
      </c>
      <c r="K27" s="529">
        <f>'SG&amp;A'!L15</f>
        <v>11716593.810022656</v>
      </c>
      <c r="L27" s="529">
        <f>'SG&amp;A'!L16</f>
        <v>11950925.686223108</v>
      </c>
      <c r="M27" s="670">
        <f>'SG&amp;A'!L17</f>
        <v>12189944.199947571</v>
      </c>
      <c r="N27" s="670">
        <f>'SG&amp;A'!L18</f>
        <v>12433743.083946522</v>
      </c>
      <c r="O27" s="670">
        <f>'SG&amp;A'!L19</f>
        <v>12682417.945625452</v>
      </c>
      <c r="P27" s="670">
        <f>'SG&amp;A'!L20</f>
        <v>12936066.304537961</v>
      </c>
      <c r="Q27" s="670">
        <f>'SG&amp;A'!L21</f>
        <v>13194787.63062872</v>
      </c>
      <c r="R27" s="670">
        <f>'SG&amp;A'!L22</f>
        <v>13458683.383241294</v>
      </c>
      <c r="S27" s="670">
        <f>'SG&amp;A'!L23</f>
        <v>13727857.05090612</v>
      </c>
      <c r="T27" s="670">
        <f>'SG&amp;A'!L24</f>
        <v>14002414.191924242</v>
      </c>
      <c r="U27" s="670">
        <f>'SG&amp;A'!L25</f>
        <v>14282462.475762727</v>
      </c>
      <c r="V27" s="670">
        <f>'SG&amp;A'!L26</f>
        <v>14568111.725277981</v>
      </c>
      <c r="W27" s="670">
        <f>'SG&amp;A'!L27</f>
        <v>14859473.959783541</v>
      </c>
      <c r="X27" s="670">
        <f>'SG&amp;A'!L28</f>
        <v>15156663.438979212</v>
      </c>
      <c r="Y27" s="670">
        <f>'SG&amp;A'!L29</f>
        <v>15459796.707758797</v>
      </c>
      <c r="Z27" s="670">
        <f>'SG&amp;A'!L30</f>
        <v>15768992.641913973</v>
      </c>
      <c r="AA27" s="670">
        <f>'SG&amp;A'!L31</f>
        <v>16084372.494752252</v>
      </c>
      <c r="AB27" s="670">
        <f>'SG&amp;A'!L32</f>
        <v>16406059.944647297</v>
      </c>
      <c r="AC27" s="670">
        <f>'SG&amp;A'!L33</f>
        <v>16734181.143540243</v>
      </c>
      <c r="AD27" s="670">
        <f>'SG&amp;A'!L34</f>
        <v>17068864.766411047</v>
      </c>
      <c r="AE27" s="670">
        <f>'SG&amp;A'!L35</f>
        <v>17410242.06173927</v>
      </c>
      <c r="AF27" s="670">
        <f>'SG&amp;A'!L36</f>
        <v>17758446.902974054</v>
      </c>
      <c r="AG27" s="487"/>
      <c r="AH27" s="392">
        <f t="shared" si="9"/>
        <v>405680792.05167687</v>
      </c>
      <c r="AI27" s="392"/>
      <c r="AJ27" s="279"/>
      <c r="AK27" s="198" t="s">
        <v>118</v>
      </c>
      <c r="AM27" s="499">
        <f t="shared" si="7"/>
        <v>1.4459224985540772E-2</v>
      </c>
      <c r="AN27" s="499">
        <f t="shared" si="8"/>
        <v>3.0437255169578634E-3</v>
      </c>
    </row>
    <row r="28" spans="1:40" x14ac:dyDescent="0.2">
      <c r="A28" s="169"/>
      <c r="B28" s="169"/>
      <c r="C28" s="233">
        <f>SUM(C23:C27)</f>
        <v>691600000</v>
      </c>
      <c r="D28" s="233">
        <f t="shared" ref="D28:L28" si="10">SUM(D23:D27)</f>
        <v>705432000</v>
      </c>
      <c r="E28" s="233">
        <f t="shared" si="10"/>
        <v>719540640</v>
      </c>
      <c r="F28" s="233">
        <f t="shared" si="10"/>
        <v>733931452.79999995</v>
      </c>
      <c r="G28" s="233">
        <f t="shared" si="10"/>
        <v>748610081.85600007</v>
      </c>
      <c r="H28" s="233">
        <f t="shared" si="10"/>
        <v>763582283.49312007</v>
      </c>
      <c r="I28" s="233">
        <f t="shared" si="10"/>
        <v>778853929.16298246</v>
      </c>
      <c r="J28" s="233">
        <f t="shared" si="10"/>
        <v>794431007.74624228</v>
      </c>
      <c r="K28" s="233">
        <f t="shared" si="10"/>
        <v>810319627.90116715</v>
      </c>
      <c r="L28" s="233">
        <f t="shared" si="10"/>
        <v>826526020.45919037</v>
      </c>
      <c r="M28" s="233">
        <f t="shared" ref="M28:AF28" si="11">SUM(M23:M27)</f>
        <v>843056540.86837411</v>
      </c>
      <c r="N28" s="233">
        <f t="shared" si="11"/>
        <v>859917671.68574154</v>
      </c>
      <c r="O28" s="233">
        <f t="shared" si="11"/>
        <v>877116025.11945629</v>
      </c>
      <c r="P28" s="233">
        <f t="shared" si="11"/>
        <v>894658345.6218456</v>
      </c>
      <c r="Q28" s="233">
        <f t="shared" si="11"/>
        <v>912551512.53428245</v>
      </c>
      <c r="R28" s="233">
        <f t="shared" si="11"/>
        <v>930802542.78496814</v>
      </c>
      <c r="S28" s="233">
        <f t="shared" si="11"/>
        <v>949418593.64066756</v>
      </c>
      <c r="T28" s="233">
        <f t="shared" si="11"/>
        <v>968406965.5134809</v>
      </c>
      <c r="U28" s="233">
        <f t="shared" si="11"/>
        <v>987775104.82375062</v>
      </c>
      <c r="V28" s="233">
        <f t="shared" si="11"/>
        <v>1007530606.9202256</v>
      </c>
      <c r="W28" s="233">
        <f t="shared" si="11"/>
        <v>1027681219.0586301</v>
      </c>
      <c r="X28" s="233">
        <f t="shared" si="11"/>
        <v>1048234843.4398029</v>
      </c>
      <c r="Y28" s="233">
        <f t="shared" si="11"/>
        <v>1069199540.3085988</v>
      </c>
      <c r="Z28" s="233">
        <f t="shared" si="11"/>
        <v>1090583531.1147707</v>
      </c>
      <c r="AA28" s="233">
        <f t="shared" si="11"/>
        <v>1112395201.7370663</v>
      </c>
      <c r="AB28" s="233">
        <f t="shared" si="11"/>
        <v>1134643105.7718077</v>
      </c>
      <c r="AC28" s="233">
        <f t="shared" si="11"/>
        <v>1157335967.8872435</v>
      </c>
      <c r="AD28" s="233">
        <f t="shared" si="11"/>
        <v>1180482687.2449887</v>
      </c>
      <c r="AE28" s="233">
        <f t="shared" si="11"/>
        <v>1204092340.9898884</v>
      </c>
      <c r="AF28" s="233">
        <f t="shared" si="11"/>
        <v>1228174187.8096862</v>
      </c>
      <c r="AG28" s="486"/>
      <c r="AH28" s="392">
        <f>SUM(AH23:AH27)</f>
        <v>28056883578.29398</v>
      </c>
      <c r="AJ28" s="279"/>
      <c r="AM28" s="415">
        <f t="shared" si="7"/>
        <v>1</v>
      </c>
      <c r="AN28" s="500">
        <f t="shared" si="8"/>
        <v>0.21050405675280587</v>
      </c>
    </row>
    <row r="29" spans="1:40" x14ac:dyDescent="0.2">
      <c r="A29" s="298" t="s">
        <v>544</v>
      </c>
      <c r="B29" s="169"/>
      <c r="C29" s="676">
        <f>C21-C28</f>
        <v>704502395.13599968</v>
      </c>
      <c r="D29" s="676">
        <f t="shared" ref="D29:K29" si="12">D21-D28</f>
        <v>1039950683.0387201</v>
      </c>
      <c r="E29" s="676">
        <f t="shared" si="12"/>
        <v>1413498665.6690941</v>
      </c>
      <c r="F29" s="676">
        <f t="shared" si="12"/>
        <v>1829001579.3543408</v>
      </c>
      <c r="G29" s="676">
        <f t="shared" si="12"/>
        <v>2290696573.2575355</v>
      </c>
      <c r="H29" s="676">
        <f t="shared" si="12"/>
        <v>2803240383.4254231</v>
      </c>
      <c r="I29" s="676">
        <f t="shared" si="12"/>
        <v>3371750720.0440359</v>
      </c>
      <c r="J29" s="676">
        <f t="shared" si="12"/>
        <v>3441985734.4449158</v>
      </c>
      <c r="K29" s="676">
        <f t="shared" si="12"/>
        <v>3513625449.1338129</v>
      </c>
      <c r="L29" s="676">
        <f>L21-L28</f>
        <v>3586697958.1164913</v>
      </c>
      <c r="M29" s="676">
        <f t="shared" ref="M29:AF29" si="13">M21-M28</f>
        <v>3721231917.2788219</v>
      </c>
      <c r="N29" s="676">
        <f t="shared" si="13"/>
        <v>3797256555.6243973</v>
      </c>
      <c r="O29" s="676">
        <f t="shared" si="13"/>
        <v>3874801686.736886</v>
      </c>
      <c r="P29" s="676">
        <f t="shared" si="13"/>
        <v>3953897720.4716239</v>
      </c>
      <c r="Q29" s="676">
        <f t="shared" si="13"/>
        <v>4034575674.8810549</v>
      </c>
      <c r="R29" s="676">
        <f t="shared" si="13"/>
        <v>4116867188.3786764</v>
      </c>
      <c r="S29" s="676">
        <f t="shared" si="13"/>
        <v>4200804532.1462493</v>
      </c>
      <c r="T29" s="676">
        <f t="shared" si="13"/>
        <v>4286420622.7891741</v>
      </c>
      <c r="U29" s="676">
        <f>U21-U28</f>
        <v>4373749035.2449598</v>
      </c>
      <c r="V29" s="676">
        <f t="shared" si="13"/>
        <v>4462824015.9498596</v>
      </c>
      <c r="W29" s="676">
        <f t="shared" si="13"/>
        <v>4553680496.268857</v>
      </c>
      <c r="X29" s="676">
        <f t="shared" si="13"/>
        <v>4646354106.1942329</v>
      </c>
      <c r="Y29" s="676">
        <f t="shared" si="13"/>
        <v>4740881188.3181181</v>
      </c>
      <c r="Z29" s="676">
        <f t="shared" si="13"/>
        <v>4837298812.0844803</v>
      </c>
      <c r="AA29" s="676">
        <f t="shared" si="13"/>
        <v>4935644788.32617</v>
      </c>
      <c r="AB29" s="676">
        <f t="shared" si="13"/>
        <v>5035957684.0926943</v>
      </c>
      <c r="AC29" s="676">
        <f t="shared" si="13"/>
        <v>5138276837.7745495</v>
      </c>
      <c r="AD29" s="676">
        <f t="shared" si="13"/>
        <v>5242642374.5300407</v>
      </c>
      <c r="AE29" s="676">
        <f t="shared" si="13"/>
        <v>5349095222.0206404</v>
      </c>
      <c r="AF29" s="676">
        <f t="shared" si="13"/>
        <v>5457677126.4610519</v>
      </c>
      <c r="AG29" s="486"/>
      <c r="AH29" s="392">
        <f>AH21-AH28</f>
        <v>114754887727.19293</v>
      </c>
      <c r="AJ29" s="279" t="s">
        <v>800</v>
      </c>
    </row>
    <row r="30" spans="1:40" x14ac:dyDescent="0.2">
      <c r="A30" s="169"/>
      <c r="B30" s="169" t="s">
        <v>784</v>
      </c>
      <c r="C30" s="233"/>
      <c r="D30" s="233"/>
      <c r="E30" s="233"/>
      <c r="F30" s="233"/>
      <c r="G30" s="233"/>
      <c r="H30" s="233"/>
      <c r="I30" s="233"/>
      <c r="J30" s="233"/>
      <c r="K30" s="233"/>
      <c r="L30" s="233"/>
      <c r="AG30" s="486"/>
      <c r="AH30" s="392"/>
      <c r="AJ30" s="279"/>
      <c r="AK30" s="198" t="s">
        <v>853</v>
      </c>
    </row>
    <row r="31" spans="1:40" x14ac:dyDescent="0.2">
      <c r="A31" s="298" t="s">
        <v>545</v>
      </c>
      <c r="B31" s="169"/>
      <c r="C31" s="676">
        <f>C29-C30</f>
        <v>704502395.13599968</v>
      </c>
      <c r="D31" s="676">
        <f>D29-D30</f>
        <v>1039950683.0387201</v>
      </c>
      <c r="E31" s="676">
        <f>E29-E30</f>
        <v>1413498665.6690941</v>
      </c>
      <c r="F31" s="676">
        <f t="shared" ref="F31:L31" si="14">F29-F30</f>
        <v>1829001579.3543408</v>
      </c>
      <c r="G31" s="676">
        <f t="shared" si="14"/>
        <v>2290696573.2575355</v>
      </c>
      <c r="H31" s="676">
        <f t="shared" si="14"/>
        <v>2803240383.4254231</v>
      </c>
      <c r="I31" s="676">
        <f t="shared" si="14"/>
        <v>3371750720.0440359</v>
      </c>
      <c r="J31" s="676">
        <f t="shared" si="14"/>
        <v>3441985734.4449158</v>
      </c>
      <c r="K31" s="676">
        <f t="shared" si="14"/>
        <v>3513625449.1338129</v>
      </c>
      <c r="L31" s="676">
        <f t="shared" si="14"/>
        <v>3586697958.1164913</v>
      </c>
      <c r="M31" s="676">
        <f t="shared" ref="M31:AF31" si="15">M29-M30</f>
        <v>3721231917.2788219</v>
      </c>
      <c r="N31" s="676">
        <f t="shared" si="15"/>
        <v>3797256555.6243973</v>
      </c>
      <c r="O31" s="676">
        <f t="shared" si="15"/>
        <v>3874801686.736886</v>
      </c>
      <c r="P31" s="676">
        <f t="shared" si="15"/>
        <v>3953897720.4716239</v>
      </c>
      <c r="Q31" s="676">
        <f t="shared" si="15"/>
        <v>4034575674.8810549</v>
      </c>
      <c r="R31" s="676">
        <f t="shared" si="15"/>
        <v>4116867188.3786764</v>
      </c>
      <c r="S31" s="676">
        <f t="shared" si="15"/>
        <v>4200804532.1462493</v>
      </c>
      <c r="T31" s="676">
        <f t="shared" si="15"/>
        <v>4286420622.7891741</v>
      </c>
      <c r="U31" s="676">
        <f t="shared" si="15"/>
        <v>4373749035.2449598</v>
      </c>
      <c r="V31" s="676">
        <f t="shared" si="15"/>
        <v>4462824015.9498596</v>
      </c>
      <c r="W31" s="676">
        <f t="shared" si="15"/>
        <v>4553680496.268857</v>
      </c>
      <c r="X31" s="676">
        <f t="shared" si="15"/>
        <v>4646354106.1942329</v>
      </c>
      <c r="Y31" s="676">
        <f t="shared" si="15"/>
        <v>4740881188.3181181</v>
      </c>
      <c r="Z31" s="676">
        <f t="shared" si="15"/>
        <v>4837298812.0844803</v>
      </c>
      <c r="AA31" s="676">
        <f t="shared" si="15"/>
        <v>4935644788.32617</v>
      </c>
      <c r="AB31" s="676">
        <f t="shared" si="15"/>
        <v>5035957684.0926943</v>
      </c>
      <c r="AC31" s="676">
        <f t="shared" si="15"/>
        <v>5138276837.7745495</v>
      </c>
      <c r="AD31" s="676">
        <f t="shared" si="15"/>
        <v>5242642374.5300407</v>
      </c>
      <c r="AE31" s="676">
        <f t="shared" si="15"/>
        <v>5349095222.0206404</v>
      </c>
      <c r="AF31" s="676">
        <f t="shared" si="15"/>
        <v>5457677126.4610519</v>
      </c>
      <c r="AG31" s="486"/>
      <c r="AH31" s="392">
        <f>AH29-AH30</f>
        <v>114754887727.19293</v>
      </c>
      <c r="AJ31" s="279" t="s">
        <v>801</v>
      </c>
    </row>
    <row r="32" spans="1:40" x14ac:dyDescent="0.2">
      <c r="A32" s="169"/>
      <c r="B32" s="169" t="s">
        <v>797</v>
      </c>
      <c r="C32" s="233">
        <f>C31*Assumption!$B$32%</f>
        <v>77495263.464959964</v>
      </c>
      <c r="D32" s="233">
        <f>D31*Assumption!$B$32%</f>
        <v>114394575.13425921</v>
      </c>
      <c r="E32" s="233">
        <f>E31*Assumption!$B$33%</f>
        <v>310969706.44720072</v>
      </c>
      <c r="F32" s="233">
        <f>F31*Assumption!$B$33%</f>
        <v>402380347.457955</v>
      </c>
      <c r="G32" s="233">
        <f>G31*Assumption!$B$33%</f>
        <v>503953246.11665779</v>
      </c>
      <c r="H32" s="233">
        <f>H31*Assumption!$B$33%</f>
        <v>616712884.35359311</v>
      </c>
      <c r="I32" s="233">
        <f>I31*Assumption!$B$33%</f>
        <v>741785158.40968788</v>
      </c>
      <c r="J32" s="233">
        <f>J31*Assumption!$B$33%</f>
        <v>757236861.57788146</v>
      </c>
      <c r="K32" s="233">
        <f>K31*Assumption!$B$33%</f>
        <v>772997598.80943882</v>
      </c>
      <c r="L32" s="233">
        <f>L31*Assumption!$B$33%</f>
        <v>789073550.78562808</v>
      </c>
      <c r="M32" s="233">
        <f>M31*Assumption!$B$33%</f>
        <v>818671021.80134082</v>
      </c>
      <c r="N32" s="233">
        <f>N31*Assumption!$B$33%</f>
        <v>835396442.23736739</v>
      </c>
      <c r="O32" s="233">
        <f>O31*Assumption!$B$33%</f>
        <v>852456371.08211493</v>
      </c>
      <c r="P32" s="233">
        <f>P31*Assumption!$B$33%</f>
        <v>869857498.50375724</v>
      </c>
      <c r="Q32" s="233">
        <f>Q31*Assumption!$B$33%</f>
        <v>887606648.47383213</v>
      </c>
      <c r="R32" s="233">
        <f>R31*Assumption!$B$33%</f>
        <v>905710781.44330883</v>
      </c>
      <c r="S32" s="233">
        <f>S31*Assumption!$B$33%</f>
        <v>924176997.07217491</v>
      </c>
      <c r="T32" s="233">
        <f>T31*Assumption!$B$33%</f>
        <v>943012537.01361835</v>
      </c>
      <c r="U32" s="233">
        <f>U31*Assumption!$B$33%</f>
        <v>962224787.75389111</v>
      </c>
      <c r="V32" s="233">
        <f>V31*Assumption!$B$33%</f>
        <v>981821283.50896907</v>
      </c>
      <c r="W32" s="233">
        <f>W31*Assumption!$B$33%</f>
        <v>1001809709.1791486</v>
      </c>
      <c r="X32" s="233">
        <f>X31*Assumption!$B$33%</f>
        <v>1022197903.3627312</v>
      </c>
      <c r="Y32" s="233">
        <f>Y31*Assumption!$B$33%</f>
        <v>1042993861.429986</v>
      </c>
      <c r="Z32" s="233">
        <f>Z31*Assumption!$B$33%</f>
        <v>1064205738.6585857</v>
      </c>
      <c r="AA32" s="233">
        <f>AA31*Assumption!$B$33%</f>
        <v>1085841853.4317575</v>
      </c>
      <c r="AB32" s="233">
        <f>AB31*Assumption!$B$33%</f>
        <v>1107910690.5003927</v>
      </c>
      <c r="AC32" s="233">
        <f>AC31*Assumption!$B$33%</f>
        <v>1130420904.310401</v>
      </c>
      <c r="AD32" s="233">
        <f>AD31*Assumption!$B$33%</f>
        <v>1153381322.3966091</v>
      </c>
      <c r="AE32" s="233">
        <f>AE31*Assumption!$B$33%</f>
        <v>1176800948.8445408</v>
      </c>
      <c r="AF32" s="233">
        <f>AF31*Assumption!$B$33%</f>
        <v>1200688967.8214314</v>
      </c>
      <c r="AG32" s="486"/>
      <c r="AH32" s="392">
        <f>AH31*Assumption!B32%</f>
        <v>12623037649.991222</v>
      </c>
      <c r="AJ32" s="279"/>
      <c r="AK32" s="198" t="s">
        <v>854</v>
      </c>
    </row>
    <row r="33" spans="1:39" x14ac:dyDescent="0.2">
      <c r="A33" s="298" t="s">
        <v>546</v>
      </c>
      <c r="B33" s="169"/>
      <c r="C33" s="676">
        <f>C31-C32</f>
        <v>627007131.6710397</v>
      </c>
      <c r="D33" s="676">
        <f>D31-D32</f>
        <v>925556107.90446091</v>
      </c>
      <c r="E33" s="676">
        <f>E31-E32</f>
        <v>1102528959.2218933</v>
      </c>
      <c r="F33" s="676">
        <f t="shared" ref="F33:L33" si="16">F31-F32</f>
        <v>1426621231.8963857</v>
      </c>
      <c r="G33" s="676">
        <f t="shared" si="16"/>
        <v>1786743327.1408777</v>
      </c>
      <c r="H33" s="676">
        <f t="shared" si="16"/>
        <v>2186527499.0718298</v>
      </c>
      <c r="I33" s="676">
        <f t="shared" si="16"/>
        <v>2629965561.6343479</v>
      </c>
      <c r="J33" s="676">
        <f t="shared" si="16"/>
        <v>2684748872.8670344</v>
      </c>
      <c r="K33" s="676">
        <f t="shared" si="16"/>
        <v>2740627850.3243742</v>
      </c>
      <c r="L33" s="676">
        <f t="shared" si="16"/>
        <v>2797624407.330863</v>
      </c>
      <c r="M33" s="676">
        <f t="shared" ref="M33:AF33" si="17">M31-M32</f>
        <v>2902560895.4774809</v>
      </c>
      <c r="N33" s="676">
        <f t="shared" si="17"/>
        <v>2961860113.3870296</v>
      </c>
      <c r="O33" s="676">
        <f t="shared" si="17"/>
        <v>3022345315.6547709</v>
      </c>
      <c r="P33" s="676">
        <f t="shared" si="17"/>
        <v>3084040221.9678669</v>
      </c>
      <c r="Q33" s="676">
        <f t="shared" si="17"/>
        <v>3146969026.4072227</v>
      </c>
      <c r="R33" s="676">
        <f t="shared" si="17"/>
        <v>3211156406.9353676</v>
      </c>
      <c r="S33" s="676">
        <f t="shared" si="17"/>
        <v>3276627535.0740743</v>
      </c>
      <c r="T33" s="676">
        <f>T31-T32</f>
        <v>3343408085.7755556</v>
      </c>
      <c r="U33" s="676">
        <f t="shared" si="17"/>
        <v>3411524247.4910688</v>
      </c>
      <c r="V33" s="676">
        <f t="shared" si="17"/>
        <v>3481002732.4408903</v>
      </c>
      <c r="W33" s="676">
        <f t="shared" si="17"/>
        <v>3551870787.0897083</v>
      </c>
      <c r="X33" s="676">
        <f t="shared" si="17"/>
        <v>3624156202.831502</v>
      </c>
      <c r="Y33" s="676">
        <f t="shared" si="17"/>
        <v>3697887326.8881321</v>
      </c>
      <c r="Z33" s="676">
        <f t="shared" si="17"/>
        <v>3773093073.4258947</v>
      </c>
      <c r="AA33" s="676">
        <f t="shared" si="17"/>
        <v>3849802934.8944125</v>
      </c>
      <c r="AB33" s="676">
        <f t="shared" si="17"/>
        <v>3928046993.5923014</v>
      </c>
      <c r="AC33" s="676">
        <f t="shared" si="17"/>
        <v>4007855933.4641485</v>
      </c>
      <c r="AD33" s="676">
        <f t="shared" si="17"/>
        <v>4089261052.1334314</v>
      </c>
      <c r="AE33" s="676">
        <f t="shared" si="17"/>
        <v>4172294273.1760998</v>
      </c>
      <c r="AF33" s="676">
        <f t="shared" si="17"/>
        <v>4256988158.6396208</v>
      </c>
      <c r="AG33" s="486"/>
      <c r="AH33" s="392">
        <f>SUM(C33:AF33)</f>
        <v>89700702265.809677</v>
      </c>
      <c r="AI33" s="216">
        <f>AH33/30</f>
        <v>2990023408.8603225</v>
      </c>
      <c r="AJ33" s="279" t="s">
        <v>169</v>
      </c>
    </row>
    <row r="34" spans="1:39" x14ac:dyDescent="0.2">
      <c r="A34" s="205"/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205"/>
      <c r="AG34" s="205"/>
      <c r="AH34" s="591">
        <f>AH33/10</f>
        <v>8970070226.5809669</v>
      </c>
      <c r="AJ34" s="279"/>
    </row>
    <row r="35" spans="1:39" x14ac:dyDescent="0.2">
      <c r="A35" s="279" t="s">
        <v>790</v>
      </c>
      <c r="R35" s="156"/>
      <c r="AG35" s="204"/>
      <c r="AJ35" s="279"/>
      <c r="AM35" s="392"/>
    </row>
    <row r="36" spans="1:39" x14ac:dyDescent="0.2">
      <c r="A36" s="198" t="s">
        <v>789</v>
      </c>
      <c r="C36" s="201"/>
      <c r="F36" s="201"/>
      <c r="G36" s="201"/>
      <c r="H36" s="201"/>
      <c r="I36" s="201"/>
      <c r="J36" s="201"/>
      <c r="K36" s="201"/>
      <c r="L36" s="201"/>
      <c r="R36" s="156"/>
      <c r="AG36" s="204"/>
      <c r="AH36" s="201"/>
      <c r="AJ36" s="279"/>
    </row>
    <row r="37" spans="1:39" x14ac:dyDescent="0.2">
      <c r="B37" s="198" t="s">
        <v>802</v>
      </c>
      <c r="C37" s="201">
        <f t="shared" ref="C37:L37" si="18">C8</f>
        <v>4056000000</v>
      </c>
      <c r="D37" s="201">
        <f t="shared" si="18"/>
        <v>4455678240</v>
      </c>
      <c r="E37" s="201">
        <f t="shared" si="18"/>
        <v>4894740773.7695999</v>
      </c>
      <c r="F37" s="201">
        <f t="shared" si="18"/>
        <v>5377068529.6168566</v>
      </c>
      <c r="G37" s="201">
        <f t="shared" si="18"/>
        <v>5906924862.5253019</v>
      </c>
      <c r="H37" s="201">
        <f t="shared" si="18"/>
        <v>6488993238.4785452</v>
      </c>
      <c r="I37" s="201">
        <f t="shared" si="18"/>
        <v>7128418632.1982203</v>
      </c>
      <c r="J37" s="201">
        <f t="shared" si="18"/>
        <v>7270987004.8421841</v>
      </c>
      <c r="K37" s="201">
        <f t="shared" si="18"/>
        <v>7416406744.9390268</v>
      </c>
      <c r="L37" s="201">
        <f t="shared" si="18"/>
        <v>7564734879.8378086</v>
      </c>
      <c r="M37" s="201">
        <f t="shared" ref="M37:AF37" si="19">M8</f>
        <v>7716029577.4345655</v>
      </c>
      <c r="N37" s="201">
        <f t="shared" si="19"/>
        <v>7870350168.9832563</v>
      </c>
      <c r="O37" s="201">
        <f t="shared" si="19"/>
        <v>8027757172.3629217</v>
      </c>
      <c r="P37" s="201">
        <f t="shared" si="19"/>
        <v>8188312315.8101807</v>
      </c>
      <c r="Q37" s="201">
        <f t="shared" si="19"/>
        <v>8352078562.1263838</v>
      </c>
      <c r="R37" s="201">
        <f t="shared" si="19"/>
        <v>8519120133.3689117</v>
      </c>
      <c r="S37" s="201">
        <f t="shared" si="19"/>
        <v>8689502536.0362892</v>
      </c>
      <c r="T37" s="201">
        <f t="shared" si="19"/>
        <v>8863292586.7570152</v>
      </c>
      <c r="U37" s="201">
        <f t="shared" si="19"/>
        <v>9040558438.492157</v>
      </c>
      <c r="V37" s="201">
        <f t="shared" si="19"/>
        <v>9221369607.262001</v>
      </c>
      <c r="W37" s="201">
        <f t="shared" si="19"/>
        <v>9405796999.4072418</v>
      </c>
      <c r="X37" s="201">
        <f t="shared" si="19"/>
        <v>9593912939.3953857</v>
      </c>
      <c r="Y37" s="201">
        <f t="shared" si="19"/>
        <v>9785791198.1832943</v>
      </c>
      <c r="Z37" s="201">
        <f t="shared" si="19"/>
        <v>9981507022.1469593</v>
      </c>
      <c r="AA37" s="201">
        <f t="shared" si="19"/>
        <v>10181137162.589899</v>
      </c>
      <c r="AB37" s="201">
        <f t="shared" si="19"/>
        <v>10384759905.841698</v>
      </c>
      <c r="AC37" s="201">
        <f t="shared" si="19"/>
        <v>10592455103.958532</v>
      </c>
      <c r="AD37" s="201">
        <f t="shared" si="19"/>
        <v>10804304206.037704</v>
      </c>
      <c r="AE37" s="201">
        <f t="shared" si="19"/>
        <v>11020390290.158457</v>
      </c>
      <c r="AF37" s="201">
        <f t="shared" si="19"/>
        <v>11240798095.961626</v>
      </c>
      <c r="AG37" s="204"/>
      <c r="AH37" s="201">
        <f>AH8</f>
        <v>248039176928.52206</v>
      </c>
      <c r="AJ37" s="279"/>
    </row>
    <row r="38" spans="1:39" x14ac:dyDescent="0.2">
      <c r="B38" s="198" t="s">
        <v>791</v>
      </c>
      <c r="C38" s="201">
        <f t="shared" ref="C38:L38" si="20">C20</f>
        <v>2659897604.8640003</v>
      </c>
      <c r="D38" s="201">
        <f t="shared" si="20"/>
        <v>2710295556.9612799</v>
      </c>
      <c r="E38" s="201">
        <f t="shared" si="20"/>
        <v>2761701468.1005058</v>
      </c>
      <c r="F38" s="201">
        <f t="shared" si="20"/>
        <v>2814135497.4625158</v>
      </c>
      <c r="G38" s="201">
        <f t="shared" si="20"/>
        <v>2867618207.4117665</v>
      </c>
      <c r="H38" s="201">
        <f t="shared" si="20"/>
        <v>2922170571.5600019</v>
      </c>
      <c r="I38" s="201">
        <f t="shared" si="20"/>
        <v>2977813982.9912019</v>
      </c>
      <c r="J38" s="201">
        <f t="shared" si="20"/>
        <v>3034570262.6510262</v>
      </c>
      <c r="K38" s="201">
        <f t="shared" si="20"/>
        <v>3092461667.904047</v>
      </c>
      <c r="L38" s="201">
        <f t="shared" si="20"/>
        <v>3151510901.2621274</v>
      </c>
      <c r="M38" s="201">
        <f t="shared" ref="M38:AF38" si="21">M20</f>
        <v>3151741119.2873702</v>
      </c>
      <c r="N38" s="201">
        <f t="shared" si="21"/>
        <v>3213175941.6731176</v>
      </c>
      <c r="O38" s="201">
        <f t="shared" si="21"/>
        <v>3275839460.5065799</v>
      </c>
      <c r="P38" s="201">
        <f t="shared" si="21"/>
        <v>3339756249.7167115</v>
      </c>
      <c r="Q38" s="201">
        <f t="shared" si="21"/>
        <v>3404951374.7110462</v>
      </c>
      <c r="R38" s="201">
        <f t="shared" si="21"/>
        <v>3471450402.2052674</v>
      </c>
      <c r="S38" s="201">
        <f t="shared" si="21"/>
        <v>3539279410.2493725</v>
      </c>
      <c r="T38" s="201">
        <f t="shared" si="21"/>
        <v>3608464998.45436</v>
      </c>
      <c r="U38" s="201">
        <f t="shared" si="21"/>
        <v>3679034298.4234467</v>
      </c>
      <c r="V38" s="201">
        <f t="shared" si="21"/>
        <v>3751014984.3919163</v>
      </c>
      <c r="W38" s="201">
        <f t="shared" si="21"/>
        <v>3824435284.0797548</v>
      </c>
      <c r="X38" s="201">
        <f t="shared" si="21"/>
        <v>3899323989.7613497</v>
      </c>
      <c r="Y38" s="201">
        <f t="shared" si="21"/>
        <v>3975710469.5565777</v>
      </c>
      <c r="Z38" s="201">
        <f t="shared" si="21"/>
        <v>4053624678.9477081</v>
      </c>
      <c r="AA38" s="201">
        <f t="shared" si="21"/>
        <v>4133097172.5266628</v>
      </c>
      <c r="AB38" s="201">
        <f t="shared" si="21"/>
        <v>4214159115.9771957</v>
      </c>
      <c r="AC38" s="201">
        <f t="shared" si="21"/>
        <v>4296842298.2967396</v>
      </c>
      <c r="AD38" s="201">
        <f t="shared" si="21"/>
        <v>4381179144.2626753</v>
      </c>
      <c r="AE38" s="201">
        <f t="shared" si="21"/>
        <v>4467202727.1479282</v>
      </c>
      <c r="AF38" s="201">
        <f t="shared" si="21"/>
        <v>4554946781.6908875</v>
      </c>
      <c r="AG38" s="204"/>
      <c r="AH38" s="201">
        <f>AH20</f>
        <v>105227405623.03516</v>
      </c>
      <c r="AJ38" s="279"/>
    </row>
    <row r="39" spans="1:39" x14ac:dyDescent="0.2">
      <c r="B39" s="198" t="s">
        <v>169</v>
      </c>
      <c r="C39" s="201">
        <f>C33</f>
        <v>627007131.6710397</v>
      </c>
      <c r="D39" s="201">
        <f t="shared" ref="D39:L39" si="22">D33</f>
        <v>925556107.90446091</v>
      </c>
      <c r="E39" s="201">
        <f t="shared" si="22"/>
        <v>1102528959.2218933</v>
      </c>
      <c r="F39" s="201">
        <f t="shared" si="22"/>
        <v>1426621231.8963857</v>
      </c>
      <c r="G39" s="201">
        <f t="shared" si="22"/>
        <v>1786743327.1408777</v>
      </c>
      <c r="H39" s="201">
        <f t="shared" si="22"/>
        <v>2186527499.0718298</v>
      </c>
      <c r="I39" s="201">
        <f t="shared" si="22"/>
        <v>2629965561.6343479</v>
      </c>
      <c r="J39" s="201">
        <f t="shared" si="22"/>
        <v>2684748872.8670344</v>
      </c>
      <c r="K39" s="201">
        <f t="shared" si="22"/>
        <v>2740627850.3243742</v>
      </c>
      <c r="L39" s="201">
        <f t="shared" si="22"/>
        <v>2797624407.330863</v>
      </c>
      <c r="M39" s="201">
        <f t="shared" ref="M39:AF39" si="23">M33</f>
        <v>2902560895.4774809</v>
      </c>
      <c r="N39" s="201">
        <f t="shared" si="23"/>
        <v>2961860113.3870296</v>
      </c>
      <c r="O39" s="201">
        <f t="shared" si="23"/>
        <v>3022345315.6547709</v>
      </c>
      <c r="P39" s="201">
        <f t="shared" si="23"/>
        <v>3084040221.9678669</v>
      </c>
      <c r="Q39" s="201">
        <f t="shared" si="23"/>
        <v>3146969026.4072227</v>
      </c>
      <c r="R39" s="201">
        <f t="shared" si="23"/>
        <v>3211156406.9353676</v>
      </c>
      <c r="S39" s="201">
        <f t="shared" si="23"/>
        <v>3276627535.0740743</v>
      </c>
      <c r="T39" s="201">
        <f t="shared" si="23"/>
        <v>3343408085.7755556</v>
      </c>
      <c r="U39" s="201">
        <f t="shared" si="23"/>
        <v>3411524247.4910688</v>
      </c>
      <c r="V39" s="201">
        <f t="shared" si="23"/>
        <v>3481002732.4408903</v>
      </c>
      <c r="W39" s="201">
        <f t="shared" si="23"/>
        <v>3551870787.0897083</v>
      </c>
      <c r="X39" s="201">
        <f t="shared" si="23"/>
        <v>3624156202.831502</v>
      </c>
      <c r="Y39" s="201">
        <f t="shared" si="23"/>
        <v>3697887326.8881321</v>
      </c>
      <c r="Z39" s="201">
        <f t="shared" si="23"/>
        <v>3773093073.4258947</v>
      </c>
      <c r="AA39" s="201">
        <f t="shared" si="23"/>
        <v>3849802934.8944125</v>
      </c>
      <c r="AB39" s="201">
        <f t="shared" si="23"/>
        <v>3928046993.5923014</v>
      </c>
      <c r="AC39" s="201">
        <f t="shared" si="23"/>
        <v>4007855933.4641485</v>
      </c>
      <c r="AD39" s="201">
        <f t="shared" si="23"/>
        <v>4089261052.1334314</v>
      </c>
      <c r="AE39" s="201">
        <f t="shared" si="23"/>
        <v>4172294273.1760998</v>
      </c>
      <c r="AF39" s="201">
        <f t="shared" si="23"/>
        <v>4256988158.6396208</v>
      </c>
      <c r="AG39" s="204"/>
      <c r="AH39" s="201">
        <f>AH33</f>
        <v>89700702265.809677</v>
      </c>
      <c r="AJ39" s="279"/>
      <c r="AL39" s="392"/>
    </row>
    <row r="40" spans="1:39" x14ac:dyDescent="0.2">
      <c r="A40" s="198" t="s">
        <v>704</v>
      </c>
      <c r="C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  <c r="AD40" s="201"/>
      <c r="AE40" s="201"/>
      <c r="AF40" s="201"/>
      <c r="AG40" s="204"/>
      <c r="AH40" s="201"/>
      <c r="AJ40" s="279"/>
    </row>
    <row r="41" spans="1:39" x14ac:dyDescent="0.2">
      <c r="B41" s="198" t="s">
        <v>786</v>
      </c>
      <c r="C41" s="415">
        <f>(C37-C38)/C37</f>
        <v>0.34420670491518729</v>
      </c>
      <c r="D41" s="415">
        <f t="shared" ref="D41:L41" si="24">(D37-D38)/D37</f>
        <v>0.39172098814718725</v>
      </c>
      <c r="E41" s="415">
        <f t="shared" si="24"/>
        <v>0.43578187369999793</v>
      </c>
      <c r="F41" s="415">
        <f t="shared" si="24"/>
        <v>0.47664131822715727</v>
      </c>
      <c r="G41" s="415">
        <f t="shared" si="24"/>
        <v>0.51453281120867089</v>
      </c>
      <c r="H41" s="415">
        <f t="shared" si="24"/>
        <v>0.54967273594429655</v>
      </c>
      <c r="I41" s="415">
        <f t="shared" si="24"/>
        <v>0.58226162959330563</v>
      </c>
      <c r="J41" s="415">
        <f t="shared" si="24"/>
        <v>0.58264672174078636</v>
      </c>
      <c r="K41" s="415">
        <f t="shared" si="24"/>
        <v>0.58302426306184596</v>
      </c>
      <c r="L41" s="415">
        <f t="shared" si="24"/>
        <v>0.58339440161190459</v>
      </c>
      <c r="M41" s="415">
        <f t="shared" ref="M41:AF41" si="25">(M37-M38)/M37</f>
        <v>0.59153330250254632</v>
      </c>
      <c r="N41" s="415">
        <f t="shared" si="25"/>
        <v>0.59173659714200277</v>
      </c>
      <c r="O41" s="415">
        <f t="shared" si="25"/>
        <v>0.59193590561205833</v>
      </c>
      <c r="P41" s="415">
        <f t="shared" si="25"/>
        <v>0.59213130607289699</v>
      </c>
      <c r="Q41" s="415">
        <f t="shared" si="25"/>
        <v>0.59232287515215032</v>
      </c>
      <c r="R41" s="415">
        <f t="shared" si="25"/>
        <v>0.59251068797494799</v>
      </c>
      <c r="S41" s="415">
        <f t="shared" si="25"/>
        <v>0.59269481819337699</v>
      </c>
      <c r="T41" s="415">
        <f t="shared" si="25"/>
        <v>0.59287533801536629</v>
      </c>
      <c r="U41" s="415">
        <f t="shared" si="25"/>
        <v>0.59305231823300286</v>
      </c>
      <c r="V41" s="415">
        <f t="shared" si="25"/>
        <v>0.59322582825029357</v>
      </c>
      <c r="W41" s="415">
        <f t="shared" si="25"/>
        <v>0.59339593611038244</v>
      </c>
      <c r="X41" s="415">
        <f t="shared" si="25"/>
        <v>0.59356270852223436</v>
      </c>
      <c r="Y41" s="415">
        <f t="shared" si="25"/>
        <v>0.593726210886795</v>
      </c>
      <c r="Z41" s="415">
        <f t="shared" si="25"/>
        <v>0.59388650732263881</v>
      </c>
      <c r="AA41" s="415">
        <f t="shared" si="25"/>
        <v>0.59404366069111314</v>
      </c>
      <c r="AB41" s="415">
        <f t="shared" si="25"/>
        <v>0.59419773262098996</v>
      </c>
      <c r="AC41" s="415">
        <f t="shared" si="25"/>
        <v>0.59434878353263387</v>
      </c>
      <c r="AD41" s="415">
        <f t="shared" si="25"/>
        <v>0.59449687266169648</v>
      </c>
      <c r="AE41" s="415">
        <f t="shared" si="25"/>
        <v>0.59464205808234616</v>
      </c>
      <c r="AF41" s="415">
        <f t="shared" si="25"/>
        <v>0.5947843967300418</v>
      </c>
      <c r="AG41" s="204"/>
      <c r="AH41" s="415">
        <f>(AH37-AH38)/AH37</f>
        <v>0.57576296242363867</v>
      </c>
      <c r="AJ41" s="279"/>
    </row>
    <row r="42" spans="1:39" x14ac:dyDescent="0.2">
      <c r="B42" s="198" t="s">
        <v>785</v>
      </c>
      <c r="C42" s="415">
        <f>C39/C37</f>
        <v>0.15458755711810643</v>
      </c>
      <c r="D42" s="415">
        <f t="shared" ref="D42:L42" si="26">D39/D37</f>
        <v>0.20772507754160921</v>
      </c>
      <c r="E42" s="415">
        <f t="shared" si="26"/>
        <v>0.2252476709553711</v>
      </c>
      <c r="F42" s="415">
        <f t="shared" si="26"/>
        <v>0.26531579875513317</v>
      </c>
      <c r="G42" s="415">
        <f t="shared" si="26"/>
        <v>0.30248282629703493</v>
      </c>
      <c r="H42" s="415">
        <f t="shared" si="26"/>
        <v>0.33695943557255092</v>
      </c>
      <c r="I42" s="415">
        <f t="shared" si="26"/>
        <v>0.36894095273180305</v>
      </c>
      <c r="J42" s="415">
        <f t="shared" si="26"/>
        <v>0.36924132460683812</v>
      </c>
      <c r="K42" s="415">
        <f t="shared" si="26"/>
        <v>0.36953580683726456</v>
      </c>
      <c r="L42" s="415">
        <f t="shared" si="26"/>
        <v>0.3698245149063103</v>
      </c>
      <c r="M42" s="415">
        <f t="shared" ref="M42:AF42" si="27">M39/M37</f>
        <v>0.37617285760101088</v>
      </c>
      <c r="N42" s="415">
        <f t="shared" si="27"/>
        <v>0.37633142741978687</v>
      </c>
      <c r="O42" s="415">
        <f t="shared" si="27"/>
        <v>0.37648688802643016</v>
      </c>
      <c r="P42" s="415">
        <f t="shared" si="27"/>
        <v>0.37663930038588433</v>
      </c>
      <c r="Q42" s="415">
        <f t="shared" si="27"/>
        <v>0.37678872426770199</v>
      </c>
      <c r="R42" s="415">
        <f t="shared" si="27"/>
        <v>0.37693521826948412</v>
      </c>
      <c r="S42" s="415">
        <f t="shared" si="27"/>
        <v>0.37707883983985874</v>
      </c>
      <c r="T42" s="415">
        <f t="shared" si="27"/>
        <v>0.37721964530101032</v>
      </c>
      <c r="U42" s="415">
        <f t="shared" si="27"/>
        <v>0.37735768987076701</v>
      </c>
      <c r="V42" s="415">
        <f t="shared" si="27"/>
        <v>0.37749302768425369</v>
      </c>
      <c r="W42" s="415">
        <f t="shared" si="27"/>
        <v>0.37762571181512306</v>
      </c>
      <c r="X42" s="415">
        <f t="shared" si="27"/>
        <v>0.37775579429636752</v>
      </c>
      <c r="Y42" s="415">
        <f t="shared" si="27"/>
        <v>0.37788332614072484</v>
      </c>
      <c r="Z42" s="415">
        <f t="shared" si="27"/>
        <v>0.378008357360683</v>
      </c>
      <c r="AA42" s="415">
        <f t="shared" si="27"/>
        <v>0.37813093698809297</v>
      </c>
      <c r="AB42" s="415">
        <f t="shared" si="27"/>
        <v>0.37825111309339687</v>
      </c>
      <c r="AC42" s="415">
        <f t="shared" si="27"/>
        <v>0.3783689328044792</v>
      </c>
      <c r="AD42" s="415">
        <f t="shared" si="27"/>
        <v>0.378484442325148</v>
      </c>
      <c r="AE42" s="415">
        <f t="shared" si="27"/>
        <v>0.37859768695325474</v>
      </c>
      <c r="AF42" s="415">
        <f t="shared" si="27"/>
        <v>0.37870871109845733</v>
      </c>
      <c r="AG42" s="204"/>
      <c r="AH42" s="415">
        <f>AH39/AH37</f>
        <v>0.36163925141413811</v>
      </c>
      <c r="AJ42" s="279"/>
    </row>
    <row r="43" spans="1:39" x14ac:dyDescent="0.2">
      <c r="C43" s="415"/>
      <c r="D43" s="415"/>
      <c r="E43" s="415"/>
      <c r="F43" s="415"/>
      <c r="G43" s="415"/>
      <c r="H43" s="415"/>
      <c r="I43" s="415"/>
      <c r="J43" s="415"/>
      <c r="K43" s="415"/>
      <c r="L43" s="415"/>
      <c r="R43" s="156"/>
      <c r="V43" s="156"/>
      <c r="W43" s="156"/>
      <c r="AG43" s="204"/>
    </row>
    <row r="44" spans="1:39" x14ac:dyDescent="0.2">
      <c r="C44" s="415"/>
      <c r="D44" s="415"/>
      <c r="E44" s="415"/>
      <c r="F44" s="415"/>
      <c r="G44" s="415"/>
      <c r="H44" s="415"/>
      <c r="I44" s="415"/>
      <c r="J44" s="415"/>
      <c r="K44" s="415"/>
      <c r="L44" s="415"/>
      <c r="R44" s="156"/>
      <c r="V44" s="156"/>
      <c r="W44" s="156"/>
      <c r="Z44" s="156"/>
      <c r="AG44" s="204"/>
    </row>
    <row r="45" spans="1:39" x14ac:dyDescent="0.2">
      <c r="A45" s="198" t="s">
        <v>1155</v>
      </c>
      <c r="C45" s="415"/>
      <c r="D45" s="415"/>
      <c r="E45" s="415"/>
      <c r="F45" s="415"/>
      <c r="G45" s="415"/>
      <c r="H45" s="415"/>
      <c r="I45" s="415"/>
      <c r="J45" s="415"/>
      <c r="K45" s="415"/>
      <c r="L45" s="415"/>
      <c r="R45" s="156"/>
      <c r="W45" s="156"/>
      <c r="Z45" s="156"/>
      <c r="AG45" s="204"/>
    </row>
    <row r="46" spans="1:39" x14ac:dyDescent="0.2">
      <c r="A46" s="198" t="s">
        <v>789</v>
      </c>
      <c r="C46" s="415"/>
      <c r="D46" s="415"/>
      <c r="E46" s="415"/>
      <c r="F46" s="415"/>
      <c r="G46" s="415"/>
      <c r="H46" s="415"/>
      <c r="I46" s="415"/>
      <c r="J46" s="415"/>
      <c r="K46" s="415"/>
      <c r="L46" s="415"/>
      <c r="R46" s="156"/>
      <c r="Z46" s="156"/>
      <c r="AG46" s="204"/>
    </row>
    <row r="47" spans="1:39" x14ac:dyDescent="0.2">
      <c r="B47" s="198" t="s">
        <v>546</v>
      </c>
      <c r="C47" s="208">
        <f>C33</f>
        <v>627007131.6710397</v>
      </c>
      <c r="D47" s="208">
        <f t="shared" ref="D47:AF47" si="28">D33</f>
        <v>925556107.90446091</v>
      </c>
      <c r="E47" s="208">
        <f t="shared" si="28"/>
        <v>1102528959.2218933</v>
      </c>
      <c r="F47" s="208">
        <f t="shared" si="28"/>
        <v>1426621231.8963857</v>
      </c>
      <c r="G47" s="208">
        <f t="shared" si="28"/>
        <v>1786743327.1408777</v>
      </c>
      <c r="H47" s="208">
        <f t="shared" si="28"/>
        <v>2186527499.0718298</v>
      </c>
      <c r="I47" s="208">
        <f t="shared" si="28"/>
        <v>2629965561.6343479</v>
      </c>
      <c r="J47" s="208">
        <f t="shared" si="28"/>
        <v>2684748872.8670344</v>
      </c>
      <c r="K47" s="208">
        <f t="shared" si="28"/>
        <v>2740627850.3243742</v>
      </c>
      <c r="L47" s="208">
        <f t="shared" si="28"/>
        <v>2797624407.330863</v>
      </c>
      <c r="M47" s="208">
        <f t="shared" si="28"/>
        <v>2902560895.4774809</v>
      </c>
      <c r="N47" s="208">
        <f t="shared" si="28"/>
        <v>2961860113.3870296</v>
      </c>
      <c r="O47" s="208">
        <f t="shared" si="28"/>
        <v>3022345315.6547709</v>
      </c>
      <c r="P47" s="208">
        <f t="shared" si="28"/>
        <v>3084040221.9678669</v>
      </c>
      <c r="Q47" s="208">
        <f t="shared" si="28"/>
        <v>3146969026.4072227</v>
      </c>
      <c r="R47" s="208">
        <f t="shared" si="28"/>
        <v>3211156406.9353676</v>
      </c>
      <c r="S47" s="208">
        <f t="shared" si="28"/>
        <v>3276627535.0740743</v>
      </c>
      <c r="T47" s="208">
        <f t="shared" si="28"/>
        <v>3343408085.7755556</v>
      </c>
      <c r="U47" s="208">
        <f t="shared" si="28"/>
        <v>3411524247.4910688</v>
      </c>
      <c r="V47" s="208">
        <f t="shared" si="28"/>
        <v>3481002732.4408903</v>
      </c>
      <c r="W47" s="208">
        <f t="shared" si="28"/>
        <v>3551870787.0897083</v>
      </c>
      <c r="X47" s="208">
        <f t="shared" si="28"/>
        <v>3624156202.831502</v>
      </c>
      <c r="Y47" s="208">
        <f t="shared" si="28"/>
        <v>3697887326.8881321</v>
      </c>
      <c r="Z47" s="208">
        <f t="shared" si="28"/>
        <v>3773093073.4258947</v>
      </c>
      <c r="AA47" s="208">
        <f t="shared" si="28"/>
        <v>3849802934.8944125</v>
      </c>
      <c r="AB47" s="208">
        <f t="shared" si="28"/>
        <v>3928046993.5923014</v>
      </c>
      <c r="AC47" s="208">
        <f t="shared" si="28"/>
        <v>4007855933.4641485</v>
      </c>
      <c r="AD47" s="208">
        <f t="shared" si="28"/>
        <v>4089261052.1334314</v>
      </c>
      <c r="AE47" s="208">
        <f t="shared" si="28"/>
        <v>4172294273.1760998</v>
      </c>
      <c r="AF47" s="208">
        <f t="shared" si="28"/>
        <v>4256988158.6396208</v>
      </c>
      <c r="AG47" s="204"/>
    </row>
    <row r="48" spans="1:39" x14ac:dyDescent="0.2">
      <c r="B48" s="198" t="s">
        <v>1156</v>
      </c>
      <c r="C48" s="208">
        <f>CapitalInvestment!$H$11</f>
        <v>950000000</v>
      </c>
      <c r="D48" s="208">
        <f>CapitalInvestment!$H$11</f>
        <v>950000000</v>
      </c>
      <c r="E48" s="208">
        <f>CapitalInvestment!$H$11</f>
        <v>950000000</v>
      </c>
      <c r="F48" s="208">
        <f>CapitalInvestment!$H$11</f>
        <v>950000000</v>
      </c>
      <c r="G48" s="208">
        <f>CapitalInvestment!$H$11</f>
        <v>950000000</v>
      </c>
      <c r="H48" s="208">
        <f>CapitalInvestment!$H$11</f>
        <v>950000000</v>
      </c>
      <c r="I48" s="208">
        <f>CapitalInvestment!$H$11</f>
        <v>950000000</v>
      </c>
      <c r="J48" s="208">
        <f>CapitalInvestment!$H$11</f>
        <v>950000000</v>
      </c>
      <c r="K48" s="208">
        <f>CapitalInvestment!$H$11</f>
        <v>950000000</v>
      </c>
      <c r="L48" s="208">
        <f>CapitalInvestment!$H$11</f>
        <v>950000000</v>
      </c>
      <c r="M48" s="208">
        <f>CapitalInvestment!$H$11</f>
        <v>950000000</v>
      </c>
      <c r="N48" s="208">
        <f>CapitalInvestment!$H$11</f>
        <v>950000000</v>
      </c>
      <c r="O48" s="208">
        <f>CapitalInvestment!$H$11</f>
        <v>950000000</v>
      </c>
      <c r="P48" s="208">
        <f>CapitalInvestment!$H$11</f>
        <v>950000000</v>
      </c>
      <c r="Q48" s="208">
        <f>CapitalInvestment!$H$11</f>
        <v>950000000</v>
      </c>
      <c r="R48" s="208">
        <f>CapitalInvestment!$H$11</f>
        <v>950000000</v>
      </c>
      <c r="S48" s="208">
        <f>CapitalInvestment!$H$11</f>
        <v>950000000</v>
      </c>
      <c r="T48" s="208">
        <f>CapitalInvestment!$H$11</f>
        <v>950000000</v>
      </c>
      <c r="U48" s="208">
        <f>CapitalInvestment!$H$11</f>
        <v>950000000</v>
      </c>
      <c r="V48" s="208">
        <f>CapitalInvestment!$H$11</f>
        <v>950000000</v>
      </c>
      <c r="W48" s="208">
        <f>CapitalInvestment!$H$11</f>
        <v>950000000</v>
      </c>
      <c r="X48" s="208">
        <f>CapitalInvestment!$H$11</f>
        <v>950000000</v>
      </c>
      <c r="Y48" s="208">
        <f>CapitalInvestment!$H$11</f>
        <v>950000000</v>
      </c>
      <c r="Z48" s="208">
        <f>CapitalInvestment!$H$11</f>
        <v>950000000</v>
      </c>
      <c r="AA48" s="208">
        <f>CapitalInvestment!$H$11</f>
        <v>950000000</v>
      </c>
      <c r="AB48" s="208">
        <f>CapitalInvestment!$H$11</f>
        <v>950000000</v>
      </c>
      <c r="AC48" s="208">
        <f>CapitalInvestment!$H$11</f>
        <v>950000000</v>
      </c>
      <c r="AD48" s="208">
        <f>CapitalInvestment!$H$11</f>
        <v>950000000</v>
      </c>
      <c r="AE48" s="208">
        <f>CapitalInvestment!$H$11</f>
        <v>950000000</v>
      </c>
      <c r="AF48" s="208">
        <f>CapitalInvestment!$H$11</f>
        <v>950000000</v>
      </c>
      <c r="AG48" s="204"/>
    </row>
    <row r="49" spans="1:34" x14ac:dyDescent="0.2">
      <c r="A49" s="198" t="s">
        <v>704</v>
      </c>
      <c r="D49" s="200"/>
      <c r="AG49" s="204"/>
    </row>
    <row r="50" spans="1:34" x14ac:dyDescent="0.2">
      <c r="B50" s="198" t="s">
        <v>1157</v>
      </c>
      <c r="C50" s="224">
        <f>(C47/C48)*100%</f>
        <v>0.66000750702214706</v>
      </c>
      <c r="D50" s="224">
        <f t="shared" ref="D50:AF50" si="29">(D47/D48)*100%</f>
        <v>0.97426958726785362</v>
      </c>
      <c r="E50" s="224">
        <f t="shared" si="29"/>
        <v>1.1605567991809402</v>
      </c>
      <c r="F50" s="224">
        <f t="shared" si="29"/>
        <v>1.5017065598909323</v>
      </c>
      <c r="G50" s="224">
        <f t="shared" si="29"/>
        <v>1.8807824496219765</v>
      </c>
      <c r="H50" s="224">
        <f t="shared" si="29"/>
        <v>2.301607893759821</v>
      </c>
      <c r="I50" s="224">
        <f t="shared" si="29"/>
        <v>2.7683848017203663</v>
      </c>
      <c r="J50" s="224">
        <f t="shared" si="29"/>
        <v>2.826051445123194</v>
      </c>
      <c r="K50" s="224">
        <f t="shared" si="29"/>
        <v>2.8848714213940783</v>
      </c>
      <c r="L50" s="224">
        <f t="shared" si="29"/>
        <v>2.9448677971903821</v>
      </c>
      <c r="M50" s="224">
        <f t="shared" si="29"/>
        <v>3.0553272583973481</v>
      </c>
      <c r="N50" s="224">
        <f t="shared" si="29"/>
        <v>3.1177474877758207</v>
      </c>
      <c r="O50" s="224">
        <f t="shared" si="29"/>
        <v>3.1814161217418642</v>
      </c>
      <c r="P50" s="224">
        <f t="shared" si="29"/>
        <v>3.2463581283872283</v>
      </c>
      <c r="Q50" s="224">
        <f t="shared" si="29"/>
        <v>3.3125989751654976</v>
      </c>
      <c r="R50" s="224">
        <f t="shared" si="29"/>
        <v>3.3801646388793345</v>
      </c>
      <c r="S50" s="224">
        <f t="shared" si="29"/>
        <v>3.4490816158674464</v>
      </c>
      <c r="T50" s="224">
        <f t="shared" si="29"/>
        <v>3.5193769323953217</v>
      </c>
      <c r="U50" s="224">
        <f t="shared" si="29"/>
        <v>3.5910781552537565</v>
      </c>
      <c r="V50" s="224">
        <f t="shared" si="29"/>
        <v>3.664213402569358</v>
      </c>
      <c r="W50" s="224">
        <f t="shared" si="29"/>
        <v>3.738811354831272</v>
      </c>
      <c r="X50" s="224">
        <f t="shared" si="29"/>
        <v>3.8149012661384232</v>
      </c>
      <c r="Y50" s="224">
        <f t="shared" si="29"/>
        <v>3.8925129756717181</v>
      </c>
      <c r="Z50" s="224">
        <f t="shared" si="29"/>
        <v>3.9716769193956787</v>
      </c>
      <c r="AA50" s="224">
        <f t="shared" si="29"/>
        <v>4.052424141994118</v>
      </c>
      <c r="AB50" s="224">
        <f t="shared" si="29"/>
        <v>4.1347863090445278</v>
      </c>
      <c r="AC50" s="224">
        <f t="shared" si="29"/>
        <v>4.2187957194359456</v>
      </c>
      <c r="AD50" s="224">
        <f t="shared" si="29"/>
        <v>4.3044853180351907</v>
      </c>
      <c r="AE50" s="224">
        <f t="shared" si="29"/>
        <v>4.3918887086064204</v>
      </c>
      <c r="AF50" s="224">
        <f t="shared" si="29"/>
        <v>4.4810401669890743</v>
      </c>
      <c r="AG50" s="204"/>
      <c r="AH50" s="224">
        <f>AVERAGE(C50:AF50)</f>
        <v>3.1473930619582347</v>
      </c>
    </row>
    <row r="51" spans="1:34" x14ac:dyDescent="0.2">
      <c r="AG51" s="204"/>
    </row>
    <row r="52" spans="1:34" x14ac:dyDescent="0.2">
      <c r="A52" s="198" t="s">
        <v>543</v>
      </c>
      <c r="AG52" s="204"/>
    </row>
    <row r="53" spans="1:34" x14ac:dyDescent="0.2">
      <c r="A53" s="198" t="s">
        <v>787</v>
      </c>
    </row>
    <row r="54" spans="1:34" x14ac:dyDescent="0.2">
      <c r="A54" s="198" t="s">
        <v>788</v>
      </c>
    </row>
    <row r="55" spans="1:34" x14ac:dyDescent="0.2">
      <c r="A55" s="206" t="s">
        <v>795</v>
      </c>
    </row>
  </sheetData>
  <pageMargins left="0.7" right="0.7" top="0.75" bottom="0.75" header="0.3" footer="0.3"/>
  <pageSetup paperSize="9" orientation="portrait" r:id="rId1"/>
  <ignoredErrors>
    <ignoredError sqref="C32:AF32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F58"/>
  <sheetViews>
    <sheetView showGridLines="0" zoomScaleNormal="100" workbookViewId="0">
      <pane xSplit="1" ySplit="8" topLeftCell="B9" activePane="bottomRight" state="frozen"/>
      <selection activeCell="AF34" sqref="AF34"/>
      <selection pane="topRight" activeCell="AF34" sqref="AF34"/>
      <selection pane="bottomLeft" activeCell="AF34" sqref="AF34"/>
      <selection pane="bottomRight" activeCell="F30" sqref="F30"/>
    </sheetView>
  </sheetViews>
  <sheetFormatPr defaultColWidth="9" defaultRowHeight="11.25" x14ac:dyDescent="0.25"/>
  <cols>
    <col min="1" max="1" width="29" style="180" customWidth="1"/>
    <col min="2" max="2" width="9.75" style="180" customWidth="1"/>
    <col min="3" max="3" width="12.125" style="180" customWidth="1"/>
    <col min="4" max="4" width="9.875" style="180" customWidth="1"/>
    <col min="5" max="5" width="11" style="180" customWidth="1"/>
    <col min="6" max="6" width="11.625" style="180" customWidth="1"/>
    <col min="7" max="7" width="10.125" style="180" bestFit="1" customWidth="1"/>
    <col min="8" max="8" width="9.875" style="180" customWidth="1"/>
    <col min="9" max="9" width="11.125" style="180" customWidth="1"/>
    <col min="10" max="10" width="10.5" style="180" customWidth="1"/>
    <col min="11" max="11" width="11.125" style="180" customWidth="1"/>
    <col min="12" max="12" width="11.375" style="180" customWidth="1"/>
    <col min="13" max="13" width="11.875" style="180" customWidth="1"/>
    <col min="14" max="14" width="12" style="180" customWidth="1"/>
    <col min="15" max="32" width="10.5" style="180" bestFit="1" customWidth="1"/>
    <col min="33" max="16384" width="9" style="180"/>
  </cols>
  <sheetData>
    <row r="1" spans="1:32" x14ac:dyDescent="0.25">
      <c r="A1" s="179" t="str">
        <f>'ProjectValuation(JO)'!A1</f>
        <v>Bisnis Penyewaan INTEGRATED COLD STORAGE - Revitalitation</v>
      </c>
      <c r="C1" s="183"/>
    </row>
    <row r="2" spans="1:32" x14ac:dyDescent="0.25">
      <c r="A2" s="179" t="str">
        <f>'ProjectValuation(JO)'!A2</f>
        <v>Financial Pre-Feasibility Study</v>
      </c>
      <c r="C2" s="183"/>
    </row>
    <row r="3" spans="1:32" x14ac:dyDescent="0.25">
      <c r="A3" s="181" t="s">
        <v>548</v>
      </c>
      <c r="C3" s="183"/>
    </row>
    <row r="4" spans="1:32" x14ac:dyDescent="0.25">
      <c r="A4" s="182"/>
    </row>
    <row r="5" spans="1:32" x14ac:dyDescent="0.25">
      <c r="A5" s="182"/>
      <c r="D5" s="183"/>
    </row>
    <row r="6" spans="1:32" x14ac:dyDescent="0.25">
      <c r="A6" s="196" t="s">
        <v>549</v>
      </c>
    </row>
    <row r="7" spans="1:32" x14ac:dyDescent="0.25">
      <c r="A7" s="180" t="s">
        <v>1137</v>
      </c>
    </row>
    <row r="8" spans="1:32" ht="20.100000000000001" customHeight="1" x14ac:dyDescent="0.25">
      <c r="A8" s="185" t="s">
        <v>542</v>
      </c>
      <c r="B8" s="186">
        <v>0</v>
      </c>
      <c r="C8" s="186">
        <v>1</v>
      </c>
      <c r="D8" s="186">
        <f>C8+1</f>
        <v>2</v>
      </c>
      <c r="E8" s="186">
        <f t="shared" ref="E8:L8" si="0">D8+1</f>
        <v>3</v>
      </c>
      <c r="F8" s="186">
        <f t="shared" si="0"/>
        <v>4</v>
      </c>
      <c r="G8" s="186">
        <f t="shared" si="0"/>
        <v>5</v>
      </c>
      <c r="H8" s="186">
        <f t="shared" si="0"/>
        <v>6</v>
      </c>
      <c r="I8" s="186">
        <f t="shared" si="0"/>
        <v>7</v>
      </c>
      <c r="J8" s="186">
        <f t="shared" si="0"/>
        <v>8</v>
      </c>
      <c r="K8" s="186">
        <f t="shared" si="0"/>
        <v>9</v>
      </c>
      <c r="L8" s="186">
        <f t="shared" si="0"/>
        <v>10</v>
      </c>
      <c r="M8" s="186">
        <f t="shared" ref="M8" si="1">L8+1</f>
        <v>11</v>
      </c>
      <c r="N8" s="186">
        <f t="shared" ref="N8" si="2">M8+1</f>
        <v>12</v>
      </c>
      <c r="O8" s="186">
        <f t="shared" ref="O8" si="3">N8+1</f>
        <v>13</v>
      </c>
      <c r="P8" s="186">
        <f t="shared" ref="P8" si="4">O8+1</f>
        <v>14</v>
      </c>
      <c r="Q8" s="186">
        <f t="shared" ref="Q8" si="5">P8+1</f>
        <v>15</v>
      </c>
      <c r="R8" s="186">
        <f t="shared" ref="R8" si="6">Q8+1</f>
        <v>16</v>
      </c>
      <c r="S8" s="186">
        <f t="shared" ref="S8" si="7">R8+1</f>
        <v>17</v>
      </c>
      <c r="T8" s="186">
        <f t="shared" ref="T8" si="8">S8+1</f>
        <v>18</v>
      </c>
      <c r="U8" s="186">
        <f t="shared" ref="U8" si="9">T8+1</f>
        <v>19</v>
      </c>
      <c r="V8" s="186">
        <f t="shared" ref="V8" si="10">U8+1</f>
        <v>20</v>
      </c>
      <c r="W8" s="186">
        <f t="shared" ref="W8" si="11">V8+1</f>
        <v>21</v>
      </c>
      <c r="X8" s="186">
        <f t="shared" ref="X8" si="12">W8+1</f>
        <v>22</v>
      </c>
      <c r="Y8" s="186">
        <f t="shared" ref="Y8" si="13">X8+1</f>
        <v>23</v>
      </c>
      <c r="Z8" s="186">
        <f t="shared" ref="Z8" si="14">Y8+1</f>
        <v>24</v>
      </c>
      <c r="AA8" s="186">
        <f t="shared" ref="AA8" si="15">Z8+1</f>
        <v>25</v>
      </c>
      <c r="AB8" s="186">
        <f t="shared" ref="AB8" si="16">AA8+1</f>
        <v>26</v>
      </c>
      <c r="AC8" s="186">
        <f t="shared" ref="AC8" si="17">AB8+1</f>
        <v>27</v>
      </c>
      <c r="AD8" s="186">
        <f t="shared" ref="AD8" si="18">AC8+1</f>
        <v>28</v>
      </c>
      <c r="AE8" s="186">
        <f t="shared" ref="AE8:AF8" si="19">AD8+1</f>
        <v>29</v>
      </c>
      <c r="AF8" s="186">
        <f t="shared" si="19"/>
        <v>30</v>
      </c>
    </row>
    <row r="9" spans="1:32" x14ac:dyDescent="0.25">
      <c r="A9" s="180" t="s">
        <v>550</v>
      </c>
      <c r="B9" s="364"/>
      <c r="C9" s="364"/>
      <c r="D9" s="364"/>
      <c r="E9" s="364"/>
      <c r="F9" s="364"/>
      <c r="G9" s="364"/>
      <c r="H9" s="364"/>
      <c r="I9" s="364"/>
      <c r="J9" s="364"/>
      <c r="K9" s="364"/>
      <c r="L9" s="364"/>
    </row>
    <row r="10" spans="1:32" x14ac:dyDescent="0.25">
      <c r="A10" s="188" t="s">
        <v>551</v>
      </c>
      <c r="B10" s="364"/>
      <c r="C10" s="364">
        <f>Revenue!I8</f>
        <v>4056000000</v>
      </c>
      <c r="D10" s="364">
        <f>Revenue!I9</f>
        <v>4455678240</v>
      </c>
      <c r="E10" s="364">
        <f>Revenue!I10</f>
        <v>4894740773.7695999</v>
      </c>
      <c r="F10" s="364">
        <f>Revenue!I11</f>
        <v>5377068529.6168566</v>
      </c>
      <c r="G10" s="364">
        <f>Revenue!I12</f>
        <v>5906924862.5253019</v>
      </c>
      <c r="H10" s="364">
        <f>Revenue!I13</f>
        <v>6488993238.4785452</v>
      </c>
      <c r="I10" s="364">
        <f>Revenue!I14</f>
        <v>7128418632.1982203</v>
      </c>
      <c r="J10" s="364">
        <f>Revenue!I15</f>
        <v>7270987004.8421841</v>
      </c>
      <c r="K10" s="364">
        <f>Revenue!I16</f>
        <v>7416406744.9390268</v>
      </c>
      <c r="L10" s="364">
        <f>Revenue!I17</f>
        <v>7564734879.8378086</v>
      </c>
      <c r="M10" s="364">
        <f>Revenue!I18</f>
        <v>7716029577.4345655</v>
      </c>
      <c r="N10" s="364">
        <f>Revenue!I19</f>
        <v>7870350168.9832563</v>
      </c>
      <c r="O10" s="364">
        <f>Revenue!I20</f>
        <v>8027757172.3629217</v>
      </c>
      <c r="P10" s="364">
        <f>Revenue!I21</f>
        <v>8188312315.8101807</v>
      </c>
      <c r="Q10" s="364">
        <f>Revenue!I22</f>
        <v>8352078562.1263838</v>
      </c>
      <c r="R10" s="364">
        <f>Revenue!I23</f>
        <v>8519120133.3689117</v>
      </c>
      <c r="S10" s="364">
        <f>Revenue!I24</f>
        <v>8689502536.0362892</v>
      </c>
      <c r="T10" s="364">
        <f>Revenue!I25</f>
        <v>8863292586.7570152</v>
      </c>
      <c r="U10" s="364">
        <f>Revenue!I26</f>
        <v>9040558438.492157</v>
      </c>
      <c r="V10" s="364">
        <f>Revenue!I27</f>
        <v>9221369607.262001</v>
      </c>
      <c r="W10" s="364">
        <f>Revenue!I28</f>
        <v>9405796999.4072418</v>
      </c>
      <c r="X10" s="364">
        <f>Revenue!I29</f>
        <v>9593912939.3953857</v>
      </c>
      <c r="Y10" s="364">
        <f>Revenue!I30</f>
        <v>9785791198.1832943</v>
      </c>
      <c r="Z10" s="364">
        <f>Revenue!I31</f>
        <v>9981507022.1469593</v>
      </c>
      <c r="AA10" s="364">
        <f>Revenue!I32</f>
        <v>10181137162.589899</v>
      </c>
      <c r="AB10" s="364">
        <f>Revenue!I33</f>
        <v>10384759905.841698</v>
      </c>
      <c r="AC10" s="364">
        <f>Revenue!I34</f>
        <v>10592455103.958532</v>
      </c>
      <c r="AD10" s="364">
        <f>Revenue!I35</f>
        <v>10804304206.037704</v>
      </c>
      <c r="AE10" s="364">
        <f>Revenue!I36</f>
        <v>11020390290.158457</v>
      </c>
      <c r="AF10" s="364">
        <f>Revenue!I37</f>
        <v>11240798095.961626</v>
      </c>
    </row>
    <row r="11" spans="1:32" x14ac:dyDescent="0.25">
      <c r="A11" s="188" t="s">
        <v>552</v>
      </c>
      <c r="B11" s="364"/>
      <c r="C11" s="364"/>
      <c r="D11" s="364"/>
      <c r="E11" s="364"/>
      <c r="F11" s="364"/>
      <c r="G11" s="364"/>
      <c r="H11" s="364"/>
      <c r="I11" s="364"/>
      <c r="J11" s="364"/>
      <c r="K11" s="364"/>
      <c r="L11" s="364"/>
    </row>
    <row r="12" spans="1:32" x14ac:dyDescent="0.25">
      <c r="A12" s="188" t="s">
        <v>833</v>
      </c>
      <c r="B12" s="364"/>
      <c r="C12" s="364">
        <f>IncomeStatement!C20</f>
        <v>2659897604.8640003</v>
      </c>
      <c r="D12" s="364">
        <f>IncomeStatement!D20</f>
        <v>2710295556.9612799</v>
      </c>
      <c r="E12" s="364">
        <f>IncomeStatement!E20</f>
        <v>2761701468.1005058</v>
      </c>
      <c r="F12" s="364">
        <f>IncomeStatement!F20</f>
        <v>2814135497.4625158</v>
      </c>
      <c r="G12" s="364">
        <f>IncomeStatement!G20</f>
        <v>2867618207.4117665</v>
      </c>
      <c r="H12" s="364">
        <f>IncomeStatement!H20</f>
        <v>2922170571.5600019</v>
      </c>
      <c r="I12" s="364">
        <f>IncomeStatement!I20</f>
        <v>2977813982.9912019</v>
      </c>
      <c r="J12" s="364">
        <f>IncomeStatement!J20</f>
        <v>3034570262.6510262</v>
      </c>
      <c r="K12" s="364">
        <f>IncomeStatement!K20</f>
        <v>3092461667.904047</v>
      </c>
      <c r="L12" s="364">
        <f>IncomeStatement!L20</f>
        <v>3151510901.2621274</v>
      </c>
      <c r="M12" s="364">
        <f>IncomeStatement!M20</f>
        <v>3151741119.2873702</v>
      </c>
      <c r="N12" s="364">
        <f>IncomeStatement!N20</f>
        <v>3213175941.6731176</v>
      </c>
      <c r="O12" s="364">
        <f>IncomeStatement!O20</f>
        <v>3275839460.5065799</v>
      </c>
      <c r="P12" s="364">
        <f>IncomeStatement!P20</f>
        <v>3339756249.7167115</v>
      </c>
      <c r="Q12" s="364">
        <f>IncomeStatement!Q20</f>
        <v>3404951374.7110462</v>
      </c>
      <c r="R12" s="364">
        <f>IncomeStatement!R20</f>
        <v>3471450402.2052674</v>
      </c>
      <c r="S12" s="364">
        <f>IncomeStatement!S20</f>
        <v>3539279410.2493725</v>
      </c>
      <c r="T12" s="364">
        <f>IncomeStatement!T20</f>
        <v>3608464998.45436</v>
      </c>
      <c r="U12" s="364">
        <f>IncomeStatement!U20</f>
        <v>3679034298.4234467</v>
      </c>
      <c r="V12" s="364">
        <f>IncomeStatement!V20</f>
        <v>3751014984.3919163</v>
      </c>
      <c r="W12" s="364">
        <f>IncomeStatement!W20</f>
        <v>3824435284.0797548</v>
      </c>
      <c r="X12" s="364">
        <f>IncomeStatement!X20</f>
        <v>3899323989.7613497</v>
      </c>
      <c r="Y12" s="364">
        <f>IncomeStatement!Y20</f>
        <v>3975710469.5565777</v>
      </c>
      <c r="Z12" s="364">
        <f>IncomeStatement!Z20</f>
        <v>4053624678.9477081</v>
      </c>
      <c r="AA12" s="364">
        <f>IncomeStatement!AA20</f>
        <v>4133097172.5266628</v>
      </c>
      <c r="AB12" s="364">
        <f>IncomeStatement!AB20</f>
        <v>4214159115.9771957</v>
      </c>
      <c r="AC12" s="364">
        <f>IncomeStatement!AC20</f>
        <v>4296842298.2967396</v>
      </c>
      <c r="AD12" s="364">
        <f>IncomeStatement!AD20</f>
        <v>4381179144.2626753</v>
      </c>
      <c r="AE12" s="364">
        <f>IncomeStatement!AE20</f>
        <v>4467202727.1479282</v>
      </c>
      <c r="AF12" s="364">
        <f>IncomeStatement!AF20</f>
        <v>4554946781.6908875</v>
      </c>
    </row>
    <row r="13" spans="1:32" x14ac:dyDescent="0.25">
      <c r="A13" s="189" t="s">
        <v>834</v>
      </c>
      <c r="B13" s="364"/>
      <c r="C13" s="364">
        <f>IncomeStatement!C28</f>
        <v>691600000</v>
      </c>
      <c r="D13" s="364">
        <f>IncomeStatement!D28</f>
        <v>705432000</v>
      </c>
      <c r="E13" s="364">
        <f>IncomeStatement!E28</f>
        <v>719540640</v>
      </c>
      <c r="F13" s="364">
        <f>IncomeStatement!F28</f>
        <v>733931452.79999995</v>
      </c>
      <c r="G13" s="364">
        <f>IncomeStatement!G28</f>
        <v>748610081.85600007</v>
      </c>
      <c r="H13" s="364">
        <f>IncomeStatement!H28</f>
        <v>763582283.49312007</v>
      </c>
      <c r="I13" s="364">
        <f>IncomeStatement!I28</f>
        <v>778853929.16298246</v>
      </c>
      <c r="J13" s="364">
        <f>IncomeStatement!J28</f>
        <v>794431007.74624228</v>
      </c>
      <c r="K13" s="364">
        <f>IncomeStatement!K28</f>
        <v>810319627.90116715</v>
      </c>
      <c r="L13" s="364">
        <f>IncomeStatement!L28</f>
        <v>826526020.45919037</v>
      </c>
      <c r="M13" s="364">
        <f>IncomeStatement!M28</f>
        <v>843056540.86837411</v>
      </c>
      <c r="N13" s="364">
        <f>IncomeStatement!N28</f>
        <v>859917671.68574154</v>
      </c>
      <c r="O13" s="364">
        <f>IncomeStatement!O28</f>
        <v>877116025.11945629</v>
      </c>
      <c r="P13" s="364">
        <f>IncomeStatement!P28</f>
        <v>894658345.6218456</v>
      </c>
      <c r="Q13" s="364">
        <f>IncomeStatement!Q28</f>
        <v>912551512.53428245</v>
      </c>
      <c r="R13" s="364">
        <f>IncomeStatement!R28</f>
        <v>930802542.78496814</v>
      </c>
      <c r="S13" s="364">
        <f>IncomeStatement!S28</f>
        <v>949418593.64066756</v>
      </c>
      <c r="T13" s="364">
        <f>IncomeStatement!T28</f>
        <v>968406965.5134809</v>
      </c>
      <c r="U13" s="364">
        <f>IncomeStatement!U28</f>
        <v>987775104.82375062</v>
      </c>
      <c r="V13" s="364">
        <f>IncomeStatement!V28</f>
        <v>1007530606.9202256</v>
      </c>
      <c r="W13" s="364">
        <f>IncomeStatement!W28</f>
        <v>1027681219.0586301</v>
      </c>
      <c r="X13" s="364">
        <f>IncomeStatement!X28</f>
        <v>1048234843.4398029</v>
      </c>
      <c r="Y13" s="364">
        <f>IncomeStatement!Y28</f>
        <v>1069199540.3085988</v>
      </c>
      <c r="Z13" s="364">
        <f>IncomeStatement!Z28</f>
        <v>1090583531.1147707</v>
      </c>
      <c r="AA13" s="364">
        <f>IncomeStatement!AA28</f>
        <v>1112395201.7370663</v>
      </c>
      <c r="AB13" s="364">
        <f>IncomeStatement!AB28</f>
        <v>1134643105.7718077</v>
      </c>
      <c r="AC13" s="364">
        <f>IncomeStatement!AC28</f>
        <v>1157335967.8872435</v>
      </c>
      <c r="AD13" s="364">
        <f>IncomeStatement!AD28</f>
        <v>1180482687.2449887</v>
      </c>
      <c r="AE13" s="364">
        <f>IncomeStatement!AE28</f>
        <v>1204092340.9898884</v>
      </c>
      <c r="AF13" s="364">
        <f>IncomeStatement!AF28</f>
        <v>1228174187.8096862</v>
      </c>
    </row>
    <row r="14" spans="1:32" x14ac:dyDescent="0.25">
      <c r="A14" s="189" t="s">
        <v>553</v>
      </c>
      <c r="B14" s="364"/>
      <c r="C14" s="538">
        <f>IncomeStatement!C32</f>
        <v>77495263.464959964</v>
      </c>
      <c r="D14" s="538">
        <f>IncomeStatement!D32</f>
        <v>114394575.13425921</v>
      </c>
      <c r="E14" s="538">
        <f>IncomeStatement!E32</f>
        <v>310969706.44720072</v>
      </c>
      <c r="F14" s="538">
        <f>IncomeStatement!F32</f>
        <v>402380347.457955</v>
      </c>
      <c r="G14" s="538">
        <f>IncomeStatement!G32</f>
        <v>503953246.11665779</v>
      </c>
      <c r="H14" s="538">
        <f>IncomeStatement!H32</f>
        <v>616712884.35359311</v>
      </c>
      <c r="I14" s="538">
        <f>IncomeStatement!I32</f>
        <v>741785158.40968788</v>
      </c>
      <c r="J14" s="538">
        <f>IncomeStatement!J32</f>
        <v>757236861.57788146</v>
      </c>
      <c r="K14" s="538">
        <f>IncomeStatement!K32</f>
        <v>772997598.80943882</v>
      </c>
      <c r="L14" s="538">
        <f>IncomeStatement!L32</f>
        <v>789073550.78562808</v>
      </c>
      <c r="M14" s="538">
        <f>IncomeStatement!M32</f>
        <v>818671021.80134082</v>
      </c>
      <c r="N14" s="538">
        <f>IncomeStatement!N32</f>
        <v>835396442.23736739</v>
      </c>
      <c r="O14" s="538">
        <f>IncomeStatement!O32</f>
        <v>852456371.08211493</v>
      </c>
      <c r="P14" s="538">
        <f>IncomeStatement!P32</f>
        <v>869857498.50375724</v>
      </c>
      <c r="Q14" s="538">
        <f>IncomeStatement!Q32</f>
        <v>887606648.47383213</v>
      </c>
      <c r="R14" s="538">
        <f>IncomeStatement!R32</f>
        <v>905710781.44330883</v>
      </c>
      <c r="S14" s="538">
        <f>IncomeStatement!S32</f>
        <v>924176997.07217491</v>
      </c>
      <c r="T14" s="538">
        <f>IncomeStatement!T32</f>
        <v>943012537.01361835</v>
      </c>
      <c r="U14" s="538">
        <f>IncomeStatement!U32</f>
        <v>962224787.75389111</v>
      </c>
      <c r="V14" s="538">
        <f>IncomeStatement!V32</f>
        <v>981821283.50896907</v>
      </c>
      <c r="W14" s="538">
        <f>IncomeStatement!W32</f>
        <v>1001809709.1791486</v>
      </c>
      <c r="X14" s="538">
        <f>IncomeStatement!X32</f>
        <v>1022197903.3627312</v>
      </c>
      <c r="Y14" s="538">
        <f>IncomeStatement!Y32</f>
        <v>1042993861.429986</v>
      </c>
      <c r="Z14" s="538">
        <f>IncomeStatement!Z32</f>
        <v>1064205738.6585857</v>
      </c>
      <c r="AA14" s="538">
        <f>IncomeStatement!AA32</f>
        <v>1085841853.4317575</v>
      </c>
      <c r="AB14" s="538">
        <f>IncomeStatement!AB32</f>
        <v>1107910690.5003927</v>
      </c>
      <c r="AC14" s="538">
        <f>IncomeStatement!AC32</f>
        <v>1130420904.310401</v>
      </c>
      <c r="AD14" s="538">
        <f>IncomeStatement!AD32</f>
        <v>1153381322.3966091</v>
      </c>
      <c r="AE14" s="538">
        <f>IncomeStatement!AE32</f>
        <v>1176800948.8445408</v>
      </c>
      <c r="AF14" s="538">
        <f>IncomeStatement!AF32</f>
        <v>1200688967.8214314</v>
      </c>
    </row>
    <row r="15" spans="1:32" x14ac:dyDescent="0.25">
      <c r="A15" s="190" t="s">
        <v>554</v>
      </c>
      <c r="B15" s="364"/>
      <c r="C15" s="364">
        <f>C10-(C12+C13+C14)</f>
        <v>627007131.67103958</v>
      </c>
      <c r="D15" s="364">
        <f>D10-(D12+D13+D14)</f>
        <v>925556107.90446091</v>
      </c>
      <c r="E15" s="364">
        <f>E10-(E12+E13+E14)</f>
        <v>1102528959.2218933</v>
      </c>
      <c r="F15" s="364">
        <f>F10-(F12+F13+F14)</f>
        <v>1426621231.8963857</v>
      </c>
      <c r="G15" s="364">
        <f>G10-(G12+G13+G14)</f>
        <v>1786743327.1408777</v>
      </c>
      <c r="H15" s="364">
        <f t="shared" ref="H15:AE15" si="20">H10-(H12+H13+H14)</f>
        <v>2186527499.0718298</v>
      </c>
      <c r="I15" s="364">
        <f t="shared" si="20"/>
        <v>2629965561.6343479</v>
      </c>
      <c r="J15" s="364">
        <f t="shared" si="20"/>
        <v>2684748872.867034</v>
      </c>
      <c r="K15" s="364">
        <f t="shared" si="20"/>
        <v>2740627850.3243742</v>
      </c>
      <c r="L15" s="364">
        <f t="shared" si="20"/>
        <v>2797624407.330863</v>
      </c>
      <c r="M15" s="364">
        <f t="shared" si="20"/>
        <v>2902560895.4774799</v>
      </c>
      <c r="N15" s="364">
        <f t="shared" si="20"/>
        <v>2961860113.3870296</v>
      </c>
      <c r="O15" s="364">
        <f t="shared" si="20"/>
        <v>3022345315.6547709</v>
      </c>
      <c r="P15" s="364">
        <f t="shared" si="20"/>
        <v>3084040221.9678659</v>
      </c>
      <c r="Q15" s="364">
        <f t="shared" si="20"/>
        <v>3146969026.4072227</v>
      </c>
      <c r="R15" s="364">
        <f t="shared" si="20"/>
        <v>3211156406.9353676</v>
      </c>
      <c r="S15" s="364">
        <f t="shared" si="20"/>
        <v>3276627535.0740738</v>
      </c>
      <c r="T15" s="364">
        <f t="shared" si="20"/>
        <v>3343408085.7755556</v>
      </c>
      <c r="U15" s="364">
        <f t="shared" si="20"/>
        <v>3411524247.4910688</v>
      </c>
      <c r="V15" s="364">
        <f t="shared" si="20"/>
        <v>3481002732.4408903</v>
      </c>
      <c r="W15" s="364">
        <f t="shared" si="20"/>
        <v>3551870787.0897083</v>
      </c>
      <c r="X15" s="364">
        <f t="shared" si="20"/>
        <v>3624156202.831502</v>
      </c>
      <c r="Y15" s="364">
        <f t="shared" si="20"/>
        <v>3697887326.8881321</v>
      </c>
      <c r="Z15" s="364">
        <f t="shared" si="20"/>
        <v>3773093073.4258947</v>
      </c>
      <c r="AA15" s="364">
        <f t="shared" si="20"/>
        <v>3849802934.894413</v>
      </c>
      <c r="AB15" s="364">
        <f t="shared" si="20"/>
        <v>3928046993.5923014</v>
      </c>
      <c r="AC15" s="364">
        <f t="shared" si="20"/>
        <v>4007855933.4641485</v>
      </c>
      <c r="AD15" s="364">
        <f t="shared" si="20"/>
        <v>4089261052.1334314</v>
      </c>
      <c r="AE15" s="364">
        <f t="shared" si="20"/>
        <v>4172294273.1760998</v>
      </c>
      <c r="AF15" s="364">
        <f>AF10-(AF12+AF13+AF14)</f>
        <v>4256988158.6396208</v>
      </c>
    </row>
    <row r="16" spans="1:32" x14ac:dyDescent="0.25">
      <c r="B16" s="539"/>
      <c r="C16" s="539"/>
      <c r="D16" s="539"/>
      <c r="E16" s="539"/>
      <c r="F16" s="539"/>
      <c r="G16" s="539"/>
      <c r="H16" s="539"/>
      <c r="I16" s="539"/>
      <c r="J16" s="539"/>
      <c r="K16" s="539"/>
      <c r="L16" s="539"/>
      <c r="M16" s="539"/>
      <c r="N16" s="539"/>
      <c r="O16" s="539"/>
      <c r="P16" s="539"/>
      <c r="Q16" s="539"/>
      <c r="R16" s="539"/>
      <c r="S16" s="539"/>
      <c r="T16" s="539"/>
      <c r="U16" s="539"/>
      <c r="V16" s="539"/>
      <c r="W16" s="539"/>
      <c r="X16" s="539"/>
      <c r="Y16" s="539"/>
      <c r="Z16" s="539"/>
      <c r="AA16" s="539"/>
      <c r="AB16" s="539"/>
      <c r="AC16" s="539"/>
      <c r="AD16" s="539"/>
      <c r="AE16" s="539"/>
      <c r="AF16" s="539"/>
    </row>
    <row r="17" spans="1:32" x14ac:dyDescent="0.25">
      <c r="A17" s="180" t="s">
        <v>555</v>
      </c>
      <c r="B17" s="364"/>
      <c r="C17" s="364"/>
      <c r="D17" s="364"/>
      <c r="E17" s="364"/>
      <c r="F17" s="364"/>
      <c r="G17" s="364"/>
      <c r="H17" s="364"/>
      <c r="I17" s="364"/>
      <c r="J17" s="364"/>
      <c r="K17" s="364"/>
      <c r="L17" s="364"/>
      <c r="M17" s="364"/>
      <c r="N17" s="364"/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  <c r="AA17" s="364"/>
      <c r="AB17" s="364"/>
      <c r="AC17" s="364"/>
      <c r="AD17" s="364"/>
      <c r="AE17" s="364"/>
      <c r="AF17" s="364"/>
    </row>
    <row r="18" spans="1:32" x14ac:dyDescent="0.25">
      <c r="A18" s="180" t="s">
        <v>556</v>
      </c>
      <c r="B18" s="364">
        <f>Assumption!B20</f>
        <v>600000000</v>
      </c>
      <c r="C18" s="364"/>
      <c r="D18" s="364"/>
      <c r="E18" s="364"/>
      <c r="F18" s="364"/>
      <c r="G18" s="364"/>
      <c r="H18" s="364"/>
      <c r="I18" s="364"/>
      <c r="J18" s="364"/>
      <c r="K18" s="364"/>
      <c r="L18" s="364"/>
      <c r="M18" s="364"/>
      <c r="N18" s="364"/>
      <c r="O18" s="364"/>
      <c r="P18" s="364"/>
      <c r="Q18" s="364"/>
      <c r="R18" s="364"/>
      <c r="S18" s="364"/>
      <c r="T18" s="364"/>
      <c r="U18" s="364"/>
      <c r="V18" s="364"/>
      <c r="W18" s="364"/>
      <c r="X18" s="364"/>
      <c r="Y18" s="364"/>
      <c r="Z18" s="364"/>
      <c r="AA18" s="364"/>
      <c r="AB18" s="364"/>
      <c r="AC18" s="364"/>
      <c r="AD18" s="364"/>
      <c r="AE18" s="364"/>
      <c r="AF18" s="364"/>
    </row>
    <row r="19" spans="1:32" x14ac:dyDescent="0.25">
      <c r="A19" s="180" t="s">
        <v>557</v>
      </c>
      <c r="B19" s="538">
        <f>Assumption!B21</f>
        <v>350000000</v>
      </c>
      <c r="C19" s="538"/>
      <c r="D19" s="538"/>
      <c r="E19" s="538"/>
      <c r="F19" s="538"/>
      <c r="G19" s="538"/>
      <c r="H19" s="538"/>
      <c r="I19" s="538"/>
      <c r="J19" s="538"/>
      <c r="K19" s="538"/>
      <c r="L19" s="538"/>
      <c r="M19" s="538"/>
      <c r="N19" s="538"/>
      <c r="O19" s="538"/>
      <c r="P19" s="538"/>
      <c r="Q19" s="538"/>
      <c r="R19" s="538"/>
      <c r="S19" s="538"/>
      <c r="T19" s="538"/>
      <c r="U19" s="538"/>
      <c r="V19" s="538"/>
      <c r="W19" s="538"/>
      <c r="X19" s="538"/>
      <c r="Y19" s="538"/>
      <c r="Z19" s="538"/>
      <c r="AA19" s="538"/>
      <c r="AB19" s="538"/>
      <c r="AC19" s="538"/>
      <c r="AD19" s="538"/>
      <c r="AE19" s="538"/>
      <c r="AF19" s="538"/>
    </row>
    <row r="20" spans="1:32" x14ac:dyDescent="0.25">
      <c r="A20" s="190" t="s">
        <v>558</v>
      </c>
      <c r="B20" s="364">
        <f>SUM(B18:B19)</f>
        <v>950000000</v>
      </c>
      <c r="C20" s="364">
        <f>SUM(C18:C19)</f>
        <v>0</v>
      </c>
      <c r="D20" s="364">
        <f t="shared" ref="D20:L20" si="21">SUM(D18:D19)</f>
        <v>0</v>
      </c>
      <c r="E20" s="364">
        <f t="shared" si="21"/>
        <v>0</v>
      </c>
      <c r="F20" s="364">
        <f t="shared" si="21"/>
        <v>0</v>
      </c>
      <c r="G20" s="364">
        <f t="shared" si="21"/>
        <v>0</v>
      </c>
      <c r="H20" s="364">
        <f t="shared" si="21"/>
        <v>0</v>
      </c>
      <c r="I20" s="364">
        <f t="shared" si="21"/>
        <v>0</v>
      </c>
      <c r="J20" s="364">
        <f t="shared" si="21"/>
        <v>0</v>
      </c>
      <c r="K20" s="364">
        <f t="shared" si="21"/>
        <v>0</v>
      </c>
      <c r="L20" s="364">
        <f t="shared" si="21"/>
        <v>0</v>
      </c>
      <c r="M20" s="364">
        <f t="shared" ref="M20:AF20" si="22">SUM(M18:M19)</f>
        <v>0</v>
      </c>
      <c r="N20" s="364">
        <f t="shared" si="22"/>
        <v>0</v>
      </c>
      <c r="O20" s="364">
        <f t="shared" si="22"/>
        <v>0</v>
      </c>
      <c r="P20" s="364">
        <f t="shared" si="22"/>
        <v>0</v>
      </c>
      <c r="Q20" s="364">
        <f t="shared" si="22"/>
        <v>0</v>
      </c>
      <c r="R20" s="364">
        <f t="shared" si="22"/>
        <v>0</v>
      </c>
      <c r="S20" s="364">
        <f t="shared" si="22"/>
        <v>0</v>
      </c>
      <c r="T20" s="364">
        <f t="shared" si="22"/>
        <v>0</v>
      </c>
      <c r="U20" s="364">
        <f t="shared" si="22"/>
        <v>0</v>
      </c>
      <c r="V20" s="364">
        <f t="shared" si="22"/>
        <v>0</v>
      </c>
      <c r="W20" s="364">
        <f t="shared" si="22"/>
        <v>0</v>
      </c>
      <c r="X20" s="364">
        <f t="shared" si="22"/>
        <v>0</v>
      </c>
      <c r="Y20" s="364">
        <f t="shared" si="22"/>
        <v>0</v>
      </c>
      <c r="Z20" s="364">
        <f t="shared" si="22"/>
        <v>0</v>
      </c>
      <c r="AA20" s="364">
        <f t="shared" si="22"/>
        <v>0</v>
      </c>
      <c r="AB20" s="364">
        <f t="shared" si="22"/>
        <v>0</v>
      </c>
      <c r="AC20" s="364">
        <f t="shared" si="22"/>
        <v>0</v>
      </c>
      <c r="AD20" s="364">
        <f t="shared" si="22"/>
        <v>0</v>
      </c>
      <c r="AE20" s="364">
        <f t="shared" si="22"/>
        <v>0</v>
      </c>
      <c r="AF20" s="364">
        <f t="shared" si="22"/>
        <v>0</v>
      </c>
    </row>
    <row r="21" spans="1:32" x14ac:dyDescent="0.25">
      <c r="B21" s="539"/>
      <c r="C21" s="539"/>
      <c r="D21" s="539"/>
      <c r="E21" s="539"/>
      <c r="F21" s="539"/>
      <c r="G21" s="539"/>
      <c r="H21" s="539"/>
      <c r="I21" s="539"/>
      <c r="J21" s="539"/>
      <c r="K21" s="539"/>
      <c r="L21" s="539"/>
      <c r="M21" s="539"/>
      <c r="N21" s="539"/>
      <c r="O21" s="539"/>
      <c r="P21" s="539"/>
      <c r="Q21" s="539"/>
      <c r="R21" s="539"/>
      <c r="S21" s="539"/>
      <c r="T21" s="539"/>
      <c r="U21" s="539"/>
      <c r="V21" s="539"/>
      <c r="W21" s="539"/>
      <c r="X21" s="539"/>
      <c r="Y21" s="539"/>
      <c r="Z21" s="539"/>
      <c r="AA21" s="539"/>
      <c r="AB21" s="539"/>
      <c r="AC21" s="539"/>
      <c r="AD21" s="539"/>
      <c r="AE21" s="539"/>
      <c r="AF21" s="539"/>
    </row>
    <row r="22" spans="1:32" x14ac:dyDescent="0.25">
      <c r="A22" s="180" t="s">
        <v>559</v>
      </c>
      <c r="B22" s="364"/>
      <c r="C22" s="364"/>
      <c r="D22" s="364"/>
      <c r="E22" s="364"/>
      <c r="F22" s="364"/>
      <c r="G22" s="364"/>
      <c r="H22" s="364"/>
      <c r="I22" s="364"/>
      <c r="J22" s="364"/>
      <c r="K22" s="364"/>
      <c r="L22" s="364"/>
      <c r="M22" s="364"/>
      <c r="N22" s="364"/>
      <c r="O22" s="364"/>
      <c r="P22" s="364"/>
      <c r="Q22" s="364"/>
      <c r="R22" s="364"/>
      <c r="S22" s="364"/>
      <c r="T22" s="364"/>
      <c r="U22" s="364"/>
      <c r="V22" s="364"/>
      <c r="W22" s="364"/>
      <c r="X22" s="364"/>
      <c r="Y22" s="364"/>
      <c r="Z22" s="364"/>
      <c r="AA22" s="364"/>
      <c r="AB22" s="364"/>
      <c r="AC22" s="364"/>
      <c r="AD22" s="364"/>
      <c r="AE22" s="364"/>
      <c r="AF22" s="364"/>
    </row>
    <row r="23" spans="1:32" x14ac:dyDescent="0.25">
      <c r="A23" s="180" t="s">
        <v>560</v>
      </c>
      <c r="B23" s="364">
        <f>-1*B18</f>
        <v>-600000000</v>
      </c>
      <c r="C23" s="364"/>
      <c r="D23" s="364"/>
      <c r="E23" s="364"/>
      <c r="F23" s="364"/>
      <c r="G23" s="364"/>
      <c r="H23" s="364"/>
      <c r="I23" s="364"/>
      <c r="J23" s="364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4"/>
      <c r="W23" s="364"/>
      <c r="X23" s="364"/>
      <c r="Y23" s="364"/>
      <c r="Z23" s="364"/>
      <c r="AA23" s="364"/>
      <c r="AB23" s="364"/>
      <c r="AC23" s="364"/>
      <c r="AD23" s="364"/>
      <c r="AE23" s="364"/>
      <c r="AF23" s="364"/>
    </row>
    <row r="24" spans="1:32" x14ac:dyDescent="0.25">
      <c r="A24" s="180" t="s">
        <v>561</v>
      </c>
      <c r="B24" s="364">
        <v>0</v>
      </c>
      <c r="C24" s="364">
        <f>-1*LoanInterest!K9/10^3</f>
        <v>0</v>
      </c>
      <c r="D24" s="364">
        <f>-1*LoanInterest!K10/10^3</f>
        <v>0</v>
      </c>
      <c r="E24" s="364">
        <f>-1*LoanInterest!K11/10^3</f>
        <v>0</v>
      </c>
      <c r="F24" s="364">
        <f>-1*LoanInterest!K12/10^3</f>
        <v>0</v>
      </c>
      <c r="G24" s="364">
        <f>-1*LoanInterest!K13/10^3</f>
        <v>0</v>
      </c>
      <c r="H24" s="364">
        <f>-1*LoanInterest!K14/10^3</f>
        <v>0</v>
      </c>
      <c r="I24" s="364">
        <f>-1*LoanInterest!K15/10^3</f>
        <v>0</v>
      </c>
      <c r="J24" s="364">
        <f>-1*LoanInterest!K16/10^3</f>
        <v>0</v>
      </c>
      <c r="K24" s="364">
        <f>-1*LoanInterest!K17/10^3</f>
        <v>0</v>
      </c>
      <c r="L24" s="364">
        <f>-1*LoanInterest!K18/10^3</f>
        <v>0</v>
      </c>
      <c r="M24" s="364">
        <f>-1*LoanInterest!L18/10^3</f>
        <v>0</v>
      </c>
      <c r="N24" s="364">
        <f>-1*LoanInterest!M18/10^3</f>
        <v>0</v>
      </c>
      <c r="O24" s="364">
        <f>-1*LoanInterest!N18/10^3</f>
        <v>0</v>
      </c>
      <c r="P24" s="364">
        <f>-1*LoanInterest!O18/10^3</f>
        <v>0</v>
      </c>
      <c r="Q24" s="364">
        <f>-1*LoanInterest!P18/10^3</f>
        <v>0</v>
      </c>
      <c r="R24" s="364">
        <f>-1*LoanInterest!Q18/10^3</f>
        <v>0</v>
      </c>
      <c r="S24" s="364">
        <f>-1*LoanInterest!R18/10^3</f>
        <v>0</v>
      </c>
      <c r="T24" s="364">
        <f>-1*LoanInterest!S18/10^3</f>
        <v>0</v>
      </c>
      <c r="U24" s="364">
        <f>-1*LoanInterest!T18/10^3</f>
        <v>0</v>
      </c>
      <c r="V24" s="364">
        <f>-1*LoanInterest!U18/10^3</f>
        <v>0</v>
      </c>
      <c r="W24" s="364">
        <f>-1*LoanInterest!V18/10^3</f>
        <v>0</v>
      </c>
      <c r="X24" s="364">
        <f>-1*LoanInterest!W18/10^3</f>
        <v>0</v>
      </c>
      <c r="Y24" s="364">
        <f>-1*LoanInterest!X18/10^3</f>
        <v>0</v>
      </c>
      <c r="Z24" s="364">
        <f>-1*LoanInterest!Y18/10^3</f>
        <v>0</v>
      </c>
      <c r="AA24" s="364">
        <f>-1*LoanInterest!Z18/10^3</f>
        <v>0</v>
      </c>
      <c r="AB24" s="364">
        <f>-1*LoanInterest!AA18/10^3</f>
        <v>0</v>
      </c>
      <c r="AC24" s="364">
        <f>-1*LoanInterest!AB18/10^3</f>
        <v>0</v>
      </c>
      <c r="AD24" s="364">
        <f>-1*LoanInterest!AC18/10^3</f>
        <v>0</v>
      </c>
      <c r="AE24" s="364">
        <f>-1*LoanInterest!AD18/10^3</f>
        <v>0</v>
      </c>
      <c r="AF24" s="364">
        <f>-1*LoanInterest!AE18/10^3</f>
        <v>0</v>
      </c>
    </row>
    <row r="25" spans="1:32" x14ac:dyDescent="0.25">
      <c r="A25" s="180" t="s">
        <v>562</v>
      </c>
      <c r="B25" s="364">
        <v>0</v>
      </c>
      <c r="C25" s="364">
        <f>-1*LoanInterest!K10/10^3</f>
        <v>0</v>
      </c>
      <c r="D25" s="364">
        <f>-1*LoanInterest!K11/10^3</f>
        <v>0</v>
      </c>
      <c r="E25" s="364">
        <f>-1*LoanInterest!K12/10^3</f>
        <v>0</v>
      </c>
      <c r="F25" s="364">
        <f>-1*LoanInterest!K13/10^3</f>
        <v>0</v>
      </c>
      <c r="G25" s="364">
        <f>-1*LoanInterest!K14/10^3</f>
        <v>0</v>
      </c>
      <c r="H25" s="364">
        <f>-1*LoanInterest!K15/10^3</f>
        <v>0</v>
      </c>
      <c r="I25" s="364">
        <f>-1*LoanInterest!K16/10^3</f>
        <v>0</v>
      </c>
      <c r="J25" s="364">
        <f>-1*LoanInterest!K17/10^3</f>
        <v>0</v>
      </c>
      <c r="K25" s="364">
        <f>-1*LoanInterest!K18/10^3</f>
        <v>0</v>
      </c>
      <c r="L25" s="364">
        <f>-1*LoanInterest!K19/10^3</f>
        <v>0</v>
      </c>
      <c r="M25" s="364">
        <f>-1*LoanInterest!L19/10^3</f>
        <v>0</v>
      </c>
      <c r="N25" s="364">
        <f>-1*LoanInterest!M19/10^3</f>
        <v>0</v>
      </c>
      <c r="O25" s="364">
        <f>-1*LoanInterest!N19/10^3</f>
        <v>0</v>
      </c>
      <c r="P25" s="364">
        <f>-1*LoanInterest!O19/10^3</f>
        <v>0</v>
      </c>
      <c r="Q25" s="364">
        <f>-1*LoanInterest!P19/10^3</f>
        <v>0</v>
      </c>
      <c r="R25" s="364">
        <f>-1*LoanInterest!Q19/10^3</f>
        <v>0</v>
      </c>
      <c r="S25" s="364">
        <f>-1*LoanInterest!R19/10^3</f>
        <v>0</v>
      </c>
      <c r="T25" s="364">
        <f>-1*LoanInterest!S19/10^3</f>
        <v>0</v>
      </c>
      <c r="U25" s="364">
        <f>-1*LoanInterest!T19/10^3</f>
        <v>0</v>
      </c>
      <c r="V25" s="364">
        <f>-1*LoanInterest!U19/10^3</f>
        <v>0</v>
      </c>
      <c r="W25" s="364">
        <f>-1*LoanInterest!V19/10^3</f>
        <v>0</v>
      </c>
      <c r="X25" s="364">
        <f>-1*LoanInterest!W19/10^3</f>
        <v>0</v>
      </c>
      <c r="Y25" s="364">
        <f>-1*LoanInterest!X19/10^3</f>
        <v>0</v>
      </c>
      <c r="Z25" s="364">
        <f>-1*LoanInterest!Y19/10^3</f>
        <v>0</v>
      </c>
      <c r="AA25" s="364">
        <f>-1*LoanInterest!Z19/10^3</f>
        <v>0</v>
      </c>
      <c r="AB25" s="364">
        <f>-1*LoanInterest!AA19/10^3</f>
        <v>0</v>
      </c>
      <c r="AC25" s="364">
        <f>-1*LoanInterest!AB19/10^3</f>
        <v>0</v>
      </c>
      <c r="AD25" s="364">
        <f>-1*LoanInterest!AC19/10^3</f>
        <v>0</v>
      </c>
      <c r="AE25" s="364">
        <f>-1*LoanInterest!AD19/10^3</f>
        <v>0</v>
      </c>
      <c r="AF25" s="364">
        <f>-1*LoanInterest!AE19/10^3</f>
        <v>0</v>
      </c>
    </row>
    <row r="26" spans="1:32" x14ac:dyDescent="0.25">
      <c r="A26" s="180" t="s">
        <v>1143</v>
      </c>
      <c r="B26" s="538">
        <v>0</v>
      </c>
      <c r="C26" s="364">
        <f>-1*Dividen!L9</f>
        <v>-438904992.16972774</v>
      </c>
      <c r="D26" s="364">
        <f>-1*Dividen!L10</f>
        <v>-833000497.11401486</v>
      </c>
      <c r="E26" s="364">
        <f>-1*Dividen!L11</f>
        <v>-1047402511.2607986</v>
      </c>
      <c r="F26" s="364">
        <f>-1*Dividen!L12</f>
        <v>-1426621231.8963857</v>
      </c>
      <c r="G26" s="364">
        <f>-1*Dividen!L13</f>
        <v>-1786743327.1408777</v>
      </c>
      <c r="H26" s="364">
        <f>-1*Dividen!L14</f>
        <v>-2186527499.0718298</v>
      </c>
      <c r="I26" s="364">
        <f>-1*Dividen!L15</f>
        <v>-2629965561.6343479</v>
      </c>
      <c r="J26" s="364">
        <f>-1*Dividen!L16</f>
        <v>-2684748872.8670344</v>
      </c>
      <c r="K26" s="364">
        <f>-1*Dividen!L17</f>
        <v>-2740627850.3243742</v>
      </c>
      <c r="L26" s="364">
        <f>-1*Dividen!L18</f>
        <v>-2797624407.330863</v>
      </c>
      <c r="M26" s="364">
        <f>-1*Dividen!L19</f>
        <v>-2902560895.4774809</v>
      </c>
      <c r="N26" s="364">
        <f>-1*Dividen!L20</f>
        <v>-2961860113.3870296</v>
      </c>
      <c r="O26" s="364">
        <f>-1*Dividen!L21</f>
        <v>-3022345315.6547709</v>
      </c>
      <c r="P26" s="364">
        <f>-1*Dividen!L22</f>
        <v>-3084040221.9678669</v>
      </c>
      <c r="Q26" s="364">
        <f>-1*Dividen!L23</f>
        <v>-3146969026.4072227</v>
      </c>
      <c r="R26" s="364">
        <f>-1*Dividen!L24</f>
        <v>-3211156406.9353676</v>
      </c>
      <c r="S26" s="364">
        <f>-1*Dividen!L25</f>
        <v>-3276627535.0740743</v>
      </c>
      <c r="T26" s="364">
        <f>-1*Dividen!L26</f>
        <v>-3343408085.7755556</v>
      </c>
      <c r="U26" s="364">
        <f>-1*Dividen!L27</f>
        <v>-3411524247.4910688</v>
      </c>
      <c r="V26" s="364">
        <f>-1*Dividen!L28</f>
        <v>-3481002732.4408903</v>
      </c>
      <c r="W26" s="364">
        <f>-1*Dividen!L29</f>
        <v>-3551870787.0897083</v>
      </c>
      <c r="X26" s="364">
        <f>-1*Dividen!L30</f>
        <v>-3624156202.831502</v>
      </c>
      <c r="Y26" s="364">
        <f>-1*Dividen!L31</f>
        <v>-3697887326.8881321</v>
      </c>
      <c r="Z26" s="364">
        <f>-1*Dividen!L32</f>
        <v>-3773093073.4258947</v>
      </c>
      <c r="AA26" s="364">
        <f>-1*Dividen!L33</f>
        <v>-3849802934.8944125</v>
      </c>
      <c r="AB26" s="364">
        <f>-1*Dividen!L34</f>
        <v>-3928046993.5923014</v>
      </c>
      <c r="AC26" s="364">
        <f>-1*Dividen!L35</f>
        <v>-4007855933.4641485</v>
      </c>
      <c r="AD26" s="364">
        <f>-1*Dividen!L36</f>
        <v>-4089261052.1334314</v>
      </c>
      <c r="AE26" s="364">
        <f>-1*Dividen!L37</f>
        <v>-4172294273.1760998</v>
      </c>
      <c r="AF26" s="364">
        <f>-1*Dividen!L38</f>
        <v>-4256988158.6396208</v>
      </c>
    </row>
    <row r="27" spans="1:32" x14ac:dyDescent="0.25">
      <c r="A27" s="190" t="s">
        <v>563</v>
      </c>
      <c r="B27" s="364">
        <f>SUM(B23:B26)</f>
        <v>-600000000</v>
      </c>
      <c r="C27" s="677">
        <f t="shared" ref="C27:AF27" si="23">SUM(C23:C26)</f>
        <v>-438904992.16972774</v>
      </c>
      <c r="D27" s="677">
        <f t="shared" si="23"/>
        <v>-833000497.11401486</v>
      </c>
      <c r="E27" s="677">
        <f t="shared" si="23"/>
        <v>-1047402511.2607986</v>
      </c>
      <c r="F27" s="677">
        <f t="shared" si="23"/>
        <v>-1426621231.8963857</v>
      </c>
      <c r="G27" s="677">
        <f t="shared" si="23"/>
        <v>-1786743327.1408777</v>
      </c>
      <c r="H27" s="677">
        <f t="shared" si="23"/>
        <v>-2186527499.0718298</v>
      </c>
      <c r="I27" s="677">
        <f t="shared" si="23"/>
        <v>-2629965561.6343479</v>
      </c>
      <c r="J27" s="677">
        <f t="shared" si="23"/>
        <v>-2684748872.8670344</v>
      </c>
      <c r="K27" s="677">
        <f t="shared" si="23"/>
        <v>-2740627850.3243742</v>
      </c>
      <c r="L27" s="677">
        <f t="shared" si="23"/>
        <v>-2797624407.330863</v>
      </c>
      <c r="M27" s="677">
        <f t="shared" si="23"/>
        <v>-2902560895.4774809</v>
      </c>
      <c r="N27" s="677">
        <f t="shared" si="23"/>
        <v>-2961860113.3870296</v>
      </c>
      <c r="O27" s="677">
        <f t="shared" si="23"/>
        <v>-3022345315.6547709</v>
      </c>
      <c r="P27" s="677">
        <f t="shared" si="23"/>
        <v>-3084040221.9678669</v>
      </c>
      <c r="Q27" s="677">
        <f t="shared" si="23"/>
        <v>-3146969026.4072227</v>
      </c>
      <c r="R27" s="677">
        <f t="shared" si="23"/>
        <v>-3211156406.9353676</v>
      </c>
      <c r="S27" s="677">
        <f t="shared" si="23"/>
        <v>-3276627535.0740743</v>
      </c>
      <c r="T27" s="677">
        <f t="shared" si="23"/>
        <v>-3343408085.7755556</v>
      </c>
      <c r="U27" s="677">
        <f t="shared" si="23"/>
        <v>-3411524247.4910688</v>
      </c>
      <c r="V27" s="677">
        <f t="shared" si="23"/>
        <v>-3481002732.4408903</v>
      </c>
      <c r="W27" s="677">
        <f t="shared" si="23"/>
        <v>-3551870787.0897083</v>
      </c>
      <c r="X27" s="677">
        <f t="shared" si="23"/>
        <v>-3624156202.831502</v>
      </c>
      <c r="Y27" s="677">
        <f t="shared" si="23"/>
        <v>-3697887326.8881321</v>
      </c>
      <c r="Z27" s="677">
        <f t="shared" si="23"/>
        <v>-3773093073.4258947</v>
      </c>
      <c r="AA27" s="677">
        <f t="shared" si="23"/>
        <v>-3849802934.8944125</v>
      </c>
      <c r="AB27" s="677">
        <f t="shared" si="23"/>
        <v>-3928046993.5923014</v>
      </c>
      <c r="AC27" s="677">
        <f t="shared" si="23"/>
        <v>-4007855933.4641485</v>
      </c>
      <c r="AD27" s="677">
        <f t="shared" si="23"/>
        <v>-4089261052.1334314</v>
      </c>
      <c r="AE27" s="677">
        <f t="shared" si="23"/>
        <v>-4172294273.1760998</v>
      </c>
      <c r="AF27" s="677">
        <f t="shared" si="23"/>
        <v>-4256988158.6396208</v>
      </c>
    </row>
    <row r="28" spans="1:32" x14ac:dyDescent="0.25">
      <c r="B28" s="539"/>
      <c r="C28" s="539"/>
      <c r="D28" s="539"/>
      <c r="E28" s="539"/>
      <c r="F28" s="539"/>
      <c r="G28" s="539"/>
      <c r="H28" s="539"/>
      <c r="I28" s="539"/>
      <c r="J28" s="539"/>
      <c r="K28" s="539"/>
      <c r="L28" s="539"/>
      <c r="M28" s="539"/>
      <c r="N28" s="539"/>
      <c r="O28" s="539"/>
      <c r="P28" s="539"/>
      <c r="Q28" s="539"/>
      <c r="R28" s="539"/>
      <c r="S28" s="539"/>
      <c r="T28" s="539"/>
      <c r="U28" s="539"/>
      <c r="V28" s="539"/>
      <c r="W28" s="539"/>
      <c r="X28" s="539"/>
      <c r="Y28" s="539"/>
      <c r="Z28" s="539"/>
      <c r="AA28" s="539"/>
      <c r="AB28" s="539"/>
      <c r="AC28" s="539"/>
      <c r="AD28" s="539"/>
      <c r="AE28" s="539"/>
      <c r="AF28" s="539"/>
    </row>
    <row r="29" spans="1:32" x14ac:dyDescent="0.25">
      <c r="A29" s="180" t="s">
        <v>564</v>
      </c>
      <c r="B29" s="364">
        <f t="shared" ref="B29" si="24">B15+B20+B27</f>
        <v>350000000</v>
      </c>
      <c r="C29" s="364">
        <f>C15+C20+C27</f>
        <v>188102139.50131184</v>
      </c>
      <c r="D29" s="364">
        <f>D15+D20+D27</f>
        <v>92555610.790446043</v>
      </c>
      <c r="E29" s="364">
        <f>E15+E20+E27</f>
        <v>55126447.961094737</v>
      </c>
      <c r="F29" s="364">
        <f>F15+F20+F27</f>
        <v>0</v>
      </c>
      <c r="G29" s="364">
        <f t="shared" ref="G29:AF29" si="25">G15+G20+G27</f>
        <v>0</v>
      </c>
      <c r="H29" s="364">
        <f t="shared" si="25"/>
        <v>0</v>
      </c>
      <c r="I29" s="364">
        <f t="shared" si="25"/>
        <v>0</v>
      </c>
      <c r="J29" s="364">
        <f t="shared" si="25"/>
        <v>0</v>
      </c>
      <c r="K29" s="364">
        <f t="shared" si="25"/>
        <v>0</v>
      </c>
      <c r="L29" s="364">
        <f t="shared" si="25"/>
        <v>0</v>
      </c>
      <c r="M29" s="364">
        <f t="shared" si="25"/>
        <v>0</v>
      </c>
      <c r="N29" s="364">
        <f t="shared" si="25"/>
        <v>0</v>
      </c>
      <c r="O29" s="364">
        <f t="shared" si="25"/>
        <v>0</v>
      </c>
      <c r="P29" s="364">
        <f t="shared" si="25"/>
        <v>0</v>
      </c>
      <c r="Q29" s="364">
        <f t="shared" si="25"/>
        <v>0</v>
      </c>
      <c r="R29" s="364">
        <f t="shared" si="25"/>
        <v>0</v>
      </c>
      <c r="S29" s="364">
        <f t="shared" si="25"/>
        <v>0</v>
      </c>
      <c r="T29" s="364">
        <f t="shared" si="25"/>
        <v>0</v>
      </c>
      <c r="U29" s="364">
        <f t="shared" si="25"/>
        <v>0</v>
      </c>
      <c r="V29" s="364">
        <f t="shared" si="25"/>
        <v>0</v>
      </c>
      <c r="W29" s="364">
        <f t="shared" si="25"/>
        <v>0</v>
      </c>
      <c r="X29" s="364">
        <f t="shared" si="25"/>
        <v>0</v>
      </c>
      <c r="Y29" s="364">
        <f t="shared" si="25"/>
        <v>0</v>
      </c>
      <c r="Z29" s="364">
        <f t="shared" si="25"/>
        <v>0</v>
      </c>
      <c r="AA29" s="364">
        <f t="shared" si="25"/>
        <v>0</v>
      </c>
      <c r="AB29" s="364">
        <f t="shared" si="25"/>
        <v>0</v>
      </c>
      <c r="AC29" s="364">
        <f t="shared" si="25"/>
        <v>0</v>
      </c>
      <c r="AD29" s="364">
        <f t="shared" si="25"/>
        <v>0</v>
      </c>
      <c r="AE29" s="364">
        <f t="shared" si="25"/>
        <v>0</v>
      </c>
      <c r="AF29" s="364">
        <f t="shared" si="25"/>
        <v>0</v>
      </c>
    </row>
    <row r="30" spans="1:32" x14ac:dyDescent="0.25">
      <c r="A30" s="180" t="s">
        <v>565</v>
      </c>
      <c r="B30" s="364">
        <v>0</v>
      </c>
      <c r="C30" s="364">
        <f t="shared" ref="C30:N30" si="26">B31</f>
        <v>350000000</v>
      </c>
      <c r="D30" s="364">
        <f t="shared" si="26"/>
        <v>538102139.50131178</v>
      </c>
      <c r="E30" s="364">
        <f>D31</f>
        <v>630657750.29175782</v>
      </c>
      <c r="F30" s="364">
        <f t="shared" si="26"/>
        <v>685784198.25285256</v>
      </c>
      <c r="G30" s="364">
        <f t="shared" si="26"/>
        <v>685784198.25285256</v>
      </c>
      <c r="H30" s="364">
        <f t="shared" si="26"/>
        <v>685784198.25285256</v>
      </c>
      <c r="I30" s="364">
        <f t="shared" si="26"/>
        <v>685784198.25285256</v>
      </c>
      <c r="J30" s="364">
        <f t="shared" si="26"/>
        <v>685784198.25285256</v>
      </c>
      <c r="K30" s="364">
        <f t="shared" si="26"/>
        <v>685784198.25285256</v>
      </c>
      <c r="L30" s="364">
        <f t="shared" si="26"/>
        <v>685784198.25285256</v>
      </c>
      <c r="M30" s="364">
        <f t="shared" si="26"/>
        <v>685784198.25285256</v>
      </c>
      <c r="N30" s="364">
        <f t="shared" si="26"/>
        <v>685784198.25285256</v>
      </c>
      <c r="O30" s="364">
        <f t="shared" ref="O30" si="27">N31</f>
        <v>685784198.25285256</v>
      </c>
      <c r="P30" s="364">
        <f t="shared" ref="P30" si="28">O31</f>
        <v>685784198.25285256</v>
      </c>
      <c r="Q30" s="364">
        <f t="shared" ref="Q30" si="29">P31</f>
        <v>685784198.25285256</v>
      </c>
      <c r="R30" s="364">
        <f t="shared" ref="R30" si="30">Q31</f>
        <v>685784198.25285256</v>
      </c>
      <c r="S30" s="364">
        <f t="shared" ref="S30" si="31">R31</f>
        <v>685784198.25285256</v>
      </c>
      <c r="T30" s="364">
        <f t="shared" ref="T30" si="32">S31</f>
        <v>685784198.25285256</v>
      </c>
      <c r="U30" s="364">
        <f t="shared" ref="U30" si="33">T31</f>
        <v>685784198.25285256</v>
      </c>
      <c r="V30" s="364">
        <f t="shared" ref="V30" si="34">U31</f>
        <v>685784198.25285256</v>
      </c>
      <c r="W30" s="364">
        <f t="shared" ref="W30" si="35">V31</f>
        <v>685784198.25285256</v>
      </c>
      <c r="X30" s="364">
        <f t="shared" ref="X30" si="36">W31</f>
        <v>685784198.25285256</v>
      </c>
      <c r="Y30" s="364">
        <f t="shared" ref="Y30" si="37">X31</f>
        <v>685784198.25285256</v>
      </c>
      <c r="Z30" s="364">
        <f t="shared" ref="Z30" si="38">Y31</f>
        <v>685784198.25285256</v>
      </c>
      <c r="AA30" s="364">
        <f t="shared" ref="AA30" si="39">Z31</f>
        <v>685784198.25285256</v>
      </c>
      <c r="AB30" s="364">
        <f t="shared" ref="AB30" si="40">AA31</f>
        <v>685784198.25285256</v>
      </c>
      <c r="AC30" s="364">
        <f>AB31</f>
        <v>685784198.25285256</v>
      </c>
      <c r="AD30" s="364">
        <f t="shared" ref="AD30" si="41">AC31</f>
        <v>685784198.25285256</v>
      </c>
      <c r="AE30" s="364">
        <f t="shared" ref="AE30" si="42">AD31</f>
        <v>685784198.25285256</v>
      </c>
      <c r="AF30" s="364">
        <f t="shared" ref="AF30" si="43">AE31</f>
        <v>685784198.25285256</v>
      </c>
    </row>
    <row r="31" spans="1:32" x14ac:dyDescent="0.25">
      <c r="A31" s="180" t="s">
        <v>1147</v>
      </c>
      <c r="B31" s="364">
        <f t="shared" ref="B31:L31" si="44">B30+B29</f>
        <v>350000000</v>
      </c>
      <c r="C31" s="364">
        <f>C30+C29</f>
        <v>538102139.50131178</v>
      </c>
      <c r="D31" s="364">
        <f>D30+D29</f>
        <v>630657750.29175782</v>
      </c>
      <c r="E31" s="364">
        <f>E30+E29</f>
        <v>685784198.25285256</v>
      </c>
      <c r="F31" s="364">
        <f>F30+F29</f>
        <v>685784198.25285256</v>
      </c>
      <c r="G31" s="364">
        <f>G30+G29</f>
        <v>685784198.25285256</v>
      </c>
      <c r="H31" s="364">
        <f t="shared" si="44"/>
        <v>685784198.25285256</v>
      </c>
      <c r="I31" s="364">
        <f t="shared" si="44"/>
        <v>685784198.25285256</v>
      </c>
      <c r="J31" s="364">
        <f>J30+J29</f>
        <v>685784198.25285256</v>
      </c>
      <c r="K31" s="364">
        <f t="shared" si="44"/>
        <v>685784198.25285256</v>
      </c>
      <c r="L31" s="364">
        <f t="shared" si="44"/>
        <v>685784198.25285256</v>
      </c>
      <c r="M31" s="364">
        <f>M30+M29</f>
        <v>685784198.25285256</v>
      </c>
      <c r="N31" s="364">
        <f>N30+N29</f>
        <v>685784198.25285256</v>
      </c>
      <c r="O31" s="364">
        <f t="shared" ref="O31:AF31" si="45">O30+O29</f>
        <v>685784198.25285256</v>
      </c>
      <c r="P31" s="364">
        <f t="shared" si="45"/>
        <v>685784198.25285256</v>
      </c>
      <c r="Q31" s="364">
        <f t="shared" si="45"/>
        <v>685784198.25285256</v>
      </c>
      <c r="R31" s="364">
        <f t="shared" si="45"/>
        <v>685784198.25285256</v>
      </c>
      <c r="S31" s="364">
        <f t="shared" si="45"/>
        <v>685784198.25285256</v>
      </c>
      <c r="T31" s="364">
        <f t="shared" si="45"/>
        <v>685784198.25285256</v>
      </c>
      <c r="U31" s="364">
        <f t="shared" si="45"/>
        <v>685784198.25285256</v>
      </c>
      <c r="V31" s="364">
        <f t="shared" si="45"/>
        <v>685784198.25285256</v>
      </c>
      <c r="W31" s="364">
        <f t="shared" si="45"/>
        <v>685784198.25285256</v>
      </c>
      <c r="X31" s="364">
        <f t="shared" si="45"/>
        <v>685784198.25285256</v>
      </c>
      <c r="Y31" s="364">
        <f t="shared" si="45"/>
        <v>685784198.25285256</v>
      </c>
      <c r="Z31" s="364">
        <f>Z30+Z29</f>
        <v>685784198.25285256</v>
      </c>
      <c r="AA31" s="364">
        <f t="shared" si="45"/>
        <v>685784198.25285256</v>
      </c>
      <c r="AB31" s="364">
        <f t="shared" si="45"/>
        <v>685784198.25285256</v>
      </c>
      <c r="AC31" s="364">
        <f>AC30+AC29</f>
        <v>685784198.25285256</v>
      </c>
      <c r="AD31" s="364">
        <f t="shared" si="45"/>
        <v>685784198.25285256</v>
      </c>
      <c r="AE31" s="364">
        <f t="shared" si="45"/>
        <v>685784198.25285256</v>
      </c>
      <c r="AF31" s="364">
        <f t="shared" si="45"/>
        <v>685784198.25285256</v>
      </c>
    </row>
    <row r="32" spans="1:32" x14ac:dyDescent="0.25">
      <c r="A32" s="192"/>
      <c r="B32" s="193"/>
      <c r="C32" s="192"/>
      <c r="D32" s="193"/>
      <c r="E32" s="193"/>
      <c r="F32" s="192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</row>
    <row r="33" spans="1:32" x14ac:dyDescent="0.25">
      <c r="A33" s="194"/>
      <c r="C33" s="187"/>
      <c r="D33" s="187"/>
      <c r="E33" s="187"/>
      <c r="F33" s="187"/>
      <c r="G33" s="187"/>
      <c r="H33" s="187"/>
      <c r="I33" s="187"/>
      <c r="J33" s="187"/>
      <c r="K33" s="187"/>
      <c r="L33" s="187"/>
    </row>
    <row r="34" spans="1:32" x14ac:dyDescent="0.25">
      <c r="A34" s="180" t="s">
        <v>1144</v>
      </c>
      <c r="B34" s="195"/>
      <c r="C34" s="364">
        <f>C15+C30</f>
        <v>977007131.67103958</v>
      </c>
      <c r="D34" s="364">
        <f>D15+D30</f>
        <v>1463658247.4057727</v>
      </c>
      <c r="E34" s="364">
        <f>E15+E30</f>
        <v>1733186709.5136511</v>
      </c>
      <c r="F34" s="364">
        <f>F15+F30</f>
        <v>2112405430.1492381</v>
      </c>
      <c r="G34" s="364">
        <f t="shared" ref="G34:AF34" si="46">G15+G30</f>
        <v>2472527525.3937302</v>
      </c>
      <c r="H34" s="364">
        <f t="shared" si="46"/>
        <v>2872311697.3246822</v>
      </c>
      <c r="I34" s="364">
        <f t="shared" si="46"/>
        <v>3315749759.8872004</v>
      </c>
      <c r="J34" s="364">
        <f t="shared" si="46"/>
        <v>3370533071.1198864</v>
      </c>
      <c r="K34" s="364">
        <f t="shared" si="46"/>
        <v>3426412048.5772266</v>
      </c>
      <c r="L34" s="364">
        <f t="shared" si="46"/>
        <v>3483408605.5837154</v>
      </c>
      <c r="M34" s="364">
        <f t="shared" si="46"/>
        <v>3588345093.7303324</v>
      </c>
      <c r="N34" s="364">
        <f t="shared" si="46"/>
        <v>3647644311.6398821</v>
      </c>
      <c r="O34" s="364">
        <f t="shared" si="46"/>
        <v>3708129513.9076233</v>
      </c>
      <c r="P34" s="364">
        <f t="shared" si="46"/>
        <v>3769824420.2207184</v>
      </c>
      <c r="Q34" s="364">
        <f t="shared" si="46"/>
        <v>3832753224.6600752</v>
      </c>
      <c r="R34" s="364">
        <f t="shared" si="46"/>
        <v>3896940605.18822</v>
      </c>
      <c r="S34" s="364">
        <f t="shared" si="46"/>
        <v>3962411733.3269262</v>
      </c>
      <c r="T34" s="364">
        <f t="shared" si="46"/>
        <v>4029192284.0284081</v>
      </c>
      <c r="U34" s="364">
        <f t="shared" si="46"/>
        <v>4097308445.7439213</v>
      </c>
      <c r="V34" s="364">
        <f t="shared" si="46"/>
        <v>4166786930.6937428</v>
      </c>
      <c r="W34" s="364">
        <f t="shared" si="46"/>
        <v>4237654985.3425608</v>
      </c>
      <c r="X34" s="364">
        <f t="shared" si="46"/>
        <v>4309940401.0843544</v>
      </c>
      <c r="Y34" s="364">
        <f t="shared" si="46"/>
        <v>4383671525.1409845</v>
      </c>
      <c r="Z34" s="364">
        <f t="shared" si="46"/>
        <v>4458877271.6787472</v>
      </c>
      <c r="AA34" s="364">
        <f t="shared" si="46"/>
        <v>4535587133.1472654</v>
      </c>
      <c r="AB34" s="364">
        <f t="shared" si="46"/>
        <v>4613831191.8451538</v>
      </c>
      <c r="AC34" s="364">
        <f t="shared" si="46"/>
        <v>4693640131.717001</v>
      </c>
      <c r="AD34" s="364">
        <f t="shared" si="46"/>
        <v>4775045250.3862839</v>
      </c>
      <c r="AE34" s="364">
        <f t="shared" si="46"/>
        <v>4858078471.4289522</v>
      </c>
      <c r="AF34" s="364">
        <f t="shared" si="46"/>
        <v>4942772356.8924732</v>
      </c>
    </row>
    <row r="50" spans="1:6" x14ac:dyDescent="0.25">
      <c r="F50" s="191"/>
    </row>
    <row r="51" spans="1:6" x14ac:dyDescent="0.25">
      <c r="F51" s="191"/>
    </row>
    <row r="52" spans="1:6" x14ac:dyDescent="0.25">
      <c r="A52" s="195"/>
      <c r="C52" s="191"/>
      <c r="D52" s="191"/>
      <c r="E52" s="191"/>
      <c r="F52" s="191"/>
    </row>
    <row r="53" spans="1:6" x14ac:dyDescent="0.25">
      <c r="A53" s="195"/>
      <c r="C53" s="191"/>
      <c r="D53" s="191"/>
      <c r="E53" s="191"/>
    </row>
    <row r="54" spans="1:6" x14ac:dyDescent="0.25">
      <c r="C54" s="191"/>
    </row>
    <row r="58" spans="1:6" x14ac:dyDescent="0.25">
      <c r="C58" s="191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D55D-D760-42EE-ADF6-4A4FA7A20911}">
  <sheetPr>
    <tabColor rgb="FFFF0000"/>
  </sheetPr>
  <dimension ref="A1:W44"/>
  <sheetViews>
    <sheetView showGridLines="0" tabSelected="1" topLeftCell="F1" zoomScale="115" zoomScaleNormal="115" workbookViewId="0">
      <pane ySplit="8" topLeftCell="A9" activePane="bottomLeft" state="frozen"/>
      <selection activeCell="AF34" sqref="AF34"/>
      <selection pane="bottomLeft" activeCell="X7" sqref="X7"/>
    </sheetView>
  </sheetViews>
  <sheetFormatPr defaultColWidth="9" defaultRowHeight="11.25" x14ac:dyDescent="0.2"/>
  <cols>
    <col min="1" max="1" width="3.25" style="198" customWidth="1"/>
    <col min="2" max="2" width="15.375" style="198" customWidth="1"/>
    <col min="3" max="3" width="5.375" style="198" customWidth="1"/>
    <col min="4" max="4" width="18.5" style="198" bestFit="1" customWidth="1"/>
    <col min="5" max="5" width="3.625" style="198" customWidth="1"/>
    <col min="6" max="6" width="6.75" style="198" customWidth="1"/>
    <col min="7" max="8" width="9" style="198" customWidth="1"/>
    <col min="9" max="9" width="11" style="198" customWidth="1"/>
    <col min="10" max="10" width="10.25" style="198" customWidth="1"/>
    <col min="11" max="11" width="7.625" style="198" customWidth="1"/>
    <col min="12" max="12" width="9.875" style="198" customWidth="1"/>
    <col min="13" max="13" width="10" style="198" customWidth="1"/>
    <col min="14" max="14" width="11.625" style="198" customWidth="1"/>
    <col min="15" max="15" width="12" style="198" customWidth="1"/>
    <col min="16" max="16" width="3.625" style="198" customWidth="1"/>
    <col min="17" max="17" width="4.375" style="198" customWidth="1"/>
    <col min="18" max="18" width="10" style="198" customWidth="1"/>
    <col min="19" max="19" width="10.625" style="198" customWidth="1"/>
    <col min="20" max="20" width="8.625" style="198" customWidth="1"/>
    <col min="21" max="21" width="11" style="198" bestFit="1" customWidth="1"/>
    <col min="22" max="22" width="11" style="198" customWidth="1"/>
    <col min="23" max="16384" width="9" style="198"/>
  </cols>
  <sheetData>
    <row r="1" spans="1:23" x14ac:dyDescent="0.2">
      <c r="A1" s="257" t="str">
        <f>Assumption!A1</f>
        <v>Bisnis Penyewaan INTEGRATED COLD STORAGE - Revitalitation</v>
      </c>
      <c r="B1" s="257"/>
      <c r="C1" s="257"/>
    </row>
    <row r="2" spans="1:23" x14ac:dyDescent="0.2">
      <c r="A2" s="257" t="str">
        <f>Assumption!A2</f>
        <v>Financial Pre-Feasibility Study</v>
      </c>
      <c r="B2" s="257"/>
      <c r="C2" s="257"/>
    </row>
    <row r="3" spans="1:23" x14ac:dyDescent="0.2">
      <c r="A3" s="258" t="s">
        <v>1007</v>
      </c>
      <c r="B3" s="259"/>
      <c r="C3" s="259"/>
    </row>
    <row r="4" spans="1:23" x14ac:dyDescent="0.2">
      <c r="I4" s="156"/>
    </row>
    <row r="5" spans="1:23" x14ac:dyDescent="0.2">
      <c r="O5" s="264" t="s">
        <v>655</v>
      </c>
    </row>
    <row r="6" spans="1:23" ht="16.5" customHeight="1" x14ac:dyDescent="0.2">
      <c r="A6" s="260" t="s">
        <v>602</v>
      </c>
      <c r="B6" s="260"/>
      <c r="C6" s="260"/>
      <c r="D6" s="261"/>
      <c r="F6" s="260" t="s">
        <v>996</v>
      </c>
      <c r="G6" s="260"/>
      <c r="H6" s="260"/>
      <c r="I6" s="260"/>
      <c r="J6" s="260"/>
      <c r="K6" s="260"/>
      <c r="L6" s="260"/>
      <c r="M6" s="260"/>
      <c r="N6" s="260"/>
      <c r="O6" s="260"/>
      <c r="Q6" s="260" t="s">
        <v>1003</v>
      </c>
      <c r="R6" s="260"/>
      <c r="S6" s="260"/>
      <c r="T6" s="260"/>
      <c r="U6" s="260"/>
      <c r="V6" s="260"/>
    </row>
    <row r="7" spans="1:23" ht="59.25" customHeight="1" x14ac:dyDescent="0.2">
      <c r="A7" s="205"/>
      <c r="B7" s="205"/>
      <c r="C7" s="205"/>
      <c r="D7" s="205"/>
      <c r="F7" s="533" t="s">
        <v>542</v>
      </c>
      <c r="G7" s="545" t="s">
        <v>1141</v>
      </c>
      <c r="H7" s="545" t="s">
        <v>1142</v>
      </c>
      <c r="I7" s="546" t="s">
        <v>985</v>
      </c>
      <c r="J7" s="545" t="s">
        <v>986</v>
      </c>
      <c r="K7" s="545" t="s">
        <v>988</v>
      </c>
      <c r="L7" s="545" t="s">
        <v>980</v>
      </c>
      <c r="M7" s="545" t="s">
        <v>989</v>
      </c>
      <c r="N7" s="545" t="s">
        <v>987</v>
      </c>
      <c r="O7" s="694" t="s">
        <v>1154</v>
      </c>
      <c r="Q7" s="533" t="s">
        <v>542</v>
      </c>
      <c r="R7" s="545" t="s">
        <v>980</v>
      </c>
      <c r="S7" s="545" t="s">
        <v>1004</v>
      </c>
      <c r="T7" s="545" t="s">
        <v>1005</v>
      </c>
      <c r="U7" s="678" t="s">
        <v>1145</v>
      </c>
      <c r="V7" s="678" t="s">
        <v>1146</v>
      </c>
    </row>
    <row r="8" spans="1:23" x14ac:dyDescent="0.2">
      <c r="A8" s="205"/>
      <c r="B8" s="205"/>
      <c r="C8" s="205"/>
      <c r="D8" s="205"/>
      <c r="F8" s="533" t="s">
        <v>998</v>
      </c>
      <c r="G8" s="545" t="s">
        <v>990</v>
      </c>
      <c r="H8" s="545"/>
      <c r="I8" s="546" t="s">
        <v>991</v>
      </c>
      <c r="J8" s="545" t="s">
        <v>992</v>
      </c>
      <c r="K8" s="545" t="s">
        <v>993</v>
      </c>
      <c r="L8" s="545" t="s">
        <v>994</v>
      </c>
      <c r="M8" s="545" t="s">
        <v>995</v>
      </c>
      <c r="N8" s="545" t="s">
        <v>1139</v>
      </c>
      <c r="O8" s="545" t="s">
        <v>997</v>
      </c>
      <c r="Q8" s="533"/>
      <c r="R8" s="533"/>
      <c r="S8" s="533"/>
      <c r="T8" s="533"/>
      <c r="U8" s="679">
        <v>0.2</v>
      </c>
      <c r="V8" s="679">
        <v>0.8</v>
      </c>
    </row>
    <row r="9" spans="1:23" x14ac:dyDescent="0.2">
      <c r="A9" s="171" t="s">
        <v>148</v>
      </c>
      <c r="B9" s="174" t="s">
        <v>977</v>
      </c>
      <c r="C9" s="174"/>
      <c r="D9" s="174"/>
      <c r="F9" s="239">
        <v>1</v>
      </c>
      <c r="G9" s="156">
        <f>H9+Amortization!F8</f>
        <v>407624800.40533334</v>
      </c>
      <c r="H9" s="547">
        <f>WorkingCapital!AB10</f>
        <v>347624800.40533334</v>
      </c>
      <c r="I9" s="174">
        <f>IncomeStatement!C33</f>
        <v>627007131.6710397</v>
      </c>
      <c r="J9" s="174">
        <f>CashFlow!C34</f>
        <v>977007131.67103958</v>
      </c>
      <c r="K9" s="548">
        <v>0.7</v>
      </c>
      <c r="L9" s="174">
        <f>I9*K9</f>
        <v>438904992.16972774</v>
      </c>
      <c r="M9" s="174">
        <f>L9</f>
        <v>438904992.16972774</v>
      </c>
      <c r="N9" s="174">
        <f>J9-L9</f>
        <v>538102139.50131178</v>
      </c>
      <c r="O9" s="174">
        <f>N9-H10</f>
        <v>183524843.08787179</v>
      </c>
      <c r="Q9" s="239">
        <v>1</v>
      </c>
      <c r="R9" s="174">
        <f>L9</f>
        <v>438904992.16972774</v>
      </c>
      <c r="S9" s="174">
        <f>R9*$C$14%</f>
        <v>395014492.95275497</v>
      </c>
      <c r="T9" s="174">
        <f>R9*$C$15%</f>
        <v>43890499.216972776</v>
      </c>
      <c r="U9" s="208">
        <f>S9*$U$8</f>
        <v>79002898.590551004</v>
      </c>
      <c r="V9" s="208">
        <f>S9*$V$8</f>
        <v>316011594.36220402</v>
      </c>
      <c r="W9" s="156"/>
    </row>
    <row r="10" spans="1:23" x14ac:dyDescent="0.2">
      <c r="A10" s="171" t="s">
        <v>149</v>
      </c>
      <c r="B10" s="174" t="s">
        <v>978</v>
      </c>
      <c r="C10" s="174"/>
      <c r="D10" s="174"/>
      <c r="F10" s="239">
        <v>2</v>
      </c>
      <c r="G10" s="156">
        <f>H10+Amortization!F9</f>
        <v>414577296.41343999</v>
      </c>
      <c r="H10" s="547">
        <f>H9*(1+$C$20)</f>
        <v>354577296.41343999</v>
      </c>
      <c r="I10" s="174">
        <f>IncomeStatement!D33</f>
        <v>925556107.90446091</v>
      </c>
      <c r="J10" s="174">
        <f>CashFlow!D34</f>
        <v>1463658247.4057727</v>
      </c>
      <c r="K10" s="548">
        <v>0.9</v>
      </c>
      <c r="L10" s="174">
        <f>I10*K10</f>
        <v>833000497.11401486</v>
      </c>
      <c r="M10" s="174">
        <f>L10+M9</f>
        <v>1271905489.2837427</v>
      </c>
      <c r="N10" s="174">
        <f>J10-L10</f>
        <v>630657750.29175782</v>
      </c>
      <c r="O10" s="174">
        <f t="shared" ref="O10:O37" si="0">N10-H11</f>
        <v>268988907.95004904</v>
      </c>
      <c r="Q10" s="239">
        <v>2</v>
      </c>
      <c r="R10" s="174">
        <f t="shared" ref="R10:R18" si="1">L10</f>
        <v>833000497.11401486</v>
      </c>
      <c r="S10" s="174">
        <f t="shared" ref="S10:S18" si="2">R10*$C$14%</f>
        <v>749700447.4026134</v>
      </c>
      <c r="T10" s="174">
        <f>R10*$C$15%</f>
        <v>83300049.711401492</v>
      </c>
      <c r="U10" s="208">
        <f t="shared" ref="U10:U38" si="3">S10*$U$8</f>
        <v>149940089.48052269</v>
      </c>
      <c r="V10" s="208">
        <f t="shared" ref="V10:V38" si="4">S10*$V$8</f>
        <v>599760357.92209077</v>
      </c>
      <c r="W10" s="156"/>
    </row>
    <row r="11" spans="1:23" x14ac:dyDescent="0.2">
      <c r="A11" s="171"/>
      <c r="B11" s="174" t="s">
        <v>984</v>
      </c>
      <c r="C11" s="174"/>
      <c r="D11" s="174"/>
      <c r="F11" s="239">
        <v>3</v>
      </c>
      <c r="G11" s="156">
        <f>H11+Amortization!F10</f>
        <v>421668842.34170878</v>
      </c>
      <c r="H11" s="547">
        <f>H10*(1+$C$20)</f>
        <v>361668842.34170878</v>
      </c>
      <c r="I11" s="174">
        <f>IncomeStatement!E33</f>
        <v>1102528959.2218933</v>
      </c>
      <c r="J11" s="174">
        <f>CashFlow!E34</f>
        <v>1733186709.5136511</v>
      </c>
      <c r="K11" s="548">
        <v>0.95</v>
      </c>
      <c r="L11" s="174">
        <f t="shared" ref="L11:L38" si="5">I11*K11</f>
        <v>1047402511.2607986</v>
      </c>
      <c r="M11" s="174">
        <f>L11+M10</f>
        <v>2319308000.5445414</v>
      </c>
      <c r="N11" s="174">
        <f t="shared" ref="N11:N12" si="6">J11-L11</f>
        <v>685784198.25285256</v>
      </c>
      <c r="O11" s="174">
        <f t="shared" si="0"/>
        <v>316881979.0643096</v>
      </c>
      <c r="Q11" s="239">
        <v>3</v>
      </c>
      <c r="R11" s="174">
        <f t="shared" si="1"/>
        <v>1047402511.2607986</v>
      </c>
      <c r="S11" s="174">
        <f t="shared" si="2"/>
        <v>942662260.13471878</v>
      </c>
      <c r="T11" s="174">
        <f t="shared" ref="T11:T38" si="7">R11*$C$15%</f>
        <v>104740251.12607986</v>
      </c>
      <c r="U11" s="208">
        <f t="shared" si="3"/>
        <v>188532452.02694377</v>
      </c>
      <c r="V11" s="208">
        <f t="shared" si="4"/>
        <v>754129808.10777509</v>
      </c>
      <c r="W11" s="156"/>
    </row>
    <row r="12" spans="1:23" x14ac:dyDescent="0.2">
      <c r="A12" s="171"/>
      <c r="B12" s="174" t="s">
        <v>979</v>
      </c>
      <c r="C12" s="174"/>
      <c r="D12" s="174"/>
      <c r="F12" s="239">
        <v>4</v>
      </c>
      <c r="G12" s="156">
        <f>H12+Amortization!F11</f>
        <v>428902219.18854296</v>
      </c>
      <c r="H12" s="547">
        <f t="shared" ref="H12:H38" si="8">H11*(1+$C$20)</f>
        <v>368902219.18854296</v>
      </c>
      <c r="I12" s="174">
        <f>IncomeStatement!F33</f>
        <v>1426621231.8963857</v>
      </c>
      <c r="J12" s="174">
        <f>CashFlow!F34</f>
        <v>2112405430.1492381</v>
      </c>
      <c r="K12" s="548">
        <v>1</v>
      </c>
      <c r="L12" s="174">
        <f>I12*K12</f>
        <v>1426621231.8963857</v>
      </c>
      <c r="M12" s="174">
        <f t="shared" ref="M12:M17" si="9">L12+M11</f>
        <v>3745929232.440927</v>
      </c>
      <c r="N12" s="174">
        <f t="shared" si="6"/>
        <v>685784198.25285244</v>
      </c>
      <c r="O12" s="174">
        <f t="shared" si="0"/>
        <v>309503934.68053859</v>
      </c>
      <c r="Q12" s="239">
        <v>4</v>
      </c>
      <c r="R12" s="174">
        <f t="shared" si="1"/>
        <v>1426621231.8963857</v>
      </c>
      <c r="S12" s="174">
        <f t="shared" si="2"/>
        <v>1283959108.7067471</v>
      </c>
      <c r="T12" s="174">
        <f t="shared" si="7"/>
        <v>142662123.18963858</v>
      </c>
      <c r="U12" s="208">
        <f t="shared" si="3"/>
        <v>256791821.74134943</v>
      </c>
      <c r="V12" s="208">
        <f t="shared" si="4"/>
        <v>1027167286.9653977</v>
      </c>
      <c r="W12" s="156"/>
    </row>
    <row r="13" spans="1:23" x14ac:dyDescent="0.2">
      <c r="A13" s="171" t="s">
        <v>150</v>
      </c>
      <c r="B13" s="174" t="s">
        <v>981</v>
      </c>
      <c r="C13" s="174"/>
      <c r="D13" s="169"/>
      <c r="F13" s="239">
        <v>5</v>
      </c>
      <c r="G13" s="156">
        <f>H13+Amortization!F12</f>
        <v>436280263.57231385</v>
      </c>
      <c r="H13" s="547">
        <f t="shared" si="8"/>
        <v>376280263.57231385</v>
      </c>
      <c r="I13" s="174">
        <f>IncomeStatement!G33</f>
        <v>1786743327.1408777</v>
      </c>
      <c r="J13" s="174">
        <f>CashFlow!G34</f>
        <v>2472527525.3937302</v>
      </c>
      <c r="K13" s="548">
        <v>1</v>
      </c>
      <c r="L13" s="174">
        <f t="shared" si="5"/>
        <v>1786743327.1408777</v>
      </c>
      <c r="M13" s="174">
        <f t="shared" si="9"/>
        <v>5532672559.5818043</v>
      </c>
      <c r="N13" s="174">
        <f>J13-L13</f>
        <v>685784198.25285244</v>
      </c>
      <c r="O13" s="174">
        <f t="shared" si="0"/>
        <v>301978329.40909231</v>
      </c>
      <c r="Q13" s="239">
        <v>5</v>
      </c>
      <c r="R13" s="174">
        <f t="shared" si="1"/>
        <v>1786743327.1408777</v>
      </c>
      <c r="S13" s="174">
        <f t="shared" si="2"/>
        <v>1608068994.42679</v>
      </c>
      <c r="T13" s="174">
        <f t="shared" si="7"/>
        <v>178674332.71408778</v>
      </c>
      <c r="U13" s="208">
        <f t="shared" si="3"/>
        <v>321613798.88535804</v>
      </c>
      <c r="V13" s="208">
        <f t="shared" si="4"/>
        <v>1286455195.5414321</v>
      </c>
      <c r="W13" s="156"/>
    </row>
    <row r="14" spans="1:23" x14ac:dyDescent="0.2">
      <c r="A14" s="171" t="s">
        <v>151</v>
      </c>
      <c r="B14" s="174" t="s">
        <v>634</v>
      </c>
      <c r="C14" s="543">
        <f>Assumption!B71</f>
        <v>90</v>
      </c>
      <c r="D14" s="460" t="s">
        <v>983</v>
      </c>
      <c r="F14" s="239">
        <v>6</v>
      </c>
      <c r="G14" s="156">
        <f>H14+Amortization!F13</f>
        <v>443805868.84376013</v>
      </c>
      <c r="H14" s="547">
        <f t="shared" si="8"/>
        <v>383805868.84376013</v>
      </c>
      <c r="I14" s="174">
        <f>IncomeStatement!H33</f>
        <v>2186527499.0718298</v>
      </c>
      <c r="J14" s="174">
        <f>CashFlow!H34</f>
        <v>2872311697.3246822</v>
      </c>
      <c r="K14" s="548">
        <v>1</v>
      </c>
      <c r="L14" s="174">
        <f t="shared" si="5"/>
        <v>2186527499.0718298</v>
      </c>
      <c r="M14" s="174">
        <f t="shared" si="9"/>
        <v>7719200058.6536341</v>
      </c>
      <c r="N14" s="174">
        <f t="shared" ref="N14:N38" si="10">J14-L14</f>
        <v>685784198.25285244</v>
      </c>
      <c r="O14" s="174">
        <f t="shared" si="0"/>
        <v>294302212.03221709</v>
      </c>
      <c r="Q14" s="239">
        <v>6</v>
      </c>
      <c r="R14" s="174">
        <f t="shared" si="1"/>
        <v>2186527499.0718298</v>
      </c>
      <c r="S14" s="174">
        <f t="shared" si="2"/>
        <v>1967874749.1646469</v>
      </c>
      <c r="T14" s="174">
        <f t="shared" si="7"/>
        <v>218652749.90718299</v>
      </c>
      <c r="U14" s="208">
        <f t="shared" si="3"/>
        <v>393574949.83292937</v>
      </c>
      <c r="V14" s="208">
        <f t="shared" si="4"/>
        <v>1574299799.3317175</v>
      </c>
      <c r="W14" s="156"/>
    </row>
    <row r="15" spans="1:23" x14ac:dyDescent="0.2">
      <c r="A15" s="171"/>
      <c r="B15" s="174" t="s">
        <v>982</v>
      </c>
      <c r="C15" s="544">
        <f>Assumption!B72</f>
        <v>10</v>
      </c>
      <c r="D15" s="460" t="s">
        <v>983</v>
      </c>
      <c r="F15" s="239">
        <v>7</v>
      </c>
      <c r="G15" s="156">
        <f>H15+Amortization!F14</f>
        <v>451481986.22063535</v>
      </c>
      <c r="H15" s="547">
        <f t="shared" si="8"/>
        <v>391481986.22063535</v>
      </c>
      <c r="I15" s="174">
        <f>IncomeStatement!I33</f>
        <v>2629965561.6343479</v>
      </c>
      <c r="J15" s="174">
        <f>CashFlow!I34</f>
        <v>3315749759.8872004</v>
      </c>
      <c r="K15" s="548">
        <f>K14</f>
        <v>1</v>
      </c>
      <c r="L15" s="174">
        <f t="shared" si="5"/>
        <v>2629965561.6343479</v>
      </c>
      <c r="M15" s="174">
        <f t="shared" si="9"/>
        <v>10349165620.287983</v>
      </c>
      <c r="N15" s="174">
        <f t="shared" si="10"/>
        <v>685784198.25285244</v>
      </c>
      <c r="O15" s="174">
        <f t="shared" si="0"/>
        <v>286472572.30780435</v>
      </c>
      <c r="Q15" s="239">
        <v>7</v>
      </c>
      <c r="R15" s="174">
        <f t="shared" si="1"/>
        <v>2629965561.6343479</v>
      </c>
      <c r="S15" s="174">
        <f t="shared" si="2"/>
        <v>2366969005.4709134</v>
      </c>
      <c r="T15" s="174">
        <f t="shared" si="7"/>
        <v>262996556.1634348</v>
      </c>
      <c r="U15" s="208">
        <f t="shared" si="3"/>
        <v>473393801.09418273</v>
      </c>
      <c r="V15" s="208">
        <f t="shared" si="4"/>
        <v>1893575204.3767309</v>
      </c>
      <c r="W15" s="156"/>
    </row>
    <row r="16" spans="1:23" x14ac:dyDescent="0.2">
      <c r="A16" s="171"/>
      <c r="B16" s="174"/>
      <c r="C16" s="174"/>
      <c r="D16" s="174"/>
      <c r="F16" s="239">
        <v>8</v>
      </c>
      <c r="G16" s="156">
        <f>H16+Amortization!F15</f>
        <v>459311625.94504809</v>
      </c>
      <c r="H16" s="547">
        <f t="shared" si="8"/>
        <v>399311625.94504809</v>
      </c>
      <c r="I16" s="174">
        <f>IncomeStatement!J33</f>
        <v>2684748872.8670344</v>
      </c>
      <c r="J16" s="174">
        <f>CashFlow!J34</f>
        <v>3370533071.1198864</v>
      </c>
      <c r="K16" s="548">
        <v>1</v>
      </c>
      <c r="L16" s="174">
        <f t="shared" si="5"/>
        <v>2684748872.8670344</v>
      </c>
      <c r="M16" s="174">
        <f t="shared" si="9"/>
        <v>13033914493.155018</v>
      </c>
      <c r="N16" s="174">
        <f t="shared" si="10"/>
        <v>685784198.25285196</v>
      </c>
      <c r="O16" s="174">
        <f t="shared" si="0"/>
        <v>278486339.78890288</v>
      </c>
      <c r="Q16" s="239">
        <v>8</v>
      </c>
      <c r="R16" s="174">
        <f t="shared" si="1"/>
        <v>2684748872.8670344</v>
      </c>
      <c r="S16" s="174">
        <f t="shared" si="2"/>
        <v>2416273985.5803308</v>
      </c>
      <c r="T16" s="174">
        <f t="shared" si="7"/>
        <v>268474887.28670347</v>
      </c>
      <c r="U16" s="208">
        <f t="shared" si="3"/>
        <v>483254797.11606622</v>
      </c>
      <c r="V16" s="208">
        <f t="shared" si="4"/>
        <v>1933019188.4642649</v>
      </c>
      <c r="W16" s="156"/>
    </row>
    <row r="17" spans="1:23" x14ac:dyDescent="0.2">
      <c r="A17" s="205"/>
      <c r="B17" s="205"/>
      <c r="C17" s="205"/>
      <c r="D17" s="205"/>
      <c r="F17" s="239">
        <v>9</v>
      </c>
      <c r="G17" s="156">
        <f>H17+Amortization!F16</f>
        <v>467297858.46394908</v>
      </c>
      <c r="H17" s="547">
        <f t="shared" si="8"/>
        <v>407297858.46394908</v>
      </c>
      <c r="I17" s="174">
        <f>IncomeStatement!K33</f>
        <v>2740627850.3243742</v>
      </c>
      <c r="J17" s="174">
        <f>CashFlow!K34</f>
        <v>3426412048.5772266</v>
      </c>
      <c r="K17" s="548">
        <v>1</v>
      </c>
      <c r="L17" s="174">
        <f t="shared" si="5"/>
        <v>2740627850.3243742</v>
      </c>
      <c r="M17" s="174">
        <f t="shared" si="9"/>
        <v>15774542343.479393</v>
      </c>
      <c r="N17" s="174">
        <f t="shared" si="10"/>
        <v>685784198.25285244</v>
      </c>
      <c r="O17" s="174">
        <f t="shared" si="0"/>
        <v>270340382.61962438</v>
      </c>
      <c r="Q17" s="239">
        <v>9</v>
      </c>
      <c r="R17" s="174">
        <f t="shared" si="1"/>
        <v>2740627850.3243742</v>
      </c>
      <c r="S17" s="174">
        <f t="shared" si="2"/>
        <v>2466565065.2919369</v>
      </c>
      <c r="T17" s="174">
        <f t="shared" si="7"/>
        <v>274062785.03243744</v>
      </c>
      <c r="U17" s="208">
        <f t="shared" si="3"/>
        <v>493313013.0583874</v>
      </c>
      <c r="V17" s="208">
        <f t="shared" si="4"/>
        <v>1973252052.2335496</v>
      </c>
      <c r="W17" s="156"/>
    </row>
    <row r="18" spans="1:23" x14ac:dyDescent="0.2">
      <c r="A18" s="312" t="s">
        <v>66</v>
      </c>
      <c r="B18" s="312"/>
      <c r="C18" s="305"/>
      <c r="D18" s="305"/>
      <c r="E18" s="305"/>
      <c r="F18" s="239">
        <v>10</v>
      </c>
      <c r="G18" s="156">
        <f>H18+Amortization!F17</f>
        <v>475443815.63322806</v>
      </c>
      <c r="H18" s="547">
        <f t="shared" si="8"/>
        <v>415443815.63322806</v>
      </c>
      <c r="I18" s="174">
        <f>IncomeStatement!L33</f>
        <v>2797624407.330863</v>
      </c>
      <c r="J18" s="174">
        <f>CashFlow!L34</f>
        <v>3483408605.5837154</v>
      </c>
      <c r="K18" s="548">
        <v>1</v>
      </c>
      <c r="L18" s="174">
        <f t="shared" si="5"/>
        <v>2797624407.330863</v>
      </c>
      <c r="M18" s="174">
        <f>L18+M17</f>
        <v>18572166750.810257</v>
      </c>
      <c r="N18" s="174">
        <f t="shared" si="10"/>
        <v>685784198.25285244</v>
      </c>
      <c r="O18" s="174">
        <f t="shared" si="0"/>
        <v>262031506.30695981</v>
      </c>
      <c r="Q18" s="239">
        <v>10</v>
      </c>
      <c r="R18" s="174">
        <f t="shared" si="1"/>
        <v>2797624407.330863</v>
      </c>
      <c r="S18" s="174">
        <f t="shared" si="2"/>
        <v>2517861966.5977769</v>
      </c>
      <c r="T18" s="174">
        <f t="shared" si="7"/>
        <v>279762440.73308629</v>
      </c>
      <c r="U18" s="208">
        <f t="shared" si="3"/>
        <v>503572393.3195554</v>
      </c>
      <c r="V18" s="208">
        <f t="shared" si="4"/>
        <v>2014289573.2782216</v>
      </c>
      <c r="W18" s="156"/>
    </row>
    <row r="19" spans="1:23" x14ac:dyDescent="0.2">
      <c r="A19" s="297" t="s">
        <v>173</v>
      </c>
      <c r="B19" s="297"/>
      <c r="C19" s="313"/>
      <c r="D19" s="313"/>
      <c r="E19" s="313"/>
      <c r="F19" s="239">
        <v>11</v>
      </c>
      <c r="G19" s="156">
        <f>H19+Amortization!F18</f>
        <v>423752691.94589263</v>
      </c>
      <c r="H19" s="547">
        <f t="shared" si="8"/>
        <v>423752691.94589263</v>
      </c>
      <c r="I19" s="174">
        <f>IncomeStatement!M33</f>
        <v>2902560895.4774809</v>
      </c>
      <c r="J19" s="174">
        <f>CashFlow!M34</f>
        <v>3588345093.7303324</v>
      </c>
      <c r="K19" s="548">
        <v>1</v>
      </c>
      <c r="L19" s="174">
        <f t="shared" si="5"/>
        <v>2902560895.4774809</v>
      </c>
      <c r="M19" s="174">
        <f t="shared" ref="M19:M37" si="11">L19+M18</f>
        <v>21474727646.287739</v>
      </c>
      <c r="N19" s="174">
        <f t="shared" si="10"/>
        <v>685784198.25285149</v>
      </c>
      <c r="O19" s="174">
        <f t="shared" si="0"/>
        <v>253556452.468041</v>
      </c>
      <c r="Q19" s="239">
        <v>11</v>
      </c>
      <c r="R19" s="174">
        <f t="shared" ref="R19:R38" si="12">L19</f>
        <v>2902560895.4774809</v>
      </c>
      <c r="S19" s="174">
        <f t="shared" ref="S19:S38" si="13">R19*$C$14%</f>
        <v>2612304805.9297328</v>
      </c>
      <c r="T19" s="174">
        <f t="shared" si="7"/>
        <v>290256089.54774809</v>
      </c>
      <c r="U19" s="208">
        <f t="shared" si="3"/>
        <v>522460961.18594658</v>
      </c>
      <c r="V19" s="208">
        <f t="shared" si="4"/>
        <v>2089843844.7437863</v>
      </c>
      <c r="W19" s="156"/>
    </row>
    <row r="20" spans="1:23" x14ac:dyDescent="0.2">
      <c r="A20" s="395" t="s">
        <v>1140</v>
      </c>
      <c r="B20" s="297"/>
      <c r="C20" s="314">
        <f>Assumption!$B$29/100</f>
        <v>0.02</v>
      </c>
      <c r="D20" s="315" t="s">
        <v>176</v>
      </c>
      <c r="E20" s="297"/>
      <c r="F20" s="239">
        <v>12</v>
      </c>
      <c r="G20" s="156">
        <f>H20+Amortization!F19</f>
        <v>432227745.78481048</v>
      </c>
      <c r="H20" s="547">
        <f t="shared" si="8"/>
        <v>432227745.78481048</v>
      </c>
      <c r="I20" s="174">
        <f>IncomeStatement!N33</f>
        <v>2961860113.3870296</v>
      </c>
      <c r="J20" s="174">
        <f>CashFlow!N34</f>
        <v>3647644311.6398821</v>
      </c>
      <c r="K20" s="548">
        <v>1</v>
      </c>
      <c r="L20" s="174">
        <f t="shared" si="5"/>
        <v>2961860113.3870296</v>
      </c>
      <c r="M20" s="174">
        <f t="shared" si="11"/>
        <v>24436587759.674767</v>
      </c>
      <c r="N20" s="174">
        <f t="shared" si="10"/>
        <v>685784198.25285244</v>
      </c>
      <c r="O20" s="174">
        <f t="shared" si="0"/>
        <v>244911897.55234575</v>
      </c>
      <c r="Q20" s="239">
        <v>12</v>
      </c>
      <c r="R20" s="174">
        <f t="shared" si="12"/>
        <v>2961860113.3870296</v>
      </c>
      <c r="S20" s="174">
        <f t="shared" si="13"/>
        <v>2665674102.048327</v>
      </c>
      <c r="T20" s="174">
        <f t="shared" si="7"/>
        <v>296186011.33870298</v>
      </c>
      <c r="U20" s="208">
        <f t="shared" si="3"/>
        <v>533134820.40966541</v>
      </c>
      <c r="V20" s="208">
        <f t="shared" si="4"/>
        <v>2132539281.6386616</v>
      </c>
      <c r="W20" s="156"/>
    </row>
    <row r="21" spans="1:23" x14ac:dyDescent="0.2">
      <c r="F21" s="239">
        <v>13</v>
      </c>
      <c r="G21" s="156">
        <f>H21+Amortization!F20</f>
        <v>440872300.70050669</v>
      </c>
      <c r="H21" s="547">
        <f t="shared" si="8"/>
        <v>440872300.70050669</v>
      </c>
      <c r="I21" s="174">
        <f>IncomeStatement!O33</f>
        <v>3022345315.6547709</v>
      </c>
      <c r="J21" s="174">
        <f>CashFlow!O34</f>
        <v>3708129513.9076233</v>
      </c>
      <c r="K21" s="548">
        <v>1</v>
      </c>
      <c r="L21" s="174">
        <f t="shared" si="5"/>
        <v>3022345315.6547709</v>
      </c>
      <c r="M21" s="174">
        <f t="shared" si="11"/>
        <v>27458933075.329536</v>
      </c>
      <c r="N21" s="174">
        <f t="shared" si="10"/>
        <v>685784198.25285244</v>
      </c>
      <c r="O21" s="174">
        <f t="shared" si="0"/>
        <v>236094451.53833562</v>
      </c>
      <c r="Q21" s="239">
        <v>13</v>
      </c>
      <c r="R21" s="174">
        <f t="shared" si="12"/>
        <v>3022345315.6547709</v>
      </c>
      <c r="S21" s="174">
        <f t="shared" si="13"/>
        <v>2720110784.089294</v>
      </c>
      <c r="T21" s="174">
        <f t="shared" si="7"/>
        <v>302234531.56547707</v>
      </c>
      <c r="U21" s="208">
        <f t="shared" si="3"/>
        <v>544022156.81785882</v>
      </c>
      <c r="V21" s="208">
        <f t="shared" si="4"/>
        <v>2176088627.2714353</v>
      </c>
      <c r="W21" s="156"/>
    </row>
    <row r="22" spans="1:23" x14ac:dyDescent="0.2">
      <c r="F22" s="239">
        <v>14</v>
      </c>
      <c r="G22" s="156">
        <f>H22+Amortization!F21</f>
        <v>449689746.71451682</v>
      </c>
      <c r="H22" s="547">
        <f t="shared" si="8"/>
        <v>449689746.71451682</v>
      </c>
      <c r="I22" s="174">
        <f>IncomeStatement!P33</f>
        <v>3084040221.9678669</v>
      </c>
      <c r="J22" s="174">
        <f>CashFlow!P34</f>
        <v>3769824420.2207184</v>
      </c>
      <c r="K22" s="548">
        <v>1</v>
      </c>
      <c r="L22" s="174">
        <f t="shared" si="5"/>
        <v>3084040221.9678669</v>
      </c>
      <c r="M22" s="174">
        <f t="shared" si="11"/>
        <v>30542973297.297401</v>
      </c>
      <c r="N22" s="174">
        <f t="shared" si="10"/>
        <v>685784198.25285149</v>
      </c>
      <c r="O22" s="174">
        <f t="shared" si="0"/>
        <v>227100656.60404432</v>
      </c>
      <c r="Q22" s="239">
        <v>14</v>
      </c>
      <c r="R22" s="174">
        <f t="shared" si="12"/>
        <v>3084040221.9678669</v>
      </c>
      <c r="S22" s="174">
        <f t="shared" si="13"/>
        <v>2775636199.7710805</v>
      </c>
      <c r="T22" s="174">
        <f t="shared" si="7"/>
        <v>308404022.1967867</v>
      </c>
      <c r="U22" s="208">
        <f t="shared" si="3"/>
        <v>555127239.95421612</v>
      </c>
      <c r="V22" s="208">
        <f t="shared" si="4"/>
        <v>2220508959.8168645</v>
      </c>
      <c r="W22" s="156"/>
    </row>
    <row r="23" spans="1:23" x14ac:dyDescent="0.2">
      <c r="F23" s="239">
        <v>15</v>
      </c>
      <c r="G23" s="156">
        <f>H23+Amortization!F22</f>
        <v>458683541.64880717</v>
      </c>
      <c r="H23" s="547">
        <f t="shared" si="8"/>
        <v>458683541.64880717</v>
      </c>
      <c r="I23" s="174">
        <f>IncomeStatement!Q33</f>
        <v>3146969026.4072227</v>
      </c>
      <c r="J23" s="174">
        <f>CashFlow!Q34</f>
        <v>3832753224.6600752</v>
      </c>
      <c r="K23" s="548">
        <v>1</v>
      </c>
      <c r="L23" s="174">
        <f t="shared" si="5"/>
        <v>3146969026.4072227</v>
      </c>
      <c r="M23" s="174">
        <f t="shared" si="11"/>
        <v>33689942323.704624</v>
      </c>
      <c r="N23" s="174">
        <f t="shared" si="10"/>
        <v>685784198.25285244</v>
      </c>
      <c r="O23" s="174">
        <f t="shared" si="0"/>
        <v>217926985.77106911</v>
      </c>
      <c r="Q23" s="239">
        <v>15</v>
      </c>
      <c r="R23" s="174">
        <f t="shared" si="12"/>
        <v>3146969026.4072227</v>
      </c>
      <c r="S23" s="174">
        <f t="shared" si="13"/>
        <v>2832272123.7665005</v>
      </c>
      <c r="T23" s="174">
        <f t="shared" si="7"/>
        <v>314696902.64072227</v>
      </c>
      <c r="U23" s="208">
        <f t="shared" si="3"/>
        <v>566454424.75330007</v>
      </c>
      <c r="V23" s="208">
        <f t="shared" si="4"/>
        <v>2265817699.0132003</v>
      </c>
      <c r="W23" s="156"/>
    </row>
    <row r="24" spans="1:23" x14ac:dyDescent="0.2">
      <c r="F24" s="239">
        <v>16</v>
      </c>
      <c r="G24" s="156">
        <f>H24+Amortization!F23</f>
        <v>467857212.48178333</v>
      </c>
      <c r="H24" s="547">
        <f t="shared" si="8"/>
        <v>467857212.48178333</v>
      </c>
      <c r="I24" s="174">
        <f>IncomeStatement!R39</f>
        <v>3211156406.9353676</v>
      </c>
      <c r="J24" s="174">
        <f>CashFlow!R34</f>
        <v>3896940605.18822</v>
      </c>
      <c r="K24" s="548">
        <v>1</v>
      </c>
      <c r="L24" s="174">
        <f t="shared" si="5"/>
        <v>3211156406.9353676</v>
      </c>
      <c r="M24" s="174">
        <f t="shared" si="11"/>
        <v>36901098730.639992</v>
      </c>
      <c r="N24" s="174">
        <f t="shared" si="10"/>
        <v>685784198.25285244</v>
      </c>
      <c r="O24" s="174">
        <f t="shared" si="0"/>
        <v>208569841.52143341</v>
      </c>
      <c r="Q24" s="239">
        <v>16</v>
      </c>
      <c r="R24" s="174">
        <f t="shared" si="12"/>
        <v>3211156406.9353676</v>
      </c>
      <c r="S24" s="174">
        <f t="shared" si="13"/>
        <v>2890040766.2418308</v>
      </c>
      <c r="T24" s="174">
        <f t="shared" si="7"/>
        <v>321115640.69353676</v>
      </c>
      <c r="U24" s="208">
        <f t="shared" si="3"/>
        <v>578008153.24836624</v>
      </c>
      <c r="V24" s="208">
        <f t="shared" si="4"/>
        <v>2312032612.9934649</v>
      </c>
      <c r="W24" s="156"/>
    </row>
    <row r="25" spans="1:23" x14ac:dyDescent="0.2">
      <c r="F25" s="239">
        <v>17</v>
      </c>
      <c r="G25" s="156">
        <f>H25+Amortization!F24</f>
        <v>477214356.73141903</v>
      </c>
      <c r="H25" s="547">
        <f t="shared" si="8"/>
        <v>477214356.73141903</v>
      </c>
      <c r="I25" s="174">
        <f>IncomeStatement!S33</f>
        <v>3276627535.0740743</v>
      </c>
      <c r="J25" s="174">
        <f>CashFlow!S34</f>
        <v>3962411733.3269262</v>
      </c>
      <c r="K25" s="548">
        <v>1</v>
      </c>
      <c r="L25" s="174">
        <f t="shared" si="5"/>
        <v>3276627535.0740743</v>
      </c>
      <c r="M25" s="174">
        <f t="shared" si="11"/>
        <v>40177726265.714066</v>
      </c>
      <c r="N25" s="174">
        <f t="shared" si="10"/>
        <v>685784198.25285196</v>
      </c>
      <c r="O25" s="174">
        <f t="shared" si="0"/>
        <v>199025554.38680452</v>
      </c>
      <c r="Q25" s="239">
        <v>17</v>
      </c>
      <c r="R25" s="174">
        <f t="shared" si="12"/>
        <v>3276627535.0740743</v>
      </c>
      <c r="S25" s="174">
        <f t="shared" si="13"/>
        <v>2948964781.5666671</v>
      </c>
      <c r="T25" s="174">
        <f t="shared" si="7"/>
        <v>327662753.50740743</v>
      </c>
      <c r="U25" s="208">
        <f t="shared" si="3"/>
        <v>589792956.31333339</v>
      </c>
      <c r="V25" s="208">
        <f t="shared" si="4"/>
        <v>2359171825.2533336</v>
      </c>
      <c r="W25" s="156"/>
    </row>
    <row r="26" spans="1:23" x14ac:dyDescent="0.2">
      <c r="F26" s="239">
        <v>18</v>
      </c>
      <c r="G26" s="156">
        <f>H26+Amortization!F25</f>
        <v>486758643.86604744</v>
      </c>
      <c r="H26" s="547">
        <f t="shared" si="8"/>
        <v>486758643.86604744</v>
      </c>
      <c r="I26" s="174">
        <f>IncomeStatement!T33</f>
        <v>3343408085.7755556</v>
      </c>
      <c r="J26" s="174">
        <f>CashFlow!T34</f>
        <v>4029192284.0284081</v>
      </c>
      <c r="K26" s="548">
        <v>1</v>
      </c>
      <c r="L26" s="174">
        <f t="shared" si="5"/>
        <v>3343408085.7755556</v>
      </c>
      <c r="M26" s="174">
        <f t="shared" si="11"/>
        <v>43521134351.489624</v>
      </c>
      <c r="N26" s="174">
        <f t="shared" si="10"/>
        <v>685784198.25285244</v>
      </c>
      <c r="O26" s="174">
        <f t="shared" si="0"/>
        <v>189290381.50948405</v>
      </c>
      <c r="Q26" s="239">
        <v>18</v>
      </c>
      <c r="R26" s="174">
        <f t="shared" si="12"/>
        <v>3343408085.7755556</v>
      </c>
      <c r="S26" s="174">
        <f t="shared" si="13"/>
        <v>3009067277.198</v>
      </c>
      <c r="T26" s="174">
        <f t="shared" si="7"/>
        <v>334340808.5775556</v>
      </c>
      <c r="U26" s="208">
        <f t="shared" si="3"/>
        <v>601813455.43959999</v>
      </c>
      <c r="V26" s="208">
        <f t="shared" si="4"/>
        <v>2407253821.7584</v>
      </c>
      <c r="W26" s="156"/>
    </row>
    <row r="27" spans="1:23" x14ac:dyDescent="0.2">
      <c r="F27" s="239">
        <v>19</v>
      </c>
      <c r="G27" s="156">
        <f>H27+Amortization!F26</f>
        <v>496493816.74336839</v>
      </c>
      <c r="H27" s="547">
        <f t="shared" si="8"/>
        <v>496493816.74336839</v>
      </c>
      <c r="I27" s="174">
        <f>IncomeStatement!U33</f>
        <v>3411524247.4910688</v>
      </c>
      <c r="J27" s="174">
        <f>CashFlow!U34</f>
        <v>4097308445.7439213</v>
      </c>
      <c r="K27" s="548">
        <v>1</v>
      </c>
      <c r="L27" s="174">
        <f t="shared" si="5"/>
        <v>3411524247.4910688</v>
      </c>
      <c r="M27" s="174">
        <f t="shared" si="11"/>
        <v>46932658598.98069</v>
      </c>
      <c r="N27" s="174">
        <f t="shared" si="10"/>
        <v>685784198.25285244</v>
      </c>
      <c r="O27" s="174">
        <f t="shared" si="0"/>
        <v>179360505.17461669</v>
      </c>
      <c r="Q27" s="239">
        <v>19</v>
      </c>
      <c r="R27" s="174">
        <f t="shared" si="12"/>
        <v>3411524247.4910688</v>
      </c>
      <c r="S27" s="174">
        <f t="shared" si="13"/>
        <v>3070371822.741962</v>
      </c>
      <c r="T27" s="174">
        <f t="shared" si="7"/>
        <v>341152424.74910688</v>
      </c>
      <c r="U27" s="208">
        <f t="shared" si="3"/>
        <v>614074364.54839242</v>
      </c>
      <c r="V27" s="208">
        <f t="shared" si="4"/>
        <v>2456297458.1935697</v>
      </c>
      <c r="W27" s="156"/>
    </row>
    <row r="28" spans="1:23" x14ac:dyDescent="0.2">
      <c r="F28" s="239">
        <v>20</v>
      </c>
      <c r="G28" s="156">
        <f>H28+Amortization!F27</f>
        <v>506423693.07823575</v>
      </c>
      <c r="H28" s="547">
        <f t="shared" si="8"/>
        <v>506423693.07823575</v>
      </c>
      <c r="I28" s="174">
        <f>IncomeStatement!V33</f>
        <v>3481002732.4408903</v>
      </c>
      <c r="J28" s="174">
        <f>CashFlow!V34</f>
        <v>4166786930.6937428</v>
      </c>
      <c r="K28" s="548">
        <v>1</v>
      </c>
      <c r="L28" s="174">
        <f t="shared" si="5"/>
        <v>3481002732.4408903</v>
      </c>
      <c r="M28" s="174">
        <f t="shared" si="11"/>
        <v>50413661331.421577</v>
      </c>
      <c r="N28" s="174">
        <f t="shared" si="10"/>
        <v>685784198.25285244</v>
      </c>
      <c r="O28" s="174">
        <f t="shared" si="0"/>
        <v>169232031.313052</v>
      </c>
      <c r="Q28" s="239">
        <v>20</v>
      </c>
      <c r="R28" s="174">
        <f t="shared" si="12"/>
        <v>3481002732.4408903</v>
      </c>
      <c r="S28" s="174">
        <f t="shared" si="13"/>
        <v>3132902459.1968012</v>
      </c>
      <c r="T28" s="174">
        <f t="shared" si="7"/>
        <v>348100273.24408907</v>
      </c>
      <c r="U28" s="208">
        <f t="shared" si="3"/>
        <v>626580491.83936024</v>
      </c>
      <c r="V28" s="208">
        <f t="shared" si="4"/>
        <v>2506321967.3574409</v>
      </c>
      <c r="W28" s="156"/>
    </row>
    <row r="29" spans="1:23" x14ac:dyDescent="0.2">
      <c r="F29" s="239">
        <v>21</v>
      </c>
      <c r="G29" s="156">
        <f>H29+Amortization!F28</f>
        <v>516552166.93980044</v>
      </c>
      <c r="H29" s="547">
        <f t="shared" si="8"/>
        <v>516552166.93980044</v>
      </c>
      <c r="I29" s="174">
        <f>IncomeStatement!W33</f>
        <v>3551870787.0897083</v>
      </c>
      <c r="J29" s="174">
        <f>CashFlow!W34</f>
        <v>4237654985.3425608</v>
      </c>
      <c r="K29" s="548">
        <v>1</v>
      </c>
      <c r="L29" s="174">
        <f t="shared" si="5"/>
        <v>3551870787.0897083</v>
      </c>
      <c r="M29" s="174">
        <f t="shared" si="11"/>
        <v>53965532118.511284</v>
      </c>
      <c r="N29" s="174">
        <f t="shared" si="10"/>
        <v>685784198.25285244</v>
      </c>
      <c r="O29" s="174">
        <f t="shared" si="0"/>
        <v>158900987.97425598</v>
      </c>
      <c r="Q29" s="239">
        <v>21</v>
      </c>
      <c r="R29" s="174">
        <f t="shared" si="12"/>
        <v>3551870787.0897083</v>
      </c>
      <c r="S29" s="174">
        <f t="shared" si="13"/>
        <v>3196683708.3807378</v>
      </c>
      <c r="T29" s="174">
        <f t="shared" si="7"/>
        <v>355187078.70897084</v>
      </c>
      <c r="U29" s="208">
        <f t="shared" si="3"/>
        <v>639336741.67614758</v>
      </c>
      <c r="V29" s="208">
        <f t="shared" si="4"/>
        <v>2557346966.7045903</v>
      </c>
      <c r="W29" s="156"/>
    </row>
    <row r="30" spans="1:23" x14ac:dyDescent="0.2">
      <c r="F30" s="239">
        <v>22</v>
      </c>
      <c r="G30" s="156">
        <f>H30+Amortization!F29</f>
        <v>526883210.27859646</v>
      </c>
      <c r="H30" s="547">
        <f t="shared" si="8"/>
        <v>526883210.27859646</v>
      </c>
      <c r="I30" s="174">
        <f>IncomeStatement!X33</f>
        <v>3624156202.831502</v>
      </c>
      <c r="J30" s="174">
        <f>CashFlow!X34</f>
        <v>4309940401.0843544</v>
      </c>
      <c r="K30" s="548">
        <v>1</v>
      </c>
      <c r="L30" s="174">
        <f t="shared" si="5"/>
        <v>3624156202.831502</v>
      </c>
      <c r="M30" s="174">
        <f t="shared" si="11"/>
        <v>57589688321.342789</v>
      </c>
      <c r="N30" s="174">
        <f t="shared" si="10"/>
        <v>685784198.25285244</v>
      </c>
      <c r="O30" s="174">
        <f t="shared" si="0"/>
        <v>148363323.76868403</v>
      </c>
      <c r="Q30" s="239">
        <v>22</v>
      </c>
      <c r="R30" s="174">
        <f t="shared" si="12"/>
        <v>3624156202.831502</v>
      </c>
      <c r="S30" s="174">
        <f t="shared" si="13"/>
        <v>3261740582.5483518</v>
      </c>
      <c r="T30" s="174">
        <f t="shared" si="7"/>
        <v>362415620.2831502</v>
      </c>
      <c r="U30" s="208">
        <f t="shared" si="3"/>
        <v>652348116.50967038</v>
      </c>
      <c r="V30" s="208">
        <f t="shared" si="4"/>
        <v>2609392466.0386815</v>
      </c>
      <c r="W30" s="156"/>
    </row>
    <row r="31" spans="1:23" x14ac:dyDescent="0.2">
      <c r="F31" s="239">
        <v>23</v>
      </c>
      <c r="G31" s="156">
        <f>H31+Amortization!F30</f>
        <v>537420874.48416841</v>
      </c>
      <c r="H31" s="547">
        <f t="shared" si="8"/>
        <v>537420874.48416841</v>
      </c>
      <c r="I31" s="174">
        <f>IncomeStatement!Y33</f>
        <v>3697887326.8881321</v>
      </c>
      <c r="J31" s="174">
        <f>CashFlow!Y34</f>
        <v>4383671525.1409845</v>
      </c>
      <c r="K31" s="548">
        <v>1</v>
      </c>
      <c r="L31" s="174">
        <f t="shared" si="5"/>
        <v>3697887326.8881321</v>
      </c>
      <c r="M31" s="174">
        <f t="shared" si="11"/>
        <v>61287575648.230919</v>
      </c>
      <c r="N31" s="174">
        <f t="shared" si="10"/>
        <v>685784198.25285244</v>
      </c>
      <c r="O31" s="174">
        <f t="shared" si="0"/>
        <v>137614906.27900064</v>
      </c>
      <c r="Q31" s="239">
        <v>23</v>
      </c>
      <c r="R31" s="174">
        <f t="shared" si="12"/>
        <v>3697887326.8881321</v>
      </c>
      <c r="S31" s="174">
        <f t="shared" si="13"/>
        <v>3328098594.1993189</v>
      </c>
      <c r="T31" s="174">
        <f t="shared" si="7"/>
        <v>369788732.68881321</v>
      </c>
      <c r="U31" s="208">
        <f t="shared" si="3"/>
        <v>665619718.83986378</v>
      </c>
      <c r="V31" s="208">
        <f t="shared" si="4"/>
        <v>2662478875.3594551</v>
      </c>
      <c r="W31" s="156"/>
    </row>
    <row r="32" spans="1:23" x14ac:dyDescent="0.2">
      <c r="F32" s="239">
        <v>24</v>
      </c>
      <c r="G32" s="156">
        <f>H32+Amortization!F31</f>
        <v>548169291.9738518</v>
      </c>
      <c r="H32" s="547">
        <f t="shared" si="8"/>
        <v>548169291.9738518</v>
      </c>
      <c r="I32" s="174">
        <f>IncomeStatement!Z33</f>
        <v>3773093073.4258947</v>
      </c>
      <c r="J32" s="174">
        <f>CashFlow!Z34</f>
        <v>4458877271.6787472</v>
      </c>
      <c r="K32" s="548">
        <v>1</v>
      </c>
      <c r="L32" s="174">
        <f t="shared" si="5"/>
        <v>3773093073.4258947</v>
      </c>
      <c r="M32" s="174">
        <f t="shared" si="11"/>
        <v>65060668721.656815</v>
      </c>
      <c r="N32" s="174">
        <f t="shared" si="10"/>
        <v>685784198.25285244</v>
      </c>
      <c r="O32" s="174">
        <f t="shared" si="0"/>
        <v>126651520.43952358</v>
      </c>
      <c r="Q32" s="239">
        <v>24</v>
      </c>
      <c r="R32" s="174">
        <f t="shared" si="12"/>
        <v>3773093073.4258947</v>
      </c>
      <c r="S32" s="174">
        <f t="shared" si="13"/>
        <v>3395783766.0833054</v>
      </c>
      <c r="T32" s="174">
        <f t="shared" si="7"/>
        <v>377309307.3425895</v>
      </c>
      <c r="U32" s="208">
        <f t="shared" si="3"/>
        <v>679156753.2166611</v>
      </c>
      <c r="V32" s="208">
        <f t="shared" si="4"/>
        <v>2716627012.8666444</v>
      </c>
      <c r="W32" s="156"/>
    </row>
    <row r="33" spans="6:23" x14ac:dyDescent="0.2">
      <c r="F33" s="239">
        <v>25</v>
      </c>
      <c r="G33" s="156">
        <f>H33+Amortization!F32</f>
        <v>559132677.81332886</v>
      </c>
      <c r="H33" s="547">
        <f t="shared" si="8"/>
        <v>559132677.81332886</v>
      </c>
      <c r="I33" s="174">
        <f>IncomeStatement!AA33</f>
        <v>3849802934.8944125</v>
      </c>
      <c r="J33" s="174">
        <f>CashFlow!AA34</f>
        <v>4535587133.1472654</v>
      </c>
      <c r="K33" s="548">
        <v>1</v>
      </c>
      <c r="L33" s="174">
        <f t="shared" si="5"/>
        <v>3849802934.8944125</v>
      </c>
      <c r="M33" s="174">
        <f t="shared" si="11"/>
        <v>68910471656.551224</v>
      </c>
      <c r="N33" s="174">
        <f t="shared" si="10"/>
        <v>685784198.25285292</v>
      </c>
      <c r="O33" s="174">
        <f t="shared" si="0"/>
        <v>115468866.88325751</v>
      </c>
      <c r="Q33" s="239">
        <v>25</v>
      </c>
      <c r="R33" s="174">
        <f t="shared" si="12"/>
        <v>3849802934.8944125</v>
      </c>
      <c r="S33" s="174">
        <f t="shared" si="13"/>
        <v>3464822641.4049711</v>
      </c>
      <c r="T33" s="174">
        <f t="shared" si="7"/>
        <v>384980293.48944128</v>
      </c>
      <c r="U33" s="208">
        <f t="shared" si="3"/>
        <v>692964528.2809943</v>
      </c>
      <c r="V33" s="208">
        <f t="shared" si="4"/>
        <v>2771858113.1239772</v>
      </c>
      <c r="W33" s="156"/>
    </row>
    <row r="34" spans="6:23" x14ac:dyDescent="0.2">
      <c r="F34" s="239">
        <v>26</v>
      </c>
      <c r="G34" s="156">
        <f>H34+Amortization!F33</f>
        <v>570315331.36959541</v>
      </c>
      <c r="H34" s="547">
        <f t="shared" si="8"/>
        <v>570315331.36959541</v>
      </c>
      <c r="I34" s="174">
        <f>IncomeStatement!AB33</f>
        <v>3928046993.5923014</v>
      </c>
      <c r="J34" s="174">
        <f>CashFlow!AB34</f>
        <v>4613831191.8451538</v>
      </c>
      <c r="K34" s="548">
        <v>1</v>
      </c>
      <c r="L34" s="174">
        <f t="shared" si="5"/>
        <v>3928046993.5923014</v>
      </c>
      <c r="M34" s="174">
        <f t="shared" si="11"/>
        <v>72838518650.143524</v>
      </c>
      <c r="N34" s="174">
        <f t="shared" si="10"/>
        <v>685784198.25285244</v>
      </c>
      <c r="O34" s="174">
        <f t="shared" si="0"/>
        <v>104062560.2558651</v>
      </c>
      <c r="Q34" s="239">
        <v>26</v>
      </c>
      <c r="R34" s="174">
        <f t="shared" si="12"/>
        <v>3928046993.5923014</v>
      </c>
      <c r="S34" s="174">
        <f t="shared" si="13"/>
        <v>3535242294.2330713</v>
      </c>
      <c r="T34" s="174">
        <f t="shared" si="7"/>
        <v>392804699.35923016</v>
      </c>
      <c r="U34" s="208">
        <f t="shared" si="3"/>
        <v>707048458.84661436</v>
      </c>
      <c r="V34" s="208">
        <f t="shared" si="4"/>
        <v>2828193835.3864574</v>
      </c>
      <c r="W34" s="156"/>
    </row>
    <row r="35" spans="6:23" x14ac:dyDescent="0.2">
      <c r="F35" s="239">
        <v>27</v>
      </c>
      <c r="G35" s="156">
        <f>H35+Amortization!F34</f>
        <v>581721637.99698734</v>
      </c>
      <c r="H35" s="547">
        <f t="shared" si="8"/>
        <v>581721637.99698734</v>
      </c>
      <c r="I35" s="174">
        <f>IncomeStatement!AC33</f>
        <v>4007855933.4641485</v>
      </c>
      <c r="J35" s="174">
        <f>CashFlow!AC34</f>
        <v>4693640131.717001</v>
      </c>
      <c r="K35" s="548">
        <v>1</v>
      </c>
      <c r="L35" s="174">
        <f t="shared" si="5"/>
        <v>4007855933.4641485</v>
      </c>
      <c r="M35" s="174">
        <f t="shared" si="11"/>
        <v>76846374583.607666</v>
      </c>
      <c r="N35" s="174">
        <f t="shared" si="10"/>
        <v>685784198.25285244</v>
      </c>
      <c r="O35" s="174">
        <f t="shared" si="0"/>
        <v>92428127.495925307</v>
      </c>
      <c r="Q35" s="239">
        <v>27</v>
      </c>
      <c r="R35" s="174">
        <f t="shared" si="12"/>
        <v>4007855933.4641485</v>
      </c>
      <c r="S35" s="174">
        <f t="shared" si="13"/>
        <v>3607070340.117734</v>
      </c>
      <c r="T35" s="174">
        <f t="shared" si="7"/>
        <v>400785593.34641486</v>
      </c>
      <c r="U35" s="208">
        <f t="shared" si="3"/>
        <v>721414068.02354681</v>
      </c>
      <c r="V35" s="208">
        <f t="shared" si="4"/>
        <v>2885656272.0941873</v>
      </c>
      <c r="W35" s="156"/>
    </row>
    <row r="36" spans="6:23" x14ac:dyDescent="0.2">
      <c r="F36" s="239">
        <v>28</v>
      </c>
      <c r="G36" s="156">
        <f>H36+Amortization!F35</f>
        <v>593356070.75692713</v>
      </c>
      <c r="H36" s="547">
        <f t="shared" si="8"/>
        <v>593356070.75692713</v>
      </c>
      <c r="I36" s="174">
        <f>IncomeStatement!AD33</f>
        <v>4089261052.1334314</v>
      </c>
      <c r="J36" s="174">
        <f>CashFlow!AD34</f>
        <v>4775045250.3862839</v>
      </c>
      <c r="K36" s="548">
        <v>1</v>
      </c>
      <c r="L36" s="174">
        <f t="shared" si="5"/>
        <v>4089261052.1334314</v>
      </c>
      <c r="M36" s="174">
        <f t="shared" si="11"/>
        <v>80935635635.741104</v>
      </c>
      <c r="N36" s="174">
        <f t="shared" si="10"/>
        <v>685784198.25285244</v>
      </c>
      <c r="O36" s="174">
        <f t="shared" si="0"/>
        <v>80561006.080786705</v>
      </c>
      <c r="Q36" s="239">
        <v>28</v>
      </c>
      <c r="R36" s="174">
        <f t="shared" si="12"/>
        <v>4089261052.1334314</v>
      </c>
      <c r="S36" s="174">
        <f t="shared" si="13"/>
        <v>3680334946.9200883</v>
      </c>
      <c r="T36" s="174">
        <f t="shared" si="7"/>
        <v>408926105.21334314</v>
      </c>
      <c r="U36" s="208">
        <f t="shared" si="3"/>
        <v>736066989.38401771</v>
      </c>
      <c r="V36" s="208">
        <f t="shared" si="4"/>
        <v>2944267957.5360708</v>
      </c>
      <c r="W36" s="156"/>
    </row>
    <row r="37" spans="6:23" x14ac:dyDescent="0.2">
      <c r="F37" s="239">
        <v>29</v>
      </c>
      <c r="G37" s="156">
        <f>H37+Amortization!F36</f>
        <v>605223192.17206573</v>
      </c>
      <c r="H37" s="547">
        <f t="shared" si="8"/>
        <v>605223192.17206573</v>
      </c>
      <c r="I37" s="174">
        <f>IncomeStatement!AE33</f>
        <v>4172294273.1760998</v>
      </c>
      <c r="J37" s="174">
        <f>CashFlow!AE34</f>
        <v>4858078471.4289522</v>
      </c>
      <c r="K37" s="548">
        <v>1</v>
      </c>
      <c r="L37" s="174">
        <f t="shared" si="5"/>
        <v>4172294273.1760998</v>
      </c>
      <c r="M37" s="174">
        <f t="shared" si="11"/>
        <v>85107929908.917206</v>
      </c>
      <c r="N37" s="174">
        <f t="shared" si="10"/>
        <v>685784198.25285244</v>
      </c>
      <c r="O37" s="174">
        <f t="shared" si="0"/>
        <v>68456542.237345338</v>
      </c>
      <c r="Q37" s="239">
        <v>29</v>
      </c>
      <c r="R37" s="174">
        <f t="shared" si="12"/>
        <v>4172294273.1760998</v>
      </c>
      <c r="S37" s="174">
        <f t="shared" si="13"/>
        <v>3755064845.85849</v>
      </c>
      <c r="T37" s="174">
        <f t="shared" si="7"/>
        <v>417229427.31761003</v>
      </c>
      <c r="U37" s="208">
        <f t="shared" si="3"/>
        <v>751012969.17169809</v>
      </c>
      <c r="V37" s="208">
        <f t="shared" si="4"/>
        <v>3004051876.6867924</v>
      </c>
      <c r="W37" s="156"/>
    </row>
    <row r="38" spans="6:23" x14ac:dyDescent="0.2">
      <c r="F38" s="239">
        <v>30</v>
      </c>
      <c r="G38" s="156">
        <f>H38+Amortization!F37</f>
        <v>617327656.0155071</v>
      </c>
      <c r="H38" s="547">
        <f t="shared" si="8"/>
        <v>617327656.0155071</v>
      </c>
      <c r="I38" s="174">
        <f>IncomeStatement!AF33</f>
        <v>4256988158.6396208</v>
      </c>
      <c r="J38" s="174">
        <f>CashFlow!AF34</f>
        <v>4942772356.8924732</v>
      </c>
      <c r="K38" s="548">
        <v>1</v>
      </c>
      <c r="L38" s="174">
        <f t="shared" si="5"/>
        <v>4256988158.6396208</v>
      </c>
      <c r="M38" s="174">
        <f>L38+M37</f>
        <v>89364918067.556824</v>
      </c>
      <c r="N38" s="174">
        <f t="shared" si="10"/>
        <v>685784198.25285244</v>
      </c>
      <c r="O38" s="174"/>
      <c r="Q38" s="239">
        <v>30</v>
      </c>
      <c r="R38" s="174">
        <f t="shared" si="12"/>
        <v>4256988158.6396208</v>
      </c>
      <c r="S38" s="174">
        <f t="shared" si="13"/>
        <v>3831289342.7756586</v>
      </c>
      <c r="T38" s="174">
        <f t="shared" si="7"/>
        <v>425698815.86396211</v>
      </c>
      <c r="U38" s="208">
        <f t="shared" si="3"/>
        <v>766257868.55513179</v>
      </c>
      <c r="V38" s="208">
        <f t="shared" si="4"/>
        <v>3065031474.2205272</v>
      </c>
      <c r="W38" s="156"/>
    </row>
    <row r="39" spans="6:23" x14ac:dyDescent="0.2">
      <c r="F39" s="205"/>
      <c r="G39" s="533"/>
      <c r="H39" s="533"/>
      <c r="I39" s="533"/>
      <c r="J39" s="533"/>
      <c r="K39" s="533"/>
      <c r="L39" s="533"/>
      <c r="M39" s="533"/>
      <c r="N39" s="533"/>
      <c r="O39" s="533"/>
      <c r="Q39" s="533"/>
      <c r="R39" s="533"/>
      <c r="S39" s="533"/>
      <c r="T39" s="533"/>
      <c r="U39" s="533"/>
      <c r="V39" s="533"/>
    </row>
    <row r="41" spans="6:23" x14ac:dyDescent="0.2">
      <c r="F41" s="279" t="s">
        <v>543</v>
      </c>
    </row>
    <row r="42" spans="6:23" x14ac:dyDescent="0.2">
      <c r="F42" s="223" t="s">
        <v>1000</v>
      </c>
      <c r="G42" s="198" t="s">
        <v>999</v>
      </c>
    </row>
    <row r="43" spans="6:23" x14ac:dyDescent="0.2">
      <c r="F43" s="223" t="s">
        <v>1002</v>
      </c>
    </row>
    <row r="44" spans="6:23" x14ac:dyDescent="0.2">
      <c r="F44" s="549" t="s">
        <v>1001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AM39"/>
  <sheetViews>
    <sheetView showGridLines="0" zoomScaleNormal="100" workbookViewId="0">
      <pane xSplit="2" ySplit="7" topLeftCell="T8" activePane="bottomRight" state="frozen"/>
      <selection pane="topRight" activeCell="C1" sqref="C1"/>
      <selection pane="bottomLeft" activeCell="A8" sqref="A8"/>
      <selection pane="bottomRight" activeCell="AF24" sqref="AF24"/>
    </sheetView>
  </sheetViews>
  <sheetFormatPr defaultColWidth="9" defaultRowHeight="11.25" x14ac:dyDescent="0.25"/>
  <cols>
    <col min="1" max="1" width="24.125" style="180" bestFit="1" customWidth="1"/>
    <col min="2" max="2" width="4.125" style="180" bestFit="1" customWidth="1"/>
    <col min="3" max="3" width="9.75" style="180" customWidth="1"/>
    <col min="4" max="5" width="9.875" style="180" customWidth="1"/>
    <col min="6" max="6" width="10.5" style="180" customWidth="1"/>
    <col min="7" max="7" width="10.125" style="180" customWidth="1"/>
    <col min="8" max="8" width="10.625" style="180" customWidth="1"/>
    <col min="9" max="9" width="10.5" style="180" customWidth="1"/>
    <col min="10" max="10" width="11.5" style="180" customWidth="1"/>
    <col min="11" max="11" width="10" style="180" customWidth="1"/>
    <col min="12" max="12" width="10.5" style="180" customWidth="1"/>
    <col min="13" max="13" width="11.25" style="180" customWidth="1"/>
    <col min="14" max="15" width="10.125" style="180" bestFit="1" customWidth="1"/>
    <col min="16" max="16" width="9.875" style="180" customWidth="1"/>
    <col min="17" max="17" width="11.375" style="180" customWidth="1"/>
    <col min="18" max="32" width="10.125" style="180" bestFit="1" customWidth="1"/>
    <col min="33" max="37" width="9" style="180"/>
    <col min="38" max="38" width="9.75" style="180" bestFit="1" customWidth="1"/>
    <col min="39" max="16384" width="9" style="180"/>
  </cols>
  <sheetData>
    <row r="1" spans="1:39" x14ac:dyDescent="0.25">
      <c r="A1" s="179" t="str">
        <f>'ProjectValuation(JO)'!A1</f>
        <v>Bisnis Penyewaan INTEGRATED COLD STORAGE - Revitalitation</v>
      </c>
      <c r="B1" s="179"/>
    </row>
    <row r="2" spans="1:39" x14ac:dyDescent="0.25">
      <c r="A2" s="179" t="str">
        <f>'ProjectValuation(JO)'!A2</f>
        <v>Financial Pre-Feasibility Study</v>
      </c>
      <c r="B2" s="179"/>
    </row>
    <row r="3" spans="1:39" x14ac:dyDescent="0.25">
      <c r="A3" s="181" t="s">
        <v>541</v>
      </c>
      <c r="B3" s="181"/>
    </row>
    <row r="4" spans="1:39" x14ac:dyDescent="0.25">
      <c r="A4" s="182"/>
      <c r="B4" s="182"/>
    </row>
    <row r="5" spans="1:39" x14ac:dyDescent="0.25">
      <c r="A5" s="182"/>
      <c r="B5" s="182"/>
      <c r="D5" s="183"/>
    </row>
    <row r="6" spans="1:39" x14ac:dyDescent="0.25">
      <c r="A6" s="180" t="s">
        <v>1137</v>
      </c>
    </row>
    <row r="7" spans="1:39" ht="20.100000000000001" customHeight="1" x14ac:dyDescent="0.25">
      <c r="A7" s="185" t="s">
        <v>542</v>
      </c>
      <c r="B7" s="185"/>
      <c r="C7" s="186">
        <v>1</v>
      </c>
      <c r="D7" s="186">
        <f>C7+1</f>
        <v>2</v>
      </c>
      <c r="E7" s="186">
        <f t="shared" ref="E7:L7" si="0">D7+1</f>
        <v>3</v>
      </c>
      <c r="F7" s="186">
        <f t="shared" si="0"/>
        <v>4</v>
      </c>
      <c r="G7" s="186">
        <f t="shared" si="0"/>
        <v>5</v>
      </c>
      <c r="H7" s="186">
        <f t="shared" si="0"/>
        <v>6</v>
      </c>
      <c r="I7" s="186">
        <f t="shared" si="0"/>
        <v>7</v>
      </c>
      <c r="J7" s="186">
        <f t="shared" si="0"/>
        <v>8</v>
      </c>
      <c r="K7" s="186">
        <f t="shared" si="0"/>
        <v>9</v>
      </c>
      <c r="L7" s="186">
        <f t="shared" si="0"/>
        <v>10</v>
      </c>
      <c r="M7" s="186">
        <f t="shared" ref="M7" si="1">L7+1</f>
        <v>11</v>
      </c>
      <c r="N7" s="186">
        <f t="shared" ref="N7" si="2">M7+1</f>
        <v>12</v>
      </c>
      <c r="O7" s="186">
        <f t="shared" ref="O7" si="3">N7+1</f>
        <v>13</v>
      </c>
      <c r="P7" s="186">
        <f t="shared" ref="P7" si="4">O7+1</f>
        <v>14</v>
      </c>
      <c r="Q7" s="186">
        <f t="shared" ref="Q7" si="5">P7+1</f>
        <v>15</v>
      </c>
      <c r="R7" s="186">
        <f t="shared" ref="R7" si="6">Q7+1</f>
        <v>16</v>
      </c>
      <c r="S7" s="186">
        <f t="shared" ref="S7" si="7">R7+1</f>
        <v>17</v>
      </c>
      <c r="T7" s="186">
        <f t="shared" ref="T7" si="8">S7+1</f>
        <v>18</v>
      </c>
      <c r="U7" s="186">
        <f t="shared" ref="U7" si="9">T7+1</f>
        <v>19</v>
      </c>
      <c r="V7" s="186">
        <f t="shared" ref="V7" si="10">U7+1</f>
        <v>20</v>
      </c>
      <c r="W7" s="186">
        <f t="shared" ref="W7" si="11">V7+1</f>
        <v>21</v>
      </c>
      <c r="X7" s="186">
        <f t="shared" ref="X7" si="12">W7+1</f>
        <v>22</v>
      </c>
      <c r="Y7" s="186">
        <f t="shared" ref="Y7" si="13">X7+1</f>
        <v>23</v>
      </c>
      <c r="Z7" s="186">
        <f t="shared" ref="Z7" si="14">Y7+1</f>
        <v>24</v>
      </c>
      <c r="AA7" s="186">
        <f t="shared" ref="AA7" si="15">Z7+1</f>
        <v>25</v>
      </c>
      <c r="AB7" s="186">
        <f t="shared" ref="AB7" si="16">AA7+1</f>
        <v>26</v>
      </c>
      <c r="AC7" s="186">
        <f t="shared" ref="AC7" si="17">AB7+1</f>
        <v>27</v>
      </c>
      <c r="AD7" s="186">
        <f t="shared" ref="AD7" si="18">AC7+1</f>
        <v>28</v>
      </c>
      <c r="AE7" s="186">
        <f t="shared" ref="AE7" si="19">AD7+1</f>
        <v>29</v>
      </c>
      <c r="AF7" s="186">
        <f t="shared" ref="AF7" si="20">AE7+1</f>
        <v>30</v>
      </c>
      <c r="AK7" s="180" t="s">
        <v>1009</v>
      </c>
    </row>
    <row r="8" spans="1:39" ht="22.5" x14ac:dyDescent="0.25">
      <c r="A8" s="194" t="s">
        <v>607</v>
      </c>
      <c r="B8" s="194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  <c r="AA8" s="187"/>
      <c r="AB8" s="187"/>
      <c r="AC8" s="187"/>
      <c r="AD8" s="187"/>
      <c r="AE8" s="187"/>
      <c r="AF8" s="187"/>
      <c r="AK8" s="551" t="s">
        <v>542</v>
      </c>
      <c r="AL8" s="552" t="s">
        <v>1010</v>
      </c>
      <c r="AM8" s="552" t="s">
        <v>1011</v>
      </c>
    </row>
    <row r="9" spans="1:39" x14ac:dyDescent="0.25">
      <c r="A9" s="180" t="s">
        <v>642</v>
      </c>
      <c r="C9" s="364">
        <f>(CapitalInvestment!D7+CapitalInvestment!D8)</f>
        <v>950000000</v>
      </c>
      <c r="D9" s="364">
        <f>C22</f>
        <v>950000000</v>
      </c>
      <c r="E9" s="364">
        <f t="shared" ref="E9:K9" si="21">D22</f>
        <v>950000000</v>
      </c>
      <c r="F9" s="364">
        <f t="shared" si="21"/>
        <v>950000000</v>
      </c>
      <c r="G9" s="364">
        <f t="shared" si="21"/>
        <v>950000000</v>
      </c>
      <c r="H9" s="364">
        <f t="shared" si="21"/>
        <v>950000000</v>
      </c>
      <c r="I9" s="364">
        <f t="shared" si="21"/>
        <v>950000000</v>
      </c>
      <c r="J9" s="364">
        <f t="shared" si="21"/>
        <v>950000000</v>
      </c>
      <c r="K9" s="364">
        <f t="shared" si="21"/>
        <v>950000000</v>
      </c>
      <c r="L9" s="364">
        <f>K22</f>
        <v>950000000</v>
      </c>
      <c r="M9" s="364">
        <f>L22</f>
        <v>950000000</v>
      </c>
      <c r="N9" s="364">
        <f>M22</f>
        <v>950000000</v>
      </c>
      <c r="O9" s="364">
        <f t="shared" ref="O9:O10" si="22">N22</f>
        <v>950000000</v>
      </c>
      <c r="P9" s="364">
        <f t="shared" ref="P9:P10" si="23">O22</f>
        <v>950000000</v>
      </c>
      <c r="Q9" s="364">
        <f t="shared" ref="Q9:Q10" si="24">P22</f>
        <v>950000000</v>
      </c>
      <c r="R9" s="364">
        <f t="shared" ref="R9:R10" si="25">Q22</f>
        <v>950000000</v>
      </c>
      <c r="S9" s="364">
        <f t="shared" ref="S9:S10" si="26">R22</f>
        <v>950000000</v>
      </c>
      <c r="T9" s="364">
        <f t="shared" ref="T9:T10" si="27">S22</f>
        <v>950000000</v>
      </c>
      <c r="U9" s="364">
        <f t="shared" ref="U9:U10" si="28">T22</f>
        <v>950000000</v>
      </c>
      <c r="V9" s="364">
        <f t="shared" ref="V9:V10" si="29">U22</f>
        <v>950000000</v>
      </c>
      <c r="W9" s="364">
        <f t="shared" ref="W9:W10" si="30">V22</f>
        <v>950000000</v>
      </c>
      <c r="X9" s="364">
        <f t="shared" ref="X9:X10" si="31">W22</f>
        <v>950000000</v>
      </c>
      <c r="Y9" s="364">
        <f t="shared" ref="Y9:Y10" si="32">X22</f>
        <v>950000000</v>
      </c>
      <c r="Z9" s="364">
        <f t="shared" ref="Z9:Z10" si="33">Y22</f>
        <v>950000000</v>
      </c>
      <c r="AA9" s="364">
        <f t="shared" ref="AA9:AA10" si="34">Z22</f>
        <v>950000000</v>
      </c>
      <c r="AB9" s="364">
        <f t="shared" ref="AB9:AB10" si="35">AA22</f>
        <v>950000000</v>
      </c>
      <c r="AC9" s="364">
        <f t="shared" ref="AC9:AC10" si="36">AB22</f>
        <v>950000000</v>
      </c>
      <c r="AD9" s="364">
        <f t="shared" ref="AD9:AD10" si="37">AC22</f>
        <v>950000000</v>
      </c>
      <c r="AE9" s="364">
        <f t="shared" ref="AE9:AE10" si="38">AD22</f>
        <v>950000000</v>
      </c>
      <c r="AF9" s="364">
        <f t="shared" ref="AF9:AF10" si="39">AE22</f>
        <v>950000000</v>
      </c>
      <c r="AK9" s="417">
        <v>1</v>
      </c>
      <c r="AL9" s="364">
        <f>C24</f>
        <v>1138102139.501312</v>
      </c>
      <c r="AM9" s="364"/>
    </row>
    <row r="10" spans="1:39" x14ac:dyDescent="0.25">
      <c r="A10" s="180" t="s">
        <v>638</v>
      </c>
      <c r="C10" s="540">
        <v>0</v>
      </c>
      <c r="D10" s="538">
        <f>C23</f>
        <v>188102139.50131196</v>
      </c>
      <c r="E10" s="538">
        <f t="shared" ref="E10:L10" si="40">D23</f>
        <v>280657750.291758</v>
      </c>
      <c r="F10" s="538">
        <f t="shared" si="40"/>
        <v>335784198.25285274</v>
      </c>
      <c r="G10" s="538">
        <f t="shared" si="40"/>
        <v>335784198.25285274</v>
      </c>
      <c r="H10" s="538">
        <f t="shared" si="40"/>
        <v>335784198.25285274</v>
      </c>
      <c r="I10" s="538">
        <f t="shared" si="40"/>
        <v>335784198.25285274</v>
      </c>
      <c r="J10" s="538">
        <f t="shared" si="40"/>
        <v>335784198.25285274</v>
      </c>
      <c r="K10" s="538">
        <f t="shared" si="40"/>
        <v>335784198.25285274</v>
      </c>
      <c r="L10" s="538">
        <f t="shared" si="40"/>
        <v>335784198.25285274</v>
      </c>
      <c r="M10" s="538">
        <f t="shared" ref="M10" si="41">L23</f>
        <v>335784198.25285274</v>
      </c>
      <c r="N10" s="538">
        <f t="shared" ref="N10" si="42">M23</f>
        <v>335784198.25285274</v>
      </c>
      <c r="O10" s="538">
        <f t="shared" si="22"/>
        <v>335784198.25285274</v>
      </c>
      <c r="P10" s="538">
        <f t="shared" si="23"/>
        <v>335784198.25285274</v>
      </c>
      <c r="Q10" s="538">
        <f t="shared" si="24"/>
        <v>335784198.25285274</v>
      </c>
      <c r="R10" s="538">
        <f t="shared" si="25"/>
        <v>335784198.25285274</v>
      </c>
      <c r="S10" s="538">
        <f t="shared" si="26"/>
        <v>335784198.25285274</v>
      </c>
      <c r="T10" s="538">
        <f t="shared" si="27"/>
        <v>335784198.25285274</v>
      </c>
      <c r="U10" s="538">
        <f t="shared" si="28"/>
        <v>335784198.25285274</v>
      </c>
      <c r="V10" s="538">
        <f t="shared" si="29"/>
        <v>335784198.25285274</v>
      </c>
      <c r="W10" s="538">
        <f t="shared" si="30"/>
        <v>335784198.25285274</v>
      </c>
      <c r="X10" s="538">
        <f t="shared" si="31"/>
        <v>335784198.25285274</v>
      </c>
      <c r="Y10" s="538">
        <f t="shared" si="32"/>
        <v>335784198.25285274</v>
      </c>
      <c r="Z10" s="538">
        <f t="shared" si="33"/>
        <v>335784198.25285274</v>
      </c>
      <c r="AA10" s="538">
        <f t="shared" si="34"/>
        <v>335784198.25285274</v>
      </c>
      <c r="AB10" s="538">
        <f t="shared" si="35"/>
        <v>335784198.25285274</v>
      </c>
      <c r="AC10" s="538">
        <f t="shared" si="36"/>
        <v>335784198.25285274</v>
      </c>
      <c r="AD10" s="538">
        <f t="shared" si="37"/>
        <v>335784198.25285274</v>
      </c>
      <c r="AE10" s="538">
        <f t="shared" si="38"/>
        <v>335784198.25285274</v>
      </c>
      <c r="AF10" s="538">
        <f t="shared" si="39"/>
        <v>335784198.25285274</v>
      </c>
      <c r="AK10" s="417">
        <v>2</v>
      </c>
      <c r="AL10" s="364">
        <f>D24</f>
        <v>1230657750.2917581</v>
      </c>
      <c r="AM10" s="441">
        <f>100*(AL10-AL9)/AL9</f>
        <v>8.1324520513599605</v>
      </c>
    </row>
    <row r="11" spans="1:39" x14ac:dyDescent="0.25">
      <c r="A11" s="180" t="s">
        <v>641</v>
      </c>
      <c r="C11" s="539">
        <f t="shared" ref="C11:L11" si="43">C9+C10</f>
        <v>950000000</v>
      </c>
      <c r="D11" s="539">
        <f t="shared" si="43"/>
        <v>1138102139.501312</v>
      </c>
      <c r="E11" s="539">
        <f t="shared" si="43"/>
        <v>1230657750.2917581</v>
      </c>
      <c r="F11" s="539">
        <f t="shared" si="43"/>
        <v>1285784198.2528527</v>
      </c>
      <c r="G11" s="539">
        <f t="shared" si="43"/>
        <v>1285784198.2528527</v>
      </c>
      <c r="H11" s="539">
        <f t="shared" si="43"/>
        <v>1285784198.2528527</v>
      </c>
      <c r="I11" s="539">
        <f t="shared" si="43"/>
        <v>1285784198.2528527</v>
      </c>
      <c r="J11" s="539">
        <f t="shared" si="43"/>
        <v>1285784198.2528527</v>
      </c>
      <c r="K11" s="539">
        <f t="shared" si="43"/>
        <v>1285784198.2528527</v>
      </c>
      <c r="L11" s="539">
        <f t="shared" si="43"/>
        <v>1285784198.2528527</v>
      </c>
      <c r="M11" s="539">
        <f t="shared" ref="M11:AF11" si="44">M9+M10</f>
        <v>1285784198.2528527</v>
      </c>
      <c r="N11" s="539">
        <f t="shared" si="44"/>
        <v>1285784198.2528527</v>
      </c>
      <c r="O11" s="539">
        <f t="shared" si="44"/>
        <v>1285784198.2528527</v>
      </c>
      <c r="P11" s="539">
        <f t="shared" si="44"/>
        <v>1285784198.2528527</v>
      </c>
      <c r="Q11" s="539">
        <f t="shared" si="44"/>
        <v>1285784198.2528527</v>
      </c>
      <c r="R11" s="539">
        <f t="shared" si="44"/>
        <v>1285784198.2528527</v>
      </c>
      <c r="S11" s="539">
        <f t="shared" si="44"/>
        <v>1285784198.2528527</v>
      </c>
      <c r="T11" s="539">
        <f t="shared" si="44"/>
        <v>1285784198.2528527</v>
      </c>
      <c r="U11" s="539">
        <f t="shared" si="44"/>
        <v>1285784198.2528527</v>
      </c>
      <c r="V11" s="539">
        <f t="shared" si="44"/>
        <v>1285784198.2528527</v>
      </c>
      <c r="W11" s="539">
        <f t="shared" si="44"/>
        <v>1285784198.2528527</v>
      </c>
      <c r="X11" s="539">
        <f t="shared" si="44"/>
        <v>1285784198.2528527</v>
      </c>
      <c r="Y11" s="539">
        <f t="shared" si="44"/>
        <v>1285784198.2528527</v>
      </c>
      <c r="Z11" s="539">
        <f t="shared" si="44"/>
        <v>1285784198.2528527</v>
      </c>
      <c r="AA11" s="539">
        <f t="shared" si="44"/>
        <v>1285784198.2528527</v>
      </c>
      <c r="AB11" s="539">
        <f t="shared" si="44"/>
        <v>1285784198.2528527</v>
      </c>
      <c r="AC11" s="539">
        <f t="shared" si="44"/>
        <v>1285784198.2528527</v>
      </c>
      <c r="AD11" s="539">
        <f t="shared" si="44"/>
        <v>1285784198.2528527</v>
      </c>
      <c r="AE11" s="539">
        <f t="shared" si="44"/>
        <v>1285784198.2528527</v>
      </c>
      <c r="AF11" s="539">
        <f t="shared" si="44"/>
        <v>1285784198.2528527</v>
      </c>
      <c r="AK11" s="417">
        <v>3</v>
      </c>
      <c r="AL11" s="364">
        <f>E24</f>
        <v>1285784198.2528527</v>
      </c>
      <c r="AM11" s="441">
        <f t="shared" ref="AM11:AM38" si="45">100*(AL11-AL10)/AL10</f>
        <v>4.4794296341144006</v>
      </c>
    </row>
    <row r="12" spans="1:39" x14ac:dyDescent="0.25">
      <c r="A12" s="194" t="s">
        <v>639</v>
      </c>
      <c r="B12" s="194"/>
      <c r="C12" s="364"/>
      <c r="D12" s="364"/>
      <c r="E12" s="364"/>
      <c r="F12" s="364"/>
      <c r="G12" s="364"/>
      <c r="H12" s="364"/>
      <c r="I12" s="364"/>
      <c r="J12" s="364"/>
      <c r="K12" s="364"/>
      <c r="L12" s="364"/>
      <c r="AK12" s="417">
        <v>4</v>
      </c>
      <c r="AL12" s="364">
        <f>F24</f>
        <v>1285784198.2528527</v>
      </c>
      <c r="AM12" s="441">
        <f t="shared" si="45"/>
        <v>0</v>
      </c>
    </row>
    <row r="13" spans="1:39" x14ac:dyDescent="0.25">
      <c r="A13" s="180" t="s">
        <v>643</v>
      </c>
      <c r="B13" s="194"/>
      <c r="C13" s="364"/>
      <c r="D13" s="364"/>
      <c r="E13" s="364"/>
      <c r="F13" s="364"/>
      <c r="G13" s="364"/>
      <c r="H13" s="364"/>
      <c r="I13" s="364"/>
      <c r="J13" s="364"/>
      <c r="K13" s="364"/>
      <c r="L13" s="364"/>
      <c r="AK13" s="417">
        <v>5</v>
      </c>
      <c r="AL13" s="364">
        <f>G24</f>
        <v>1285784198.2528527</v>
      </c>
      <c r="AM13" s="441">
        <f t="shared" si="45"/>
        <v>0</v>
      </c>
    </row>
    <row r="14" spans="1:39" x14ac:dyDescent="0.25">
      <c r="A14" s="180" t="s">
        <v>644</v>
      </c>
      <c r="C14" s="541">
        <v>0</v>
      </c>
      <c r="D14" s="541">
        <v>0</v>
      </c>
      <c r="E14" s="541">
        <v>0</v>
      </c>
      <c r="F14" s="541">
        <v>0</v>
      </c>
      <c r="G14" s="541">
        <v>0</v>
      </c>
      <c r="H14" s="541">
        <v>0</v>
      </c>
      <c r="I14" s="541">
        <v>0</v>
      </c>
      <c r="J14" s="541">
        <v>0</v>
      </c>
      <c r="K14" s="541">
        <v>0</v>
      </c>
      <c r="L14" s="541">
        <v>0</v>
      </c>
      <c r="M14" s="541">
        <v>0</v>
      </c>
      <c r="N14" s="541">
        <v>0</v>
      </c>
      <c r="O14" s="541">
        <v>0</v>
      </c>
      <c r="P14" s="541">
        <v>0</v>
      </c>
      <c r="Q14" s="541">
        <v>0</v>
      </c>
      <c r="R14" s="541">
        <v>0</v>
      </c>
      <c r="S14" s="541">
        <v>0</v>
      </c>
      <c r="T14" s="541">
        <v>0</v>
      </c>
      <c r="U14" s="541">
        <v>0</v>
      </c>
      <c r="V14" s="541">
        <v>0</v>
      </c>
      <c r="W14" s="541">
        <v>0</v>
      </c>
      <c r="X14" s="541">
        <v>0</v>
      </c>
      <c r="Y14" s="541">
        <v>0</v>
      </c>
      <c r="Z14" s="541">
        <v>0</v>
      </c>
      <c r="AA14" s="541">
        <v>0</v>
      </c>
      <c r="AB14" s="541">
        <v>0</v>
      </c>
      <c r="AC14" s="541">
        <v>0</v>
      </c>
      <c r="AD14" s="541">
        <v>0</v>
      </c>
      <c r="AE14" s="541">
        <v>0</v>
      </c>
      <c r="AF14" s="541">
        <v>0</v>
      </c>
      <c r="AK14" s="417">
        <v>6</v>
      </c>
      <c r="AL14" s="364">
        <f>H24</f>
        <v>1285784198.2528527</v>
      </c>
      <c r="AM14" s="441">
        <f t="shared" si="45"/>
        <v>0</v>
      </c>
    </row>
    <row r="15" spans="1:39" x14ac:dyDescent="0.25">
      <c r="A15" s="180" t="s">
        <v>648</v>
      </c>
      <c r="C15" s="538">
        <f>-1*$C$9*C27</f>
        <v>0</v>
      </c>
      <c r="D15" s="538">
        <f t="shared" ref="D15:L15" si="46">-1*$C$9*D27</f>
        <v>0</v>
      </c>
      <c r="E15" s="538">
        <f t="shared" si="46"/>
        <v>0</v>
      </c>
      <c r="F15" s="538">
        <f t="shared" si="46"/>
        <v>0</v>
      </c>
      <c r="G15" s="538">
        <f t="shared" si="46"/>
        <v>0</v>
      </c>
      <c r="H15" s="538">
        <f t="shared" si="46"/>
        <v>0</v>
      </c>
      <c r="I15" s="538">
        <f t="shared" si="46"/>
        <v>0</v>
      </c>
      <c r="J15" s="538">
        <f t="shared" si="46"/>
        <v>0</v>
      </c>
      <c r="K15" s="538">
        <f t="shared" si="46"/>
        <v>0</v>
      </c>
      <c r="L15" s="538">
        <f t="shared" si="46"/>
        <v>0</v>
      </c>
      <c r="M15" s="538">
        <f>-1*$C$9*M27</f>
        <v>0</v>
      </c>
      <c r="N15" s="538">
        <f t="shared" ref="N15:AF15" si="47">-1*$C$9*N27</f>
        <v>0</v>
      </c>
      <c r="O15" s="538">
        <f t="shared" si="47"/>
        <v>0</v>
      </c>
      <c r="P15" s="538">
        <f t="shared" si="47"/>
        <v>0</v>
      </c>
      <c r="Q15" s="538">
        <f t="shared" si="47"/>
        <v>0</v>
      </c>
      <c r="R15" s="538">
        <f t="shared" si="47"/>
        <v>0</v>
      </c>
      <c r="S15" s="538">
        <f t="shared" si="47"/>
        <v>0</v>
      </c>
      <c r="T15" s="538">
        <f t="shared" si="47"/>
        <v>0</v>
      </c>
      <c r="U15" s="538">
        <f t="shared" si="47"/>
        <v>0</v>
      </c>
      <c r="V15" s="538">
        <f t="shared" si="47"/>
        <v>0</v>
      </c>
      <c r="W15" s="538">
        <f t="shared" si="47"/>
        <v>0</v>
      </c>
      <c r="X15" s="538">
        <f t="shared" si="47"/>
        <v>0</v>
      </c>
      <c r="Y15" s="538">
        <f t="shared" si="47"/>
        <v>0</v>
      </c>
      <c r="Z15" s="538">
        <f t="shared" si="47"/>
        <v>0</v>
      </c>
      <c r="AA15" s="538">
        <f t="shared" si="47"/>
        <v>0</v>
      </c>
      <c r="AB15" s="538">
        <f t="shared" si="47"/>
        <v>0</v>
      </c>
      <c r="AC15" s="538">
        <f t="shared" si="47"/>
        <v>0</v>
      </c>
      <c r="AD15" s="538">
        <f t="shared" si="47"/>
        <v>0</v>
      </c>
      <c r="AE15" s="538">
        <f t="shared" si="47"/>
        <v>0</v>
      </c>
      <c r="AF15" s="538">
        <f t="shared" si="47"/>
        <v>0</v>
      </c>
      <c r="AK15" s="417">
        <v>7</v>
      </c>
      <c r="AL15" s="364">
        <f>I24</f>
        <v>1285784198.2528527</v>
      </c>
      <c r="AM15" s="441">
        <f t="shared" si="45"/>
        <v>0</v>
      </c>
    </row>
    <row r="16" spans="1:39" x14ac:dyDescent="0.25">
      <c r="A16" s="195" t="s">
        <v>649</v>
      </c>
      <c r="B16" s="194"/>
      <c r="C16" s="539">
        <f t="shared" ref="C16:L16" si="48">SUM(C14:C15)</f>
        <v>0</v>
      </c>
      <c r="D16" s="539">
        <f t="shared" si="48"/>
        <v>0</v>
      </c>
      <c r="E16" s="539">
        <f t="shared" si="48"/>
        <v>0</v>
      </c>
      <c r="F16" s="539">
        <f t="shared" si="48"/>
        <v>0</v>
      </c>
      <c r="G16" s="539">
        <f t="shared" si="48"/>
        <v>0</v>
      </c>
      <c r="H16" s="539">
        <f t="shared" si="48"/>
        <v>0</v>
      </c>
      <c r="I16" s="539">
        <f t="shared" si="48"/>
        <v>0</v>
      </c>
      <c r="J16" s="539">
        <f t="shared" si="48"/>
        <v>0</v>
      </c>
      <c r="K16" s="539">
        <f t="shared" si="48"/>
        <v>0</v>
      </c>
      <c r="L16" s="539">
        <f t="shared" si="48"/>
        <v>0</v>
      </c>
      <c r="M16" s="539">
        <f t="shared" ref="M16:AF16" si="49">SUM(M14:M15)</f>
        <v>0</v>
      </c>
      <c r="N16" s="539">
        <f t="shared" si="49"/>
        <v>0</v>
      </c>
      <c r="O16" s="539">
        <f t="shared" si="49"/>
        <v>0</v>
      </c>
      <c r="P16" s="539">
        <f t="shared" si="49"/>
        <v>0</v>
      </c>
      <c r="Q16" s="539">
        <f t="shared" si="49"/>
        <v>0</v>
      </c>
      <c r="R16" s="539">
        <f t="shared" si="49"/>
        <v>0</v>
      </c>
      <c r="S16" s="539">
        <f t="shared" si="49"/>
        <v>0</v>
      </c>
      <c r="T16" s="539">
        <f t="shared" si="49"/>
        <v>0</v>
      </c>
      <c r="U16" s="539">
        <f t="shared" si="49"/>
        <v>0</v>
      </c>
      <c r="V16" s="539">
        <f t="shared" si="49"/>
        <v>0</v>
      </c>
      <c r="W16" s="539">
        <f t="shared" si="49"/>
        <v>0</v>
      </c>
      <c r="X16" s="539">
        <f t="shared" si="49"/>
        <v>0</v>
      </c>
      <c r="Y16" s="539">
        <f t="shared" si="49"/>
        <v>0</v>
      </c>
      <c r="Z16" s="539">
        <f t="shared" si="49"/>
        <v>0</v>
      </c>
      <c r="AA16" s="539">
        <f t="shared" si="49"/>
        <v>0</v>
      </c>
      <c r="AB16" s="539">
        <f t="shared" si="49"/>
        <v>0</v>
      </c>
      <c r="AC16" s="539">
        <f t="shared" si="49"/>
        <v>0</v>
      </c>
      <c r="AD16" s="539">
        <f t="shared" si="49"/>
        <v>0</v>
      </c>
      <c r="AE16" s="539">
        <f t="shared" si="49"/>
        <v>0</v>
      </c>
      <c r="AF16" s="539">
        <f t="shared" si="49"/>
        <v>0</v>
      </c>
      <c r="AK16" s="417">
        <v>8</v>
      </c>
      <c r="AL16" s="364">
        <f>J24</f>
        <v>1285784198.2528527</v>
      </c>
      <c r="AM16" s="441">
        <f t="shared" si="45"/>
        <v>0</v>
      </c>
    </row>
    <row r="17" spans="1:39" x14ac:dyDescent="0.25">
      <c r="A17" s="180" t="s">
        <v>645</v>
      </c>
      <c r="B17" s="194"/>
      <c r="C17" s="364"/>
      <c r="D17" s="364"/>
      <c r="E17" s="364"/>
      <c r="F17" s="364"/>
      <c r="G17" s="364"/>
      <c r="H17" s="364"/>
      <c r="I17" s="364"/>
      <c r="J17" s="364"/>
      <c r="K17" s="364"/>
      <c r="L17" s="364"/>
      <c r="M17" s="364"/>
      <c r="N17" s="364"/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  <c r="AA17" s="364"/>
      <c r="AB17" s="364"/>
      <c r="AC17" s="364"/>
      <c r="AD17" s="364"/>
      <c r="AE17" s="364"/>
      <c r="AF17" s="364"/>
      <c r="AK17" s="417">
        <v>9</v>
      </c>
      <c r="AL17" s="364">
        <f>K24</f>
        <v>1285784198.2528527</v>
      </c>
      <c r="AM17" s="441">
        <f t="shared" si="45"/>
        <v>0</v>
      </c>
    </row>
    <row r="18" spans="1:39" x14ac:dyDescent="0.25">
      <c r="A18" s="180" t="s">
        <v>650</v>
      </c>
      <c r="C18" s="364">
        <f>IncomeStatement!C33</f>
        <v>627007131.6710397</v>
      </c>
      <c r="D18" s="364">
        <f>IncomeStatement!D33</f>
        <v>925556107.90446091</v>
      </c>
      <c r="E18" s="364">
        <f>IncomeStatement!E33</f>
        <v>1102528959.2218933</v>
      </c>
      <c r="F18" s="364">
        <f>IncomeStatement!F33</f>
        <v>1426621231.8963857</v>
      </c>
      <c r="G18" s="364">
        <f>IncomeStatement!G33</f>
        <v>1786743327.1408777</v>
      </c>
      <c r="H18" s="364">
        <f>IncomeStatement!H33</f>
        <v>2186527499.0718298</v>
      </c>
      <c r="I18" s="364">
        <f>IncomeStatement!I33</f>
        <v>2629965561.6343479</v>
      </c>
      <c r="J18" s="364">
        <f>IncomeStatement!J33</f>
        <v>2684748872.8670344</v>
      </c>
      <c r="K18" s="364">
        <f>IncomeStatement!K33</f>
        <v>2740627850.3243742</v>
      </c>
      <c r="L18" s="364">
        <f>IncomeStatement!L33</f>
        <v>2797624407.330863</v>
      </c>
      <c r="M18" s="364">
        <f>IncomeStatement!M33</f>
        <v>2902560895.4774809</v>
      </c>
      <c r="N18" s="364">
        <f>IncomeStatement!N33</f>
        <v>2961860113.3870296</v>
      </c>
      <c r="O18" s="364">
        <f>IncomeStatement!O33</f>
        <v>3022345315.6547709</v>
      </c>
      <c r="P18" s="364">
        <f>IncomeStatement!P33</f>
        <v>3084040221.9678669</v>
      </c>
      <c r="Q18" s="364">
        <f>IncomeStatement!Q33</f>
        <v>3146969026.4072227</v>
      </c>
      <c r="R18" s="364">
        <f>IncomeStatement!R33</f>
        <v>3211156406.9353676</v>
      </c>
      <c r="S18" s="364">
        <f>IncomeStatement!S33</f>
        <v>3276627535.0740743</v>
      </c>
      <c r="T18" s="364">
        <f>IncomeStatement!T33</f>
        <v>3343408085.7755556</v>
      </c>
      <c r="U18" s="364">
        <f>IncomeStatement!U33</f>
        <v>3411524247.4910688</v>
      </c>
      <c r="V18" s="364">
        <f>IncomeStatement!V33</f>
        <v>3481002732.4408903</v>
      </c>
      <c r="W18" s="364">
        <f>IncomeStatement!W33</f>
        <v>3551870787.0897083</v>
      </c>
      <c r="X18" s="364">
        <f>IncomeStatement!X33</f>
        <v>3624156202.831502</v>
      </c>
      <c r="Y18" s="364">
        <f>IncomeStatement!Y33</f>
        <v>3697887326.8881321</v>
      </c>
      <c r="Z18" s="364">
        <f>IncomeStatement!Z33</f>
        <v>3773093073.4258947</v>
      </c>
      <c r="AA18" s="364">
        <f>IncomeStatement!AA33</f>
        <v>3849802934.8944125</v>
      </c>
      <c r="AB18" s="364">
        <f>IncomeStatement!AB33</f>
        <v>3928046993.5923014</v>
      </c>
      <c r="AC18" s="364">
        <f>IncomeStatement!AC33</f>
        <v>4007855933.4641485</v>
      </c>
      <c r="AD18" s="364">
        <f>IncomeStatement!AD33</f>
        <v>4089261052.1334314</v>
      </c>
      <c r="AE18" s="364">
        <f>IncomeStatement!AE33</f>
        <v>4172294273.1760998</v>
      </c>
      <c r="AF18" s="364">
        <f>IncomeStatement!AF33</f>
        <v>4256988158.6396208</v>
      </c>
      <c r="AK18" s="417">
        <v>10</v>
      </c>
      <c r="AL18" s="364">
        <f>L24</f>
        <v>1285784198.2528527</v>
      </c>
      <c r="AM18" s="441">
        <f t="shared" si="45"/>
        <v>0</v>
      </c>
    </row>
    <row r="19" spans="1:39" x14ac:dyDescent="0.25">
      <c r="A19" s="180" t="s">
        <v>651</v>
      </c>
      <c r="C19" s="538">
        <f>-1*Dividen!L9</f>
        <v>-438904992.16972774</v>
      </c>
      <c r="D19" s="538">
        <f>-1*Dividen!L10</f>
        <v>-833000497.11401486</v>
      </c>
      <c r="E19" s="538">
        <f>-1*Dividen!L11</f>
        <v>-1047402511.2607986</v>
      </c>
      <c r="F19" s="538">
        <f>-1*Dividen!L12</f>
        <v>-1426621231.8963857</v>
      </c>
      <c r="G19" s="538">
        <f>-1*Dividen!L13</f>
        <v>-1786743327.1408777</v>
      </c>
      <c r="H19" s="538">
        <f>-1*Dividen!L14</f>
        <v>-2186527499.0718298</v>
      </c>
      <c r="I19" s="538">
        <f>-1*Dividen!L15</f>
        <v>-2629965561.6343479</v>
      </c>
      <c r="J19" s="538">
        <f>-1*Dividen!L16</f>
        <v>-2684748872.8670344</v>
      </c>
      <c r="K19" s="538">
        <f>-1*Dividen!L17</f>
        <v>-2740627850.3243742</v>
      </c>
      <c r="L19" s="538">
        <f>-1*Dividen!L18</f>
        <v>-2797624407.330863</v>
      </c>
      <c r="M19" s="538">
        <f>-1*Dividen!L19</f>
        <v>-2902560895.4774809</v>
      </c>
      <c r="N19" s="538">
        <f>-1*Dividen!L20</f>
        <v>-2961860113.3870296</v>
      </c>
      <c r="O19" s="538">
        <f>-1*Dividen!L21</f>
        <v>-3022345315.6547709</v>
      </c>
      <c r="P19" s="538">
        <f>-1*Dividen!L22</f>
        <v>-3084040221.9678669</v>
      </c>
      <c r="Q19" s="538">
        <f>-1*Dividen!L23</f>
        <v>-3146969026.4072227</v>
      </c>
      <c r="R19" s="538">
        <f>-1*Dividen!L24</f>
        <v>-3211156406.9353676</v>
      </c>
      <c r="S19" s="538">
        <f>-1*Dividen!L25</f>
        <v>-3276627535.0740743</v>
      </c>
      <c r="T19" s="538">
        <f>-1*Dividen!L26</f>
        <v>-3343408085.7755556</v>
      </c>
      <c r="U19" s="538">
        <f>-1*Dividen!L27</f>
        <v>-3411524247.4910688</v>
      </c>
      <c r="V19" s="538">
        <f>-1*Dividen!L28</f>
        <v>-3481002732.4408903</v>
      </c>
      <c r="W19" s="538">
        <f>-1*Dividen!L29</f>
        <v>-3551870787.0897083</v>
      </c>
      <c r="X19" s="538">
        <f>-1*Dividen!L30</f>
        <v>-3624156202.831502</v>
      </c>
      <c r="Y19" s="538">
        <f>-1*Dividen!L31</f>
        <v>-3697887326.8881321</v>
      </c>
      <c r="Z19" s="538">
        <f>-1*Dividen!L32</f>
        <v>-3773093073.4258947</v>
      </c>
      <c r="AA19" s="538">
        <f>-1*Dividen!L33</f>
        <v>-3849802934.8944125</v>
      </c>
      <c r="AB19" s="538">
        <f>-1*Dividen!L34</f>
        <v>-3928046993.5923014</v>
      </c>
      <c r="AC19" s="538">
        <f>-1*Dividen!L35</f>
        <v>-4007855933.4641485</v>
      </c>
      <c r="AD19" s="538">
        <f>-1*Dividen!L36</f>
        <v>-4089261052.1334314</v>
      </c>
      <c r="AE19" s="538">
        <f>-1*Dividen!L37</f>
        <v>-4172294273.1760998</v>
      </c>
      <c r="AF19" s="538">
        <f>-1*Dividen!L38</f>
        <v>-4256988158.6396208</v>
      </c>
      <c r="AK19" s="417">
        <v>11</v>
      </c>
      <c r="AL19" s="364">
        <f>M24</f>
        <v>1285784198.2528527</v>
      </c>
      <c r="AM19" s="441">
        <f t="shared" si="45"/>
        <v>0</v>
      </c>
    </row>
    <row r="20" spans="1:39" x14ac:dyDescent="0.25">
      <c r="A20" s="180" t="s">
        <v>652</v>
      </c>
      <c r="C20" s="539">
        <f>C18+C19</f>
        <v>188102139.50131196</v>
      </c>
      <c r="D20" s="539">
        <f t="shared" ref="D20:G20" si="50">D18+D19</f>
        <v>92555610.790446043</v>
      </c>
      <c r="E20" s="539">
        <f t="shared" si="50"/>
        <v>55126447.961094737</v>
      </c>
      <c r="F20" s="539">
        <f t="shared" si="50"/>
        <v>0</v>
      </c>
      <c r="G20" s="539">
        <f t="shared" si="50"/>
        <v>0</v>
      </c>
      <c r="H20" s="539">
        <f>H18+H19</f>
        <v>0</v>
      </c>
      <c r="I20" s="539">
        <f>I18+I19</f>
        <v>0</v>
      </c>
      <c r="J20" s="539">
        <f t="shared" ref="J20:O20" si="51">J18+J19</f>
        <v>0</v>
      </c>
      <c r="K20" s="539">
        <f t="shared" si="51"/>
        <v>0</v>
      </c>
      <c r="L20" s="539">
        <f t="shared" si="51"/>
        <v>0</v>
      </c>
      <c r="M20" s="539">
        <f t="shared" si="51"/>
        <v>0</v>
      </c>
      <c r="N20" s="539">
        <f t="shared" si="51"/>
        <v>0</v>
      </c>
      <c r="O20" s="539">
        <f t="shared" si="51"/>
        <v>0</v>
      </c>
      <c r="P20" s="539">
        <f t="shared" ref="P20:AF20" si="52">P18+P19</f>
        <v>0</v>
      </c>
      <c r="Q20" s="539">
        <f t="shared" si="52"/>
        <v>0</v>
      </c>
      <c r="R20" s="539">
        <f t="shared" si="52"/>
        <v>0</v>
      </c>
      <c r="S20" s="539">
        <f t="shared" si="52"/>
        <v>0</v>
      </c>
      <c r="T20" s="539">
        <f t="shared" si="52"/>
        <v>0</v>
      </c>
      <c r="U20" s="539">
        <f t="shared" si="52"/>
        <v>0</v>
      </c>
      <c r="V20" s="539">
        <f t="shared" si="52"/>
        <v>0</v>
      </c>
      <c r="W20" s="539">
        <f t="shared" si="52"/>
        <v>0</v>
      </c>
      <c r="X20" s="539">
        <f t="shared" si="52"/>
        <v>0</v>
      </c>
      <c r="Y20" s="539">
        <f t="shared" si="52"/>
        <v>0</v>
      </c>
      <c r="Z20" s="539">
        <f t="shared" si="52"/>
        <v>0</v>
      </c>
      <c r="AA20" s="539">
        <f t="shared" si="52"/>
        <v>0</v>
      </c>
      <c r="AB20" s="539">
        <f t="shared" si="52"/>
        <v>0</v>
      </c>
      <c r="AC20" s="539">
        <f t="shared" si="52"/>
        <v>0</v>
      </c>
      <c r="AD20" s="539">
        <f t="shared" si="52"/>
        <v>0</v>
      </c>
      <c r="AE20" s="539">
        <f t="shared" si="52"/>
        <v>0</v>
      </c>
      <c r="AF20" s="539">
        <f t="shared" si="52"/>
        <v>0</v>
      </c>
      <c r="AI20" s="542" t="s">
        <v>1006</v>
      </c>
      <c r="AK20" s="417">
        <v>12</v>
      </c>
      <c r="AL20" s="364">
        <f>N24</f>
        <v>1285784198.2528527</v>
      </c>
      <c r="AM20" s="441">
        <f t="shared" si="45"/>
        <v>0</v>
      </c>
    </row>
    <row r="21" spans="1:39" x14ac:dyDescent="0.25">
      <c r="A21" s="194" t="s">
        <v>608</v>
      </c>
      <c r="C21" s="364"/>
      <c r="D21" s="364"/>
      <c r="E21" s="364"/>
      <c r="F21" s="364"/>
      <c r="G21" s="364"/>
      <c r="H21" s="364"/>
      <c r="I21" s="364"/>
      <c r="J21" s="364"/>
      <c r="K21" s="364"/>
      <c r="L21" s="364"/>
      <c r="M21" s="364"/>
      <c r="N21" s="364"/>
      <c r="O21" s="364"/>
      <c r="P21" s="364"/>
      <c r="Q21" s="364"/>
      <c r="R21" s="364"/>
      <c r="S21" s="364"/>
      <c r="T21" s="364"/>
      <c r="U21" s="364"/>
      <c r="V21" s="364"/>
      <c r="W21" s="364"/>
      <c r="X21" s="364"/>
      <c r="Y21" s="364"/>
      <c r="Z21" s="364"/>
      <c r="AA21" s="364"/>
      <c r="AB21" s="364"/>
      <c r="AC21" s="364"/>
      <c r="AD21" s="364"/>
      <c r="AE21" s="364"/>
      <c r="AF21" s="364"/>
      <c r="AK21" s="417">
        <v>13</v>
      </c>
      <c r="AL21" s="364">
        <f>O24</f>
        <v>1285784198.2528527</v>
      </c>
      <c r="AM21" s="441">
        <f t="shared" si="45"/>
        <v>0</v>
      </c>
    </row>
    <row r="22" spans="1:39" x14ac:dyDescent="0.25">
      <c r="A22" s="180" t="s">
        <v>642</v>
      </c>
      <c r="C22" s="364">
        <f>C9+C16</f>
        <v>950000000</v>
      </c>
      <c r="D22" s="364">
        <f t="shared" ref="D22:K22" si="53">D9+D16</f>
        <v>950000000</v>
      </c>
      <c r="E22" s="364">
        <f t="shared" si="53"/>
        <v>950000000</v>
      </c>
      <c r="F22" s="364">
        <f t="shared" si="53"/>
        <v>950000000</v>
      </c>
      <c r="G22" s="364">
        <f t="shared" si="53"/>
        <v>950000000</v>
      </c>
      <c r="H22" s="364">
        <f t="shared" si="53"/>
        <v>950000000</v>
      </c>
      <c r="I22" s="364">
        <f t="shared" si="53"/>
        <v>950000000</v>
      </c>
      <c r="J22" s="364">
        <f t="shared" si="53"/>
        <v>950000000</v>
      </c>
      <c r="K22" s="364">
        <f t="shared" si="53"/>
        <v>950000000</v>
      </c>
      <c r="L22" s="364">
        <f>L9+L16</f>
        <v>950000000</v>
      </c>
      <c r="M22" s="364">
        <f>M9+M16</f>
        <v>950000000</v>
      </c>
      <c r="N22" s="364">
        <f t="shared" ref="N22:AF22" si="54">N9+N16</f>
        <v>950000000</v>
      </c>
      <c r="O22" s="364">
        <f t="shared" si="54"/>
        <v>950000000</v>
      </c>
      <c r="P22" s="364">
        <f t="shared" si="54"/>
        <v>950000000</v>
      </c>
      <c r="Q22" s="364">
        <f t="shared" si="54"/>
        <v>950000000</v>
      </c>
      <c r="R22" s="364">
        <f t="shared" si="54"/>
        <v>950000000</v>
      </c>
      <c r="S22" s="364">
        <f t="shared" si="54"/>
        <v>950000000</v>
      </c>
      <c r="T22" s="364">
        <f t="shared" si="54"/>
        <v>950000000</v>
      </c>
      <c r="U22" s="364">
        <f t="shared" si="54"/>
        <v>950000000</v>
      </c>
      <c r="V22" s="364">
        <f t="shared" si="54"/>
        <v>950000000</v>
      </c>
      <c r="W22" s="364">
        <f t="shared" si="54"/>
        <v>950000000</v>
      </c>
      <c r="X22" s="364">
        <f t="shared" si="54"/>
        <v>950000000</v>
      </c>
      <c r="Y22" s="364">
        <f t="shared" si="54"/>
        <v>950000000</v>
      </c>
      <c r="Z22" s="364">
        <f t="shared" si="54"/>
        <v>950000000</v>
      </c>
      <c r="AA22" s="364">
        <f t="shared" si="54"/>
        <v>950000000</v>
      </c>
      <c r="AB22" s="364">
        <f t="shared" si="54"/>
        <v>950000000</v>
      </c>
      <c r="AC22" s="364">
        <f t="shared" si="54"/>
        <v>950000000</v>
      </c>
      <c r="AD22" s="364">
        <f t="shared" si="54"/>
        <v>950000000</v>
      </c>
      <c r="AE22" s="364">
        <f t="shared" si="54"/>
        <v>950000000</v>
      </c>
      <c r="AF22" s="364">
        <f t="shared" si="54"/>
        <v>950000000</v>
      </c>
      <c r="AK22" s="417">
        <v>14</v>
      </c>
      <c r="AL22" s="364">
        <f>P24</f>
        <v>1285784198.2528527</v>
      </c>
      <c r="AM22" s="441">
        <f t="shared" si="45"/>
        <v>0</v>
      </c>
    </row>
    <row r="23" spans="1:39" x14ac:dyDescent="0.25">
      <c r="A23" s="180" t="s">
        <v>646</v>
      </c>
      <c r="C23" s="538">
        <f>C10+C20</f>
        <v>188102139.50131196</v>
      </c>
      <c r="D23" s="538">
        <f>D10+D20</f>
        <v>280657750.291758</v>
      </c>
      <c r="E23" s="538">
        <f t="shared" ref="E23:L23" si="55">E10+E20</f>
        <v>335784198.25285274</v>
      </c>
      <c r="F23" s="538">
        <f t="shared" si="55"/>
        <v>335784198.25285274</v>
      </c>
      <c r="G23" s="538">
        <f t="shared" si="55"/>
        <v>335784198.25285274</v>
      </c>
      <c r="H23" s="538">
        <f t="shared" si="55"/>
        <v>335784198.25285274</v>
      </c>
      <c r="I23" s="538">
        <f t="shared" si="55"/>
        <v>335784198.25285274</v>
      </c>
      <c r="J23" s="538">
        <f t="shared" si="55"/>
        <v>335784198.25285274</v>
      </c>
      <c r="K23" s="538">
        <f t="shared" si="55"/>
        <v>335784198.25285274</v>
      </c>
      <c r="L23" s="538">
        <f t="shared" si="55"/>
        <v>335784198.25285274</v>
      </c>
      <c r="M23" s="538">
        <f t="shared" ref="M23:AF23" si="56">M10+M20</f>
        <v>335784198.25285274</v>
      </c>
      <c r="N23" s="538">
        <f t="shared" si="56"/>
        <v>335784198.25285274</v>
      </c>
      <c r="O23" s="538">
        <f t="shared" si="56"/>
        <v>335784198.25285274</v>
      </c>
      <c r="P23" s="538">
        <f t="shared" si="56"/>
        <v>335784198.25285274</v>
      </c>
      <c r="Q23" s="538">
        <f t="shared" si="56"/>
        <v>335784198.25285274</v>
      </c>
      <c r="R23" s="538">
        <f t="shared" si="56"/>
        <v>335784198.25285274</v>
      </c>
      <c r="S23" s="538">
        <f t="shared" si="56"/>
        <v>335784198.25285274</v>
      </c>
      <c r="T23" s="538">
        <f t="shared" si="56"/>
        <v>335784198.25285274</v>
      </c>
      <c r="U23" s="538">
        <f t="shared" si="56"/>
        <v>335784198.25285274</v>
      </c>
      <c r="V23" s="538">
        <f t="shared" si="56"/>
        <v>335784198.25285274</v>
      </c>
      <c r="W23" s="538">
        <f t="shared" si="56"/>
        <v>335784198.25285274</v>
      </c>
      <c r="X23" s="538">
        <f t="shared" si="56"/>
        <v>335784198.25285274</v>
      </c>
      <c r="Y23" s="538">
        <f t="shared" si="56"/>
        <v>335784198.25285274</v>
      </c>
      <c r="Z23" s="538">
        <f t="shared" si="56"/>
        <v>335784198.25285274</v>
      </c>
      <c r="AA23" s="538">
        <f t="shared" si="56"/>
        <v>335784198.25285274</v>
      </c>
      <c r="AB23" s="538">
        <f t="shared" si="56"/>
        <v>335784198.25285274</v>
      </c>
      <c r="AC23" s="538">
        <f t="shared" si="56"/>
        <v>335784198.25285274</v>
      </c>
      <c r="AD23" s="538">
        <f t="shared" si="56"/>
        <v>335784198.25285274</v>
      </c>
      <c r="AE23" s="538">
        <f t="shared" si="56"/>
        <v>335784198.25285274</v>
      </c>
      <c r="AF23" s="538">
        <f t="shared" si="56"/>
        <v>335784198.25285274</v>
      </c>
      <c r="AK23" s="417">
        <v>15</v>
      </c>
      <c r="AL23" s="364">
        <f>Q24</f>
        <v>1285784198.2528527</v>
      </c>
      <c r="AM23" s="441">
        <f t="shared" si="45"/>
        <v>0</v>
      </c>
    </row>
    <row r="24" spans="1:39" x14ac:dyDescent="0.25">
      <c r="A24" s="180" t="s">
        <v>647</v>
      </c>
      <c r="C24" s="539">
        <f>C22+C23</f>
        <v>1138102139.501312</v>
      </c>
      <c r="D24" s="539">
        <f>D22+D23</f>
        <v>1230657750.2917581</v>
      </c>
      <c r="E24" s="539">
        <f>E22+E23</f>
        <v>1285784198.2528527</v>
      </c>
      <c r="F24" s="539">
        <f t="shared" ref="F24:L24" si="57">F22+F23</f>
        <v>1285784198.2528527</v>
      </c>
      <c r="G24" s="539">
        <f t="shared" si="57"/>
        <v>1285784198.2528527</v>
      </c>
      <c r="H24" s="539">
        <f>H22+H23</f>
        <v>1285784198.2528527</v>
      </c>
      <c r="I24" s="539">
        <f>I22+I23</f>
        <v>1285784198.2528527</v>
      </c>
      <c r="J24" s="539">
        <f t="shared" si="57"/>
        <v>1285784198.2528527</v>
      </c>
      <c r="K24" s="539">
        <f>K22+K23</f>
        <v>1285784198.2528527</v>
      </c>
      <c r="L24" s="539">
        <f t="shared" si="57"/>
        <v>1285784198.2528527</v>
      </c>
      <c r="M24" s="539">
        <f t="shared" ref="M24:AF24" si="58">M22+M23</f>
        <v>1285784198.2528527</v>
      </c>
      <c r="N24" s="539">
        <f t="shared" si="58"/>
        <v>1285784198.2528527</v>
      </c>
      <c r="O24" s="539">
        <f t="shared" si="58"/>
        <v>1285784198.2528527</v>
      </c>
      <c r="P24" s="539">
        <f t="shared" si="58"/>
        <v>1285784198.2528527</v>
      </c>
      <c r="Q24" s="539">
        <f t="shared" si="58"/>
        <v>1285784198.2528527</v>
      </c>
      <c r="R24" s="539">
        <f t="shared" si="58"/>
        <v>1285784198.2528527</v>
      </c>
      <c r="S24" s="539">
        <f t="shared" si="58"/>
        <v>1285784198.2528527</v>
      </c>
      <c r="T24" s="539">
        <f t="shared" si="58"/>
        <v>1285784198.2528527</v>
      </c>
      <c r="U24" s="539">
        <f t="shared" si="58"/>
        <v>1285784198.2528527</v>
      </c>
      <c r="V24" s="539">
        <f t="shared" si="58"/>
        <v>1285784198.2528527</v>
      </c>
      <c r="W24" s="539">
        <f t="shared" si="58"/>
        <v>1285784198.2528527</v>
      </c>
      <c r="X24" s="539">
        <f t="shared" si="58"/>
        <v>1285784198.2528527</v>
      </c>
      <c r="Y24" s="539">
        <f t="shared" si="58"/>
        <v>1285784198.2528527</v>
      </c>
      <c r="Z24" s="539">
        <f t="shared" si="58"/>
        <v>1285784198.2528527</v>
      </c>
      <c r="AA24" s="539">
        <f t="shared" si="58"/>
        <v>1285784198.2528527</v>
      </c>
      <c r="AB24" s="539">
        <f t="shared" si="58"/>
        <v>1285784198.2528527</v>
      </c>
      <c r="AC24" s="539">
        <f t="shared" si="58"/>
        <v>1285784198.2528527</v>
      </c>
      <c r="AD24" s="539">
        <f t="shared" si="58"/>
        <v>1285784198.2528527</v>
      </c>
      <c r="AE24" s="539">
        <f t="shared" si="58"/>
        <v>1285784198.2528527</v>
      </c>
      <c r="AF24" s="539">
        <f t="shared" si="58"/>
        <v>1285784198.2528527</v>
      </c>
      <c r="AK24" s="417">
        <v>16</v>
      </c>
      <c r="AL24" s="364">
        <f>R24</f>
        <v>1285784198.2528527</v>
      </c>
      <c r="AM24" s="441">
        <f t="shared" si="45"/>
        <v>0</v>
      </c>
    </row>
    <row r="25" spans="1:39" x14ac:dyDescent="0.25">
      <c r="A25" s="359"/>
      <c r="B25" s="359"/>
      <c r="C25" s="550"/>
      <c r="D25" s="550"/>
      <c r="E25" s="550"/>
      <c r="F25" s="550"/>
      <c r="G25" s="550"/>
      <c r="H25" s="550"/>
      <c r="I25" s="550"/>
      <c r="J25" s="550"/>
      <c r="K25" s="550"/>
      <c r="L25" s="550"/>
      <c r="M25" s="550"/>
      <c r="N25" s="550"/>
      <c r="O25" s="550"/>
      <c r="P25" s="550"/>
      <c r="Q25" s="550"/>
      <c r="R25" s="550"/>
      <c r="S25" s="550"/>
      <c r="T25" s="550"/>
      <c r="U25" s="550"/>
      <c r="V25" s="550"/>
      <c r="W25" s="550"/>
      <c r="X25" s="550"/>
      <c r="Y25" s="550"/>
      <c r="Z25" s="550"/>
      <c r="AA25" s="550"/>
      <c r="AB25" s="550"/>
      <c r="AC25" s="550"/>
      <c r="AD25" s="550"/>
      <c r="AE25" s="550"/>
      <c r="AF25" s="550"/>
      <c r="AK25" s="417">
        <v>17</v>
      </c>
      <c r="AL25" s="364">
        <f>S24</f>
        <v>1285784198.2528527</v>
      </c>
      <c r="AM25" s="441">
        <f t="shared" si="45"/>
        <v>0</v>
      </c>
    </row>
    <row r="26" spans="1:39" x14ac:dyDescent="0.25">
      <c r="A26" s="194" t="s">
        <v>640</v>
      </c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K26" s="417">
        <v>18</v>
      </c>
      <c r="AL26" s="364">
        <f>T24</f>
        <v>1285784198.2528527</v>
      </c>
      <c r="AM26" s="441">
        <f t="shared" si="45"/>
        <v>0</v>
      </c>
    </row>
    <row r="27" spans="1:39" x14ac:dyDescent="0.25">
      <c r="A27" s="195" t="s">
        <v>1008</v>
      </c>
      <c r="B27" s="195"/>
      <c r="C27" s="358">
        <v>0</v>
      </c>
      <c r="D27" s="358">
        <v>0</v>
      </c>
      <c r="E27" s="358">
        <v>0</v>
      </c>
      <c r="F27" s="358">
        <v>0</v>
      </c>
      <c r="G27" s="358">
        <v>0</v>
      </c>
      <c r="H27" s="358">
        <v>0</v>
      </c>
      <c r="I27" s="358">
        <v>0</v>
      </c>
      <c r="J27" s="358">
        <v>0</v>
      </c>
      <c r="K27" s="358">
        <v>0</v>
      </c>
      <c r="L27" s="358">
        <v>0</v>
      </c>
      <c r="M27" s="358">
        <v>0</v>
      </c>
      <c r="N27" s="358">
        <v>0</v>
      </c>
      <c r="O27" s="358">
        <v>0</v>
      </c>
      <c r="P27" s="358">
        <v>0</v>
      </c>
      <c r="Q27" s="358">
        <v>0</v>
      </c>
      <c r="R27" s="358">
        <v>0</v>
      </c>
      <c r="S27" s="358">
        <v>0</v>
      </c>
      <c r="T27" s="358">
        <v>0</v>
      </c>
      <c r="U27" s="358">
        <v>0</v>
      </c>
      <c r="V27" s="358">
        <v>0</v>
      </c>
      <c r="W27" s="358">
        <v>0</v>
      </c>
      <c r="X27" s="358">
        <v>0</v>
      </c>
      <c r="Y27" s="358">
        <v>0</v>
      </c>
      <c r="Z27" s="358">
        <v>0</v>
      </c>
      <c r="AA27" s="358">
        <v>0</v>
      </c>
      <c r="AB27" s="358">
        <v>0</v>
      </c>
      <c r="AC27" s="358">
        <v>0</v>
      </c>
      <c r="AD27" s="358">
        <v>0</v>
      </c>
      <c r="AE27" s="358">
        <v>0</v>
      </c>
      <c r="AF27" s="358">
        <v>0</v>
      </c>
      <c r="AG27" s="358"/>
      <c r="AK27" s="417">
        <v>19</v>
      </c>
      <c r="AL27" s="364">
        <f>U24</f>
        <v>1285784198.2528527</v>
      </c>
      <c r="AM27" s="441">
        <f t="shared" si="45"/>
        <v>0</v>
      </c>
    </row>
    <row r="28" spans="1:39" x14ac:dyDescent="0.25">
      <c r="AK28" s="417">
        <v>20</v>
      </c>
      <c r="AL28" s="364">
        <f>V24</f>
        <v>1285784198.2528527</v>
      </c>
      <c r="AM28" s="441">
        <f t="shared" si="45"/>
        <v>0</v>
      </c>
    </row>
    <row r="29" spans="1:39" x14ac:dyDescent="0.25">
      <c r="C29" s="360"/>
      <c r="D29" s="187"/>
      <c r="AK29" s="417">
        <v>21</v>
      </c>
      <c r="AL29" s="364">
        <f>W24</f>
        <v>1285784198.2528527</v>
      </c>
      <c r="AM29" s="441">
        <f t="shared" si="45"/>
        <v>0</v>
      </c>
    </row>
    <row r="30" spans="1:39" x14ac:dyDescent="0.25">
      <c r="C30" s="360"/>
      <c r="D30" s="187"/>
      <c r="AK30" s="417">
        <v>22</v>
      </c>
      <c r="AL30" s="364">
        <f>X24</f>
        <v>1285784198.2528527</v>
      </c>
      <c r="AM30" s="441">
        <f t="shared" si="45"/>
        <v>0</v>
      </c>
    </row>
    <row r="31" spans="1:39" x14ac:dyDescent="0.25">
      <c r="C31" s="191"/>
      <c r="AK31" s="417">
        <v>23</v>
      </c>
      <c r="AL31" s="364">
        <f>Y24</f>
        <v>1285784198.2528527</v>
      </c>
      <c r="AM31" s="441">
        <f t="shared" si="45"/>
        <v>0</v>
      </c>
    </row>
    <row r="32" spans="1:39" x14ac:dyDescent="0.25">
      <c r="AK32" s="417">
        <v>24</v>
      </c>
      <c r="AL32" s="364">
        <f>Z24</f>
        <v>1285784198.2528527</v>
      </c>
      <c r="AM32" s="441">
        <f t="shared" si="45"/>
        <v>0</v>
      </c>
    </row>
    <row r="33" spans="37:39" x14ac:dyDescent="0.25">
      <c r="AK33" s="417">
        <v>25</v>
      </c>
      <c r="AL33" s="364">
        <f>AA24</f>
        <v>1285784198.2528527</v>
      </c>
      <c r="AM33" s="441">
        <f t="shared" si="45"/>
        <v>0</v>
      </c>
    </row>
    <row r="34" spans="37:39" x14ac:dyDescent="0.25">
      <c r="AK34" s="417">
        <v>26</v>
      </c>
      <c r="AL34" s="364">
        <f>AB24</f>
        <v>1285784198.2528527</v>
      </c>
      <c r="AM34" s="441">
        <f t="shared" si="45"/>
        <v>0</v>
      </c>
    </row>
    <row r="35" spans="37:39" x14ac:dyDescent="0.25">
      <c r="AK35" s="417">
        <v>27</v>
      </c>
      <c r="AL35" s="364">
        <f>AC24</f>
        <v>1285784198.2528527</v>
      </c>
      <c r="AM35" s="441">
        <f t="shared" si="45"/>
        <v>0</v>
      </c>
    </row>
    <row r="36" spans="37:39" x14ac:dyDescent="0.25">
      <c r="AK36" s="417">
        <v>28</v>
      </c>
      <c r="AL36" s="364">
        <f>AD24</f>
        <v>1285784198.2528527</v>
      </c>
      <c r="AM36" s="441">
        <f t="shared" si="45"/>
        <v>0</v>
      </c>
    </row>
    <row r="37" spans="37:39" x14ac:dyDescent="0.25">
      <c r="AK37" s="417">
        <v>29</v>
      </c>
      <c r="AL37" s="364">
        <f>AE24</f>
        <v>1285784198.2528527</v>
      </c>
      <c r="AM37" s="441">
        <f t="shared" si="45"/>
        <v>0</v>
      </c>
    </row>
    <row r="38" spans="37:39" x14ac:dyDescent="0.25">
      <c r="AK38" s="417">
        <v>30</v>
      </c>
      <c r="AL38" s="364">
        <f>AF24</f>
        <v>1285784198.2528527</v>
      </c>
      <c r="AM38" s="441">
        <f t="shared" si="45"/>
        <v>0</v>
      </c>
    </row>
    <row r="39" spans="37:39" x14ac:dyDescent="0.25">
      <c r="AK39" s="192"/>
      <c r="AL39" s="192"/>
      <c r="AM39" s="192"/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Q54"/>
  <sheetViews>
    <sheetView showGridLines="0" zoomScaleNormal="100" workbookViewId="0">
      <pane ySplit="7" topLeftCell="A8" activePane="bottomLeft" state="frozen"/>
      <selection pane="bottomLeft" activeCell="I8" sqref="I8"/>
    </sheetView>
  </sheetViews>
  <sheetFormatPr defaultColWidth="9.125" defaultRowHeight="11.25" x14ac:dyDescent="0.25"/>
  <cols>
    <col min="1" max="1" width="2.875" style="271" customWidth="1"/>
    <col min="2" max="2" width="18.875" style="271" customWidth="1"/>
    <col min="3" max="3" width="9.25" style="271" customWidth="1"/>
    <col min="4" max="4" width="10.625" style="271" customWidth="1"/>
    <col min="5" max="5" width="5.625" style="271" customWidth="1"/>
    <col min="6" max="6" width="6.625" style="271" bestFit="1" customWidth="1"/>
    <col min="7" max="8" width="8.5" style="271" customWidth="1"/>
    <col min="9" max="9" width="11.5" style="271" customWidth="1"/>
    <col min="10" max="10" width="5.625" style="271" customWidth="1"/>
    <col min="11" max="13" width="10.25" style="271" bestFit="1" customWidth="1"/>
    <col min="14" max="14" width="11.375" style="271" bestFit="1" customWidth="1"/>
    <col min="15" max="17" width="10.25" style="280" bestFit="1" customWidth="1"/>
    <col min="18" max="16384" width="9.125" style="271"/>
  </cols>
  <sheetData>
    <row r="1" spans="1:9" x14ac:dyDescent="0.2">
      <c r="A1" s="279" t="str">
        <f>Assumption!A1</f>
        <v>Bisnis Penyewaan INTEGRATED COLD STORAGE - Revitalitation</v>
      </c>
      <c r="C1" s="279"/>
    </row>
    <row r="2" spans="1:9" x14ac:dyDescent="0.2">
      <c r="A2" s="279" t="str">
        <f>Assumption!A2</f>
        <v>Financial Pre-Feasibility Study</v>
      </c>
      <c r="C2" s="279"/>
    </row>
    <row r="3" spans="1:9" x14ac:dyDescent="0.25">
      <c r="A3" s="281" t="s">
        <v>752</v>
      </c>
      <c r="C3" s="281"/>
    </row>
    <row r="6" spans="1:9" ht="36" customHeight="1" x14ac:dyDescent="0.25">
      <c r="A6" s="260" t="s">
        <v>567</v>
      </c>
      <c r="B6" s="260"/>
      <c r="C6" s="260"/>
      <c r="D6" s="261"/>
      <c r="F6" s="695" t="s">
        <v>542</v>
      </c>
      <c r="G6" s="236" t="s">
        <v>962</v>
      </c>
      <c r="H6" s="236" t="s">
        <v>824</v>
      </c>
      <c r="I6" s="236" t="s">
        <v>783</v>
      </c>
    </row>
    <row r="7" spans="1:9" x14ac:dyDescent="0.25">
      <c r="A7" s="283"/>
      <c r="B7" s="283"/>
      <c r="C7" s="283"/>
      <c r="D7" s="284"/>
      <c r="F7" s="695"/>
      <c r="G7" s="530" t="s">
        <v>691</v>
      </c>
      <c r="H7" s="530" t="s">
        <v>371</v>
      </c>
      <c r="I7" s="530" t="s">
        <v>387</v>
      </c>
    </row>
    <row r="8" spans="1:9" x14ac:dyDescent="0.25">
      <c r="A8" s="271" t="s">
        <v>148</v>
      </c>
      <c r="B8" s="271" t="s">
        <v>1063</v>
      </c>
      <c r="C8" s="286">
        <f>Assumption!B10</f>
        <v>1560000</v>
      </c>
      <c r="D8" s="271" t="s">
        <v>691</v>
      </c>
      <c r="F8" s="287">
        <v>1</v>
      </c>
      <c r="G8" s="166">
        <f t="shared" ref="G8:G17" si="0">C8</f>
        <v>1560000</v>
      </c>
      <c r="H8" s="166">
        <f>C21</f>
        <v>2600</v>
      </c>
      <c r="I8" s="165">
        <f>G8*H8</f>
        <v>4056000000</v>
      </c>
    </row>
    <row r="9" spans="1:9" x14ac:dyDescent="0.25">
      <c r="B9" s="271" t="s">
        <v>1064</v>
      </c>
      <c r="C9" s="594">
        <f>C8*(1+$C$23%)</f>
        <v>1680120</v>
      </c>
      <c r="D9" s="271" t="s">
        <v>691</v>
      </c>
      <c r="F9" s="287">
        <f>F8+1</f>
        <v>2</v>
      </c>
      <c r="G9" s="166">
        <f>C9</f>
        <v>1680120</v>
      </c>
      <c r="H9" s="166">
        <f t="shared" ref="H9:H37" si="1">H8*(1+$C$22%)</f>
        <v>2652</v>
      </c>
      <c r="I9" s="165">
        <f>G9*H9</f>
        <v>4455678240</v>
      </c>
    </row>
    <row r="10" spans="1:9" x14ac:dyDescent="0.25">
      <c r="B10" s="271" t="s">
        <v>1065</v>
      </c>
      <c r="C10" s="594">
        <f t="shared" ref="C10:C14" si="2">C9*(1+$C$23%)</f>
        <v>1809489.24</v>
      </c>
      <c r="D10" s="271" t="s">
        <v>691</v>
      </c>
      <c r="E10" s="289"/>
      <c r="F10" s="287">
        <f t="shared" ref="F10:F37" si="3">F9+1</f>
        <v>3</v>
      </c>
      <c r="G10" s="166">
        <f t="shared" si="0"/>
        <v>1809489.24</v>
      </c>
      <c r="H10" s="166">
        <f t="shared" si="1"/>
        <v>2705.04</v>
      </c>
      <c r="I10" s="165">
        <f t="shared" ref="I10:I17" si="4">G10*H10</f>
        <v>4894740773.7695999</v>
      </c>
    </row>
    <row r="11" spans="1:9" x14ac:dyDescent="0.25">
      <c r="B11" s="271" t="s">
        <v>1066</v>
      </c>
      <c r="C11" s="594">
        <f t="shared" si="2"/>
        <v>1948819.91148</v>
      </c>
      <c r="D11" s="271" t="s">
        <v>691</v>
      </c>
      <c r="E11" s="289"/>
      <c r="F11" s="287">
        <f t="shared" si="3"/>
        <v>4</v>
      </c>
      <c r="G11" s="166">
        <f t="shared" si="0"/>
        <v>1948819.91148</v>
      </c>
      <c r="H11" s="166">
        <f t="shared" si="1"/>
        <v>2759.1408000000001</v>
      </c>
      <c r="I11" s="165">
        <f t="shared" si="4"/>
        <v>5377068529.6168566</v>
      </c>
    </row>
    <row r="12" spans="1:9" x14ac:dyDescent="0.25">
      <c r="B12" s="271" t="s">
        <v>1067</v>
      </c>
      <c r="C12" s="594">
        <f t="shared" si="2"/>
        <v>2098879.0446639601</v>
      </c>
      <c r="D12" s="271" t="s">
        <v>691</v>
      </c>
      <c r="E12" s="289"/>
      <c r="F12" s="287">
        <f t="shared" si="3"/>
        <v>5</v>
      </c>
      <c r="G12" s="166">
        <f t="shared" si="0"/>
        <v>2098879.0446639601</v>
      </c>
      <c r="H12" s="166">
        <f t="shared" si="1"/>
        <v>2814.3236160000001</v>
      </c>
      <c r="I12" s="165">
        <f t="shared" si="4"/>
        <v>5906924862.5253019</v>
      </c>
    </row>
    <row r="13" spans="1:9" x14ac:dyDescent="0.25">
      <c r="B13" s="271" t="s">
        <v>1068</v>
      </c>
      <c r="C13" s="594">
        <f t="shared" si="2"/>
        <v>2260492.731103085</v>
      </c>
      <c r="D13" s="271" t="s">
        <v>691</v>
      </c>
      <c r="E13" s="289"/>
      <c r="F13" s="287">
        <f t="shared" si="3"/>
        <v>6</v>
      </c>
      <c r="G13" s="166">
        <f t="shared" si="0"/>
        <v>2260492.731103085</v>
      </c>
      <c r="H13" s="166">
        <f t="shared" si="1"/>
        <v>2870.6100883200002</v>
      </c>
      <c r="I13" s="165">
        <f t="shared" si="4"/>
        <v>6488993238.4785452</v>
      </c>
    </row>
    <row r="14" spans="1:9" x14ac:dyDescent="0.25">
      <c r="B14" s="271" t="s">
        <v>1069</v>
      </c>
      <c r="C14" s="594">
        <f t="shared" si="2"/>
        <v>2434550.6713980222</v>
      </c>
      <c r="D14" s="271" t="s">
        <v>691</v>
      </c>
      <c r="E14" s="289"/>
      <c r="F14" s="287">
        <f t="shared" si="3"/>
        <v>7</v>
      </c>
      <c r="G14" s="166">
        <f t="shared" si="0"/>
        <v>2434550.6713980222</v>
      </c>
      <c r="H14" s="166">
        <f t="shared" si="1"/>
        <v>2928.0222900864001</v>
      </c>
      <c r="I14" s="165">
        <f t="shared" si="4"/>
        <v>7128418632.1982203</v>
      </c>
    </row>
    <row r="15" spans="1:9" x14ac:dyDescent="0.25">
      <c r="B15" s="271" t="s">
        <v>1070</v>
      </c>
      <c r="C15" s="594">
        <f>C14</f>
        <v>2434550.6713980222</v>
      </c>
      <c r="D15" s="271" t="s">
        <v>691</v>
      </c>
      <c r="E15" s="289"/>
      <c r="F15" s="287">
        <f t="shared" si="3"/>
        <v>8</v>
      </c>
      <c r="G15" s="166">
        <f t="shared" si="0"/>
        <v>2434550.6713980222</v>
      </c>
      <c r="H15" s="166">
        <f t="shared" si="1"/>
        <v>2986.5827358881279</v>
      </c>
      <c r="I15" s="165">
        <f t="shared" si="4"/>
        <v>7270987004.8421841</v>
      </c>
    </row>
    <row r="16" spans="1:9" x14ac:dyDescent="0.25">
      <c r="B16" s="271" t="s">
        <v>1071</v>
      </c>
      <c r="C16" s="594">
        <f>C15</f>
        <v>2434550.6713980222</v>
      </c>
      <c r="D16" s="271" t="s">
        <v>691</v>
      </c>
      <c r="E16" s="289"/>
      <c r="F16" s="287">
        <f t="shared" si="3"/>
        <v>9</v>
      </c>
      <c r="G16" s="166">
        <f t="shared" si="0"/>
        <v>2434550.6713980222</v>
      </c>
      <c r="H16" s="166">
        <f t="shared" si="1"/>
        <v>3046.3143906058904</v>
      </c>
      <c r="I16" s="165">
        <f t="shared" si="4"/>
        <v>7416406744.9390268</v>
      </c>
    </row>
    <row r="17" spans="1:13" x14ac:dyDescent="0.25">
      <c r="B17" s="271" t="s">
        <v>1072</v>
      </c>
      <c r="C17" s="594">
        <f>C16</f>
        <v>2434550.6713980222</v>
      </c>
      <c r="D17" s="271" t="s">
        <v>691</v>
      </c>
      <c r="E17" s="289"/>
      <c r="F17" s="287">
        <f t="shared" si="3"/>
        <v>10</v>
      </c>
      <c r="G17" s="166">
        <f t="shared" si="0"/>
        <v>2434550.6713980222</v>
      </c>
      <c r="H17" s="166">
        <f t="shared" si="1"/>
        <v>3107.2406784180084</v>
      </c>
      <c r="I17" s="165">
        <f t="shared" si="4"/>
        <v>7564734879.8378086</v>
      </c>
    </row>
    <row r="18" spans="1:13" x14ac:dyDescent="0.25">
      <c r="A18" s="290"/>
      <c r="B18" s="290"/>
      <c r="C18" s="290"/>
      <c r="D18" s="290"/>
      <c r="E18" s="289"/>
      <c r="F18" s="287">
        <f t="shared" si="3"/>
        <v>11</v>
      </c>
      <c r="G18" s="166">
        <f>G17</f>
        <v>2434550.6713980222</v>
      </c>
      <c r="H18" s="166">
        <f>H17*(1+$C$22%)</f>
        <v>3169.3854919863688</v>
      </c>
      <c r="I18" s="165">
        <f t="shared" ref="I18:I37" si="5">G18*H18</f>
        <v>7716029577.4345655</v>
      </c>
    </row>
    <row r="19" spans="1:13" x14ac:dyDescent="0.25">
      <c r="E19" s="289"/>
      <c r="F19" s="287">
        <f t="shared" si="3"/>
        <v>12</v>
      </c>
      <c r="G19" s="166">
        <f t="shared" ref="G19:G37" si="6">G18</f>
        <v>2434550.6713980222</v>
      </c>
      <c r="H19" s="166">
        <f t="shared" si="1"/>
        <v>3232.7732018260963</v>
      </c>
      <c r="I19" s="165">
        <f t="shared" si="5"/>
        <v>7870350168.9832563</v>
      </c>
    </row>
    <row r="20" spans="1:13" x14ac:dyDescent="0.25">
      <c r="E20" s="289"/>
      <c r="F20" s="287">
        <f t="shared" si="3"/>
        <v>13</v>
      </c>
      <c r="G20" s="166">
        <f t="shared" si="6"/>
        <v>2434550.6713980222</v>
      </c>
      <c r="H20" s="166">
        <f t="shared" si="1"/>
        <v>3297.4286658626183</v>
      </c>
      <c r="I20" s="165">
        <f t="shared" si="5"/>
        <v>8027757172.3629217</v>
      </c>
    </row>
    <row r="21" spans="1:13" x14ac:dyDescent="0.2">
      <c r="A21" s="266" t="s">
        <v>149</v>
      </c>
      <c r="B21" s="266" t="s">
        <v>963</v>
      </c>
      <c r="C21" s="288">
        <f>Assumption!B13</f>
        <v>2600</v>
      </c>
      <c r="D21" s="156" t="s">
        <v>371</v>
      </c>
      <c r="E21" s="289"/>
      <c r="F21" s="287">
        <f t="shared" si="3"/>
        <v>14</v>
      </c>
      <c r="G21" s="166">
        <f t="shared" si="6"/>
        <v>2434550.6713980222</v>
      </c>
      <c r="H21" s="166">
        <f t="shared" si="1"/>
        <v>3363.3772391798707</v>
      </c>
      <c r="I21" s="165">
        <f t="shared" si="5"/>
        <v>8188312315.8101807</v>
      </c>
    </row>
    <row r="22" spans="1:13" x14ac:dyDescent="0.2">
      <c r="A22" s="266" t="s">
        <v>150</v>
      </c>
      <c r="B22" s="266" t="s">
        <v>732</v>
      </c>
      <c r="C22" s="404">
        <f>Assumption!B14</f>
        <v>2</v>
      </c>
      <c r="D22" s="156" t="s">
        <v>733</v>
      </c>
      <c r="E22" s="289"/>
      <c r="F22" s="287">
        <f t="shared" si="3"/>
        <v>15</v>
      </c>
      <c r="G22" s="166">
        <f t="shared" si="6"/>
        <v>2434550.6713980222</v>
      </c>
      <c r="H22" s="166">
        <f t="shared" si="1"/>
        <v>3430.6447839634679</v>
      </c>
      <c r="I22" s="165">
        <f t="shared" si="5"/>
        <v>8352078562.1263838</v>
      </c>
    </row>
    <row r="23" spans="1:13" x14ac:dyDescent="0.2">
      <c r="A23" s="266" t="s">
        <v>151</v>
      </c>
      <c r="B23" s="271" t="s">
        <v>1076</v>
      </c>
      <c r="C23" s="271">
        <v>7.7</v>
      </c>
      <c r="D23" s="156" t="s">
        <v>733</v>
      </c>
      <c r="E23" s="289"/>
      <c r="F23" s="287">
        <f t="shared" si="3"/>
        <v>16</v>
      </c>
      <c r="G23" s="166">
        <f t="shared" si="6"/>
        <v>2434550.6713980222</v>
      </c>
      <c r="H23" s="166">
        <f t="shared" si="1"/>
        <v>3499.2576796427375</v>
      </c>
      <c r="I23" s="165">
        <f t="shared" si="5"/>
        <v>8519120133.3689117</v>
      </c>
    </row>
    <row r="24" spans="1:13" x14ac:dyDescent="0.2">
      <c r="A24" s="266" t="s">
        <v>152</v>
      </c>
      <c r="B24" s="271" t="s">
        <v>847</v>
      </c>
      <c r="C24" s="402"/>
      <c r="D24" s="156"/>
      <c r="E24" s="289"/>
      <c r="F24" s="287">
        <f t="shared" si="3"/>
        <v>17</v>
      </c>
      <c r="G24" s="166">
        <f t="shared" si="6"/>
        <v>2434550.6713980222</v>
      </c>
      <c r="H24" s="166">
        <f t="shared" si="1"/>
        <v>3569.2428332355921</v>
      </c>
      <c r="I24" s="165">
        <f t="shared" si="5"/>
        <v>8689502536.0362892</v>
      </c>
    </row>
    <row r="25" spans="1:13" x14ac:dyDescent="0.25">
      <c r="F25" s="287">
        <f t="shared" si="3"/>
        <v>18</v>
      </c>
      <c r="G25" s="166">
        <f t="shared" si="6"/>
        <v>2434550.6713980222</v>
      </c>
      <c r="H25" s="166">
        <f t="shared" si="1"/>
        <v>3640.6276899003042</v>
      </c>
      <c r="I25" s="165">
        <f t="shared" si="5"/>
        <v>8863292586.7570152</v>
      </c>
    </row>
    <row r="26" spans="1:13" x14ac:dyDescent="0.25">
      <c r="F26" s="287">
        <f t="shared" si="3"/>
        <v>19</v>
      </c>
      <c r="G26" s="166">
        <f t="shared" si="6"/>
        <v>2434550.6713980222</v>
      </c>
      <c r="H26" s="166">
        <f t="shared" si="1"/>
        <v>3713.4402436983105</v>
      </c>
      <c r="I26" s="165">
        <f t="shared" si="5"/>
        <v>9040558438.492157</v>
      </c>
      <c r="K26" s="280"/>
      <c r="L26" s="280"/>
      <c r="M26" s="280"/>
    </row>
    <row r="27" spans="1:13" x14ac:dyDescent="0.25">
      <c r="F27" s="287">
        <f t="shared" si="3"/>
        <v>20</v>
      </c>
      <c r="G27" s="166">
        <f t="shared" si="6"/>
        <v>2434550.6713980222</v>
      </c>
      <c r="H27" s="166">
        <f t="shared" si="1"/>
        <v>3787.709048572277</v>
      </c>
      <c r="I27" s="165">
        <f t="shared" si="5"/>
        <v>9221369607.262001</v>
      </c>
    </row>
    <row r="28" spans="1:13" x14ac:dyDescent="0.25">
      <c r="D28" s="322">
        <f>C14/12</f>
        <v>202879.22261650185</v>
      </c>
      <c r="F28" s="287">
        <f t="shared" si="3"/>
        <v>21</v>
      </c>
      <c r="G28" s="166">
        <f t="shared" si="6"/>
        <v>2434550.6713980222</v>
      </c>
      <c r="H28" s="166">
        <f t="shared" si="1"/>
        <v>3863.4632295437227</v>
      </c>
      <c r="I28" s="165">
        <f t="shared" si="5"/>
        <v>9405796999.4072418</v>
      </c>
    </row>
    <row r="29" spans="1:13" x14ac:dyDescent="0.25">
      <c r="F29" s="287">
        <f t="shared" si="3"/>
        <v>22</v>
      </c>
      <c r="G29" s="166">
        <f t="shared" si="6"/>
        <v>2434550.6713980222</v>
      </c>
      <c r="H29" s="166">
        <f t="shared" si="1"/>
        <v>3940.7324941345973</v>
      </c>
      <c r="I29" s="165">
        <f t="shared" si="5"/>
        <v>9593912939.3953857</v>
      </c>
      <c r="L29" s="280"/>
    </row>
    <row r="30" spans="1:13" x14ac:dyDescent="0.25">
      <c r="F30" s="287">
        <f t="shared" si="3"/>
        <v>23</v>
      </c>
      <c r="G30" s="166">
        <f t="shared" si="6"/>
        <v>2434550.6713980222</v>
      </c>
      <c r="H30" s="166">
        <f t="shared" si="1"/>
        <v>4019.5471440172892</v>
      </c>
      <c r="I30" s="165">
        <f t="shared" si="5"/>
        <v>9785791198.1832943</v>
      </c>
    </row>
    <row r="31" spans="1:13" x14ac:dyDescent="0.25">
      <c r="F31" s="287">
        <f t="shared" si="3"/>
        <v>24</v>
      </c>
      <c r="G31" s="166">
        <f t="shared" si="6"/>
        <v>2434550.6713980222</v>
      </c>
      <c r="H31" s="166">
        <f t="shared" si="1"/>
        <v>4099.938086897635</v>
      </c>
      <c r="I31" s="165">
        <f t="shared" si="5"/>
        <v>9981507022.1469593</v>
      </c>
    </row>
    <row r="32" spans="1:13" x14ac:dyDescent="0.25">
      <c r="F32" s="287">
        <f t="shared" si="3"/>
        <v>25</v>
      </c>
      <c r="G32" s="166">
        <f t="shared" si="6"/>
        <v>2434550.6713980222</v>
      </c>
      <c r="H32" s="166">
        <f t="shared" si="1"/>
        <v>4181.9368486355879</v>
      </c>
      <c r="I32" s="165">
        <f t="shared" si="5"/>
        <v>10181137162.589899</v>
      </c>
    </row>
    <row r="33" spans="6:9" x14ac:dyDescent="0.25">
      <c r="F33" s="287">
        <f t="shared" si="3"/>
        <v>26</v>
      </c>
      <c r="G33" s="166">
        <f t="shared" si="6"/>
        <v>2434550.6713980222</v>
      </c>
      <c r="H33" s="166">
        <f t="shared" si="1"/>
        <v>4265.5755856082997</v>
      </c>
      <c r="I33" s="165">
        <f t="shared" si="5"/>
        <v>10384759905.841698</v>
      </c>
    </row>
    <row r="34" spans="6:9" x14ac:dyDescent="0.25">
      <c r="F34" s="287">
        <f t="shared" si="3"/>
        <v>27</v>
      </c>
      <c r="G34" s="166">
        <f t="shared" si="6"/>
        <v>2434550.6713980222</v>
      </c>
      <c r="H34" s="166">
        <f t="shared" si="1"/>
        <v>4350.8870973204657</v>
      </c>
      <c r="I34" s="165">
        <f t="shared" si="5"/>
        <v>10592455103.958532</v>
      </c>
    </row>
    <row r="35" spans="6:9" x14ac:dyDescent="0.25">
      <c r="F35" s="287">
        <f t="shared" si="3"/>
        <v>28</v>
      </c>
      <c r="G35" s="166">
        <f t="shared" si="6"/>
        <v>2434550.6713980222</v>
      </c>
      <c r="H35" s="166">
        <f t="shared" si="1"/>
        <v>4437.9048392668756</v>
      </c>
      <c r="I35" s="165">
        <f t="shared" si="5"/>
        <v>10804304206.037704</v>
      </c>
    </row>
    <row r="36" spans="6:9" x14ac:dyDescent="0.25">
      <c r="F36" s="287">
        <f t="shared" si="3"/>
        <v>29</v>
      </c>
      <c r="G36" s="166">
        <f t="shared" si="6"/>
        <v>2434550.6713980222</v>
      </c>
      <c r="H36" s="166">
        <f t="shared" si="1"/>
        <v>4526.6629360522129</v>
      </c>
      <c r="I36" s="165">
        <f t="shared" si="5"/>
        <v>11020390290.158457</v>
      </c>
    </row>
    <row r="37" spans="6:9" x14ac:dyDescent="0.25">
      <c r="F37" s="287">
        <f t="shared" si="3"/>
        <v>30</v>
      </c>
      <c r="G37" s="166">
        <f t="shared" si="6"/>
        <v>2434550.6713980222</v>
      </c>
      <c r="H37" s="166">
        <f t="shared" si="1"/>
        <v>4617.196194773257</v>
      </c>
      <c r="I37" s="165">
        <f t="shared" si="5"/>
        <v>11240798095.961626</v>
      </c>
    </row>
    <row r="38" spans="6:9" x14ac:dyDescent="0.25">
      <c r="F38" s="291" t="s">
        <v>72</v>
      </c>
      <c r="G38" s="292">
        <f>SUM(G8:G37)</f>
        <v>69787017.040799573</v>
      </c>
      <c r="H38" s="292"/>
      <c r="I38" s="292">
        <f>SUM(I8:I37)</f>
        <v>248039176928.52206</v>
      </c>
    </row>
    <row r="39" spans="6:9" x14ac:dyDescent="0.25">
      <c r="F39" s="291" t="s">
        <v>517</v>
      </c>
      <c r="G39" s="293">
        <f>AVERAGE(G8:G37)</f>
        <v>2326233.9013599856</v>
      </c>
      <c r="H39" s="293"/>
      <c r="I39" s="293">
        <f>AVERAGE(I8:I37)</f>
        <v>8267972564.2840691</v>
      </c>
    </row>
    <row r="40" spans="6:9" x14ac:dyDescent="0.25">
      <c r="G40" s="620">
        <f>G39/10</f>
        <v>232623.39013599855</v>
      </c>
    </row>
    <row r="54" spans="9:9" x14ac:dyDescent="0.25">
      <c r="I54" s="165"/>
    </row>
  </sheetData>
  <mergeCells count="1">
    <mergeCell ref="F6:F7"/>
  </mergeCells>
  <phoneticPr fontId="30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AH58"/>
  <sheetViews>
    <sheetView topLeftCell="L1" zoomScaleNormal="100" workbookViewId="0">
      <pane ySplit="6" topLeftCell="A7" activePane="bottomLeft" state="frozen"/>
      <selection pane="bottomLeft" activeCell="AD12" sqref="AD12"/>
    </sheetView>
  </sheetViews>
  <sheetFormatPr defaultColWidth="9.125" defaultRowHeight="11.25" x14ac:dyDescent="0.25"/>
  <cols>
    <col min="1" max="1" width="2.625" style="297" customWidth="1"/>
    <col min="2" max="2" width="2.125" style="297" customWidth="1"/>
    <col min="3" max="3" width="18.375" style="297" customWidth="1"/>
    <col min="4" max="4" width="9.5" style="297" customWidth="1"/>
    <col min="5" max="5" width="11.625" style="297" customWidth="1"/>
    <col min="6" max="6" width="5.75" style="297" bestFit="1" customWidth="1"/>
    <col min="7" max="7" width="8.5" style="297" bestFit="1" customWidth="1"/>
    <col min="8" max="8" width="7.625" style="297" bestFit="1" customWidth="1"/>
    <col min="9" max="9" width="8.625" style="297" customWidth="1"/>
    <col min="10" max="10" width="10.25" style="297" bestFit="1" customWidth="1"/>
    <col min="11" max="11" width="7.25" style="297" customWidth="1"/>
    <col min="12" max="12" width="10.625" style="297" customWidth="1"/>
    <col min="13" max="13" width="12.5" style="297" customWidth="1"/>
    <col min="14" max="14" width="5.625" style="297" customWidth="1"/>
    <col min="15" max="15" width="6.875" style="297" customWidth="1"/>
    <col min="16" max="16" width="10.25" style="297" customWidth="1"/>
    <col min="17" max="17" width="9" style="297" customWidth="1"/>
    <col min="18" max="18" width="9.75" style="297" customWidth="1"/>
    <col min="19" max="19" width="9" style="297" bestFit="1" customWidth="1"/>
    <col min="20" max="20" width="9" style="297" customWidth="1"/>
    <col min="21" max="21" width="9.5" style="297" bestFit="1" customWidth="1"/>
    <col min="22" max="22" width="8.875" style="297" customWidth="1"/>
    <col min="23" max="23" width="9" style="297" bestFit="1" customWidth="1"/>
    <col min="24" max="24" width="10.125" style="297" customWidth="1"/>
    <col min="25" max="26" width="9.25" style="297" customWidth="1"/>
    <col min="27" max="27" width="10.25" style="297" bestFit="1" customWidth="1"/>
    <col min="28" max="28" width="10.125" style="297" bestFit="1" customWidth="1"/>
    <col min="29" max="29" width="10.25" style="297" bestFit="1" customWidth="1"/>
    <col min="30" max="30" width="13.125" style="297" bestFit="1" customWidth="1"/>
    <col min="31" max="31" width="9.125" style="297"/>
    <col min="32" max="32" width="12.125" style="297" bestFit="1" customWidth="1"/>
    <col min="33" max="33" width="12" style="297" customWidth="1"/>
    <col min="34" max="34" width="15.875" style="297" customWidth="1"/>
    <col min="35" max="16384" width="9.125" style="297"/>
  </cols>
  <sheetData>
    <row r="1" spans="1:30" x14ac:dyDescent="0.2">
      <c r="A1" s="298" t="str">
        <f>Revenue!A1</f>
        <v>Bisnis Penyewaan INTEGRATED COLD STORAGE - Revitalitation</v>
      </c>
    </row>
    <row r="2" spans="1:30" x14ac:dyDescent="0.2">
      <c r="A2" s="298" t="str">
        <f>Revenue!A2</f>
        <v>Financial Pre-Feasibility Study</v>
      </c>
    </row>
    <row r="3" spans="1:30" x14ac:dyDescent="0.25">
      <c r="A3" s="299" t="s">
        <v>791</v>
      </c>
      <c r="E3" s="590"/>
    </row>
    <row r="4" spans="1:30" x14ac:dyDescent="0.25">
      <c r="H4" s="590"/>
      <c r="I4" s="590"/>
    </row>
    <row r="5" spans="1:30" ht="15.75" customHeight="1" x14ac:dyDescent="0.25">
      <c r="G5" s="588"/>
      <c r="I5" s="590"/>
      <c r="O5" s="714" t="s">
        <v>1125</v>
      </c>
      <c r="P5" s="714"/>
      <c r="Q5" s="714"/>
      <c r="R5" s="714"/>
      <c r="S5" s="714"/>
      <c r="T5" s="714"/>
      <c r="V5" s="714" t="s">
        <v>1126</v>
      </c>
      <c r="W5" s="714"/>
      <c r="X5" s="714"/>
      <c r="Y5" s="714"/>
      <c r="AB5" s="317" t="s">
        <v>611</v>
      </c>
    </row>
    <row r="6" spans="1:30" ht="22.5" x14ac:dyDescent="0.25">
      <c r="A6" s="260" t="s">
        <v>567</v>
      </c>
      <c r="B6" s="285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5"/>
      <c r="O6" s="236" t="s">
        <v>542</v>
      </c>
      <c r="P6" s="236" t="s">
        <v>1122</v>
      </c>
      <c r="Q6" s="316" t="s">
        <v>911</v>
      </c>
      <c r="R6" s="316" t="s">
        <v>912</v>
      </c>
      <c r="S6" s="316" t="s">
        <v>772</v>
      </c>
      <c r="T6" s="316" t="s">
        <v>1020</v>
      </c>
      <c r="U6" s="658" t="s">
        <v>1124</v>
      </c>
      <c r="V6" s="316" t="s">
        <v>1127</v>
      </c>
      <c r="W6" s="316" t="s">
        <v>1019</v>
      </c>
      <c r="X6" s="373" t="s">
        <v>775</v>
      </c>
      <c r="Y6" s="373" t="s">
        <v>840</v>
      </c>
      <c r="Z6" s="373" t="s">
        <v>972</v>
      </c>
      <c r="AA6" s="658" t="s">
        <v>1124</v>
      </c>
      <c r="AB6" s="236" t="s">
        <v>530</v>
      </c>
    </row>
    <row r="7" spans="1:30" x14ac:dyDescent="0.25">
      <c r="A7" s="228" t="s">
        <v>148</v>
      </c>
      <c r="B7" s="297" t="s">
        <v>905</v>
      </c>
      <c r="D7" s="303">
        <f>Assumption!B9</f>
        <v>130000</v>
      </c>
      <c r="E7" s="297" t="s">
        <v>712</v>
      </c>
      <c r="F7" s="297">
        <f>(D7*5%)/20</f>
        <v>325</v>
      </c>
      <c r="O7" s="302">
        <v>1</v>
      </c>
      <c r="P7" s="303">
        <f>L9</f>
        <v>1098500000</v>
      </c>
      <c r="Q7" s="304">
        <f>L10</f>
        <v>78000000</v>
      </c>
      <c r="R7" s="304">
        <f>L13</f>
        <v>74880000</v>
      </c>
      <c r="S7" s="304">
        <f>L14</f>
        <v>124800000</v>
      </c>
      <c r="T7" s="304">
        <f>L16+L17+L18</f>
        <v>68952000</v>
      </c>
      <c r="U7" s="292">
        <f>SUM(P7:T7)</f>
        <v>1445132000</v>
      </c>
      <c r="V7" s="304">
        <f>J9</f>
        <v>149500000</v>
      </c>
      <c r="W7" s="304">
        <f>L19</f>
        <v>120000000</v>
      </c>
      <c r="X7" s="304">
        <f>L20</f>
        <v>805265604.86400008</v>
      </c>
      <c r="Y7" s="304">
        <f>$L$28</f>
        <v>80000000</v>
      </c>
      <c r="Z7" s="304">
        <f>Amortization!F8</f>
        <v>60000000</v>
      </c>
      <c r="AA7" s="659">
        <f>SUM(V7:Z7)</f>
        <v>1214765604.8640001</v>
      </c>
      <c r="AB7" s="304">
        <f>U7+AA7</f>
        <v>2659897604.8640003</v>
      </c>
      <c r="AC7" s="642">
        <f>AB7/Revenue!C8</f>
        <v>1705.0625672205131</v>
      </c>
      <c r="AD7" s="588"/>
    </row>
    <row r="8" spans="1:30" x14ac:dyDescent="0.25">
      <c r="A8" s="228" t="s">
        <v>149</v>
      </c>
      <c r="B8" s="301" t="s">
        <v>855</v>
      </c>
      <c r="C8" s="301"/>
      <c r="D8" s="410"/>
      <c r="E8" s="301"/>
      <c r="F8" s="301"/>
      <c r="G8" s="301"/>
      <c r="H8" s="301"/>
      <c r="I8" s="301"/>
      <c r="J8" s="302" t="s">
        <v>1123</v>
      </c>
      <c r="K8" s="302"/>
      <c r="L8" s="302" t="s">
        <v>1122</v>
      </c>
      <c r="N8" s="304"/>
      <c r="O8" s="302">
        <f>O7+1</f>
        <v>2</v>
      </c>
      <c r="P8" s="304">
        <f t="shared" ref="P8:P16" si="0">P7*(1+$Q$42)</f>
        <v>1120470000</v>
      </c>
      <c r="Q8" s="304">
        <f>Q7*(1+$Q$42)</f>
        <v>79560000</v>
      </c>
      <c r="R8" s="304">
        <f t="shared" ref="R8:R16" si="1">R7*(1+$Q$43)</f>
        <v>76377600</v>
      </c>
      <c r="S8" s="305">
        <f>S7*(1+$Q$44)</f>
        <v>127296000</v>
      </c>
      <c r="T8" s="305">
        <f t="shared" ref="T8:T16" si="2">T7*(1+$Q$45)</f>
        <v>70331040</v>
      </c>
      <c r="U8" s="292">
        <f>SUM(P8:T8)</f>
        <v>1474034640</v>
      </c>
      <c r="V8" s="305">
        <f t="shared" ref="V8:V16" si="3">V7*(1+$Q$44)</f>
        <v>152490000</v>
      </c>
      <c r="W8" s="305">
        <f t="shared" ref="W8:W16" si="4">W7*(1+$Q$47)</f>
        <v>122400000</v>
      </c>
      <c r="X8" s="305">
        <f t="shared" ref="X8:X16" si="5">X7*(1+$Q$47)</f>
        <v>821370916.96128011</v>
      </c>
      <c r="Y8" s="304">
        <f t="shared" ref="Y8:Y36" si="6">$L$28</f>
        <v>80000000</v>
      </c>
      <c r="Z8" s="304">
        <f>Amortization!F9</f>
        <v>60000000</v>
      </c>
      <c r="AA8" s="659">
        <f>SUM(V8:Z8)</f>
        <v>1236260916.9612801</v>
      </c>
      <c r="AB8" s="304">
        <f>U8+AA8</f>
        <v>2710295556.9612799</v>
      </c>
      <c r="AC8" s="656"/>
    </row>
    <row r="9" spans="1:30" x14ac:dyDescent="0.25">
      <c r="B9" s="297" t="s">
        <v>251</v>
      </c>
      <c r="C9" s="395" t="s">
        <v>765</v>
      </c>
      <c r="D9" s="413"/>
      <c r="E9" s="395"/>
      <c r="F9" s="395"/>
      <c r="G9" s="395"/>
      <c r="H9" s="395"/>
      <c r="I9" s="395"/>
      <c r="J9" s="477">
        <f>Salary!L14+Salary!L16+Salary!L19</f>
        <v>149500000</v>
      </c>
      <c r="K9" s="303"/>
      <c r="L9" s="477">
        <f>Salary!L20</f>
        <v>1098500000</v>
      </c>
      <c r="M9" s="297" t="s">
        <v>777</v>
      </c>
      <c r="N9" s="304"/>
      <c r="O9" s="302">
        <f t="shared" ref="O9:O36" si="7">O8+1</f>
        <v>3</v>
      </c>
      <c r="P9" s="304">
        <f t="shared" si="0"/>
        <v>1142879400</v>
      </c>
      <c r="Q9" s="304">
        <f t="shared" ref="Q9:Q16" si="8">Q8*(1+$Q$42)</f>
        <v>81151200</v>
      </c>
      <c r="R9" s="304">
        <f t="shared" si="1"/>
        <v>77905152</v>
      </c>
      <c r="S9" s="305">
        <f t="shared" ref="S9:S16" si="9">S8*(1+$Q$44)</f>
        <v>129841920</v>
      </c>
      <c r="T9" s="305">
        <f>T8*(1+$Q$45)</f>
        <v>71737660.799999997</v>
      </c>
      <c r="U9" s="292">
        <f>SUM(P9:T9)</f>
        <v>1503515332.8</v>
      </c>
      <c r="V9" s="305">
        <f t="shared" si="3"/>
        <v>155539800</v>
      </c>
      <c r="W9" s="305">
        <f t="shared" si="4"/>
        <v>124848000</v>
      </c>
      <c r="X9" s="305">
        <f t="shared" si="5"/>
        <v>837798335.30050576</v>
      </c>
      <c r="Y9" s="304">
        <f t="shared" si="6"/>
        <v>80000000</v>
      </c>
      <c r="Z9" s="304">
        <f>Amortization!F10</f>
        <v>60000000</v>
      </c>
      <c r="AA9" s="659">
        <f>SUM(V9:Z9)</f>
        <v>1258186135.3005056</v>
      </c>
      <c r="AB9" s="304">
        <f t="shared" ref="AB9:AB16" si="10">U9+AA9</f>
        <v>2761701468.1005058</v>
      </c>
      <c r="AD9" s="297">
        <f>(U7/130000)/12</f>
        <v>926.36666666666667</v>
      </c>
    </row>
    <row r="10" spans="1:30" x14ac:dyDescent="0.25">
      <c r="B10" s="297" t="s">
        <v>252</v>
      </c>
      <c r="C10" s="396" t="s">
        <v>910</v>
      </c>
      <c r="D10" s="482">
        <f>Assumption!B40</f>
        <v>1</v>
      </c>
      <c r="E10" s="396" t="s">
        <v>884</v>
      </c>
      <c r="F10" s="480">
        <f>Assumption!E40</f>
        <v>50000</v>
      </c>
      <c r="G10" s="396" t="s">
        <v>878</v>
      </c>
      <c r="H10" s="477">
        <f>D10*D7/1000</f>
        <v>130</v>
      </c>
      <c r="I10" s="396" t="s">
        <v>885</v>
      </c>
      <c r="J10" s="478">
        <f>H10*F10</f>
        <v>6500000</v>
      </c>
      <c r="K10" s="475"/>
      <c r="L10" s="478">
        <f>J10*12</f>
        <v>78000000</v>
      </c>
      <c r="M10" s="300" t="s">
        <v>778</v>
      </c>
      <c r="N10" s="304"/>
      <c r="O10" s="302">
        <f t="shared" si="7"/>
        <v>4</v>
      </c>
      <c r="P10" s="304">
        <f t="shared" si="0"/>
        <v>1165736988</v>
      </c>
      <c r="Q10" s="304">
        <f t="shared" si="8"/>
        <v>82774224</v>
      </c>
      <c r="R10" s="304">
        <f t="shared" si="1"/>
        <v>79463255.040000007</v>
      </c>
      <c r="S10" s="305">
        <f t="shared" si="9"/>
        <v>132438758.40000001</v>
      </c>
      <c r="T10" s="305">
        <f t="shared" si="2"/>
        <v>73172414.016000003</v>
      </c>
      <c r="U10" s="292">
        <f t="shared" ref="U10:U16" si="11">SUM(P10:T10)</f>
        <v>1533585639.4560001</v>
      </c>
      <c r="V10" s="305">
        <f>V9*(1+$Q$44)</f>
        <v>158650596</v>
      </c>
      <c r="W10" s="305">
        <f t="shared" si="4"/>
        <v>127344960</v>
      </c>
      <c r="X10" s="305">
        <f t="shared" si="5"/>
        <v>854554302.00651586</v>
      </c>
      <c r="Y10" s="304">
        <f t="shared" si="6"/>
        <v>80000000</v>
      </c>
      <c r="Z10" s="304">
        <f>Amortization!F11</f>
        <v>60000000</v>
      </c>
      <c r="AA10" s="659">
        <f t="shared" ref="AA10:AA16" si="12">SUM(V10:Z10)</f>
        <v>1280549858.006516</v>
      </c>
      <c r="AB10" s="304">
        <f t="shared" si="10"/>
        <v>2814135497.4625158</v>
      </c>
    </row>
    <row r="11" spans="1:30" x14ac:dyDescent="0.25">
      <c r="B11" s="297" t="s">
        <v>762</v>
      </c>
      <c r="C11" s="450" t="s">
        <v>1025</v>
      </c>
      <c r="N11" s="304"/>
      <c r="O11" s="302">
        <f t="shared" si="7"/>
        <v>5</v>
      </c>
      <c r="P11" s="304">
        <f t="shared" si="0"/>
        <v>1189051727.76</v>
      </c>
      <c r="Q11" s="304">
        <f t="shared" si="8"/>
        <v>84429708.480000004</v>
      </c>
      <c r="R11" s="304">
        <f t="shared" si="1"/>
        <v>81052520.140800014</v>
      </c>
      <c r="S11" s="305">
        <f t="shared" si="9"/>
        <v>135087533.56800002</v>
      </c>
      <c r="T11" s="305">
        <f t="shared" si="2"/>
        <v>74635862.296320006</v>
      </c>
      <c r="U11" s="292">
        <f t="shared" si="11"/>
        <v>1564257352.24512</v>
      </c>
      <c r="V11" s="305">
        <f t="shared" si="3"/>
        <v>161823607.92000002</v>
      </c>
      <c r="W11" s="305">
        <f>W10*(1+$Q$47)</f>
        <v>129891859.2</v>
      </c>
      <c r="X11" s="305">
        <f t="shared" si="5"/>
        <v>871645388.04664624</v>
      </c>
      <c r="Y11" s="304">
        <f t="shared" si="6"/>
        <v>80000000</v>
      </c>
      <c r="Z11" s="304">
        <f>Amortization!F12</f>
        <v>60000000</v>
      </c>
      <c r="AA11" s="659">
        <f t="shared" si="12"/>
        <v>1303360855.1666462</v>
      </c>
      <c r="AB11" s="304">
        <f t="shared" si="10"/>
        <v>2867618207.4117661</v>
      </c>
    </row>
    <row r="12" spans="1:30" x14ac:dyDescent="0.25">
      <c r="C12" s="297" t="s">
        <v>1024</v>
      </c>
      <c r="D12" s="483">
        <f>Assumption!B42</f>
        <v>0.2</v>
      </c>
      <c r="E12" s="297" t="s">
        <v>884</v>
      </c>
      <c r="N12" s="304"/>
      <c r="O12" s="302">
        <f t="shared" si="7"/>
        <v>6</v>
      </c>
      <c r="P12" s="304">
        <f t="shared" si="0"/>
        <v>1212832762.3152001</v>
      </c>
      <c r="Q12" s="304">
        <f t="shared" si="8"/>
        <v>86118302.649599999</v>
      </c>
      <c r="R12" s="304">
        <f t="shared" si="1"/>
        <v>82673570.543616012</v>
      </c>
      <c r="S12" s="305">
        <f t="shared" si="9"/>
        <v>137789284.23936003</v>
      </c>
      <c r="T12" s="305">
        <f t="shared" si="2"/>
        <v>76128579.542246401</v>
      </c>
      <c r="U12" s="292">
        <f t="shared" si="11"/>
        <v>1595542499.2900226</v>
      </c>
      <c r="V12" s="305">
        <f t="shared" si="3"/>
        <v>165060080.07840002</v>
      </c>
      <c r="W12" s="305">
        <f t="shared" si="4"/>
        <v>132489696.384</v>
      </c>
      <c r="X12" s="305">
        <f t="shared" si="5"/>
        <v>889078295.80757916</v>
      </c>
      <c r="Y12" s="304">
        <f t="shared" si="6"/>
        <v>80000000</v>
      </c>
      <c r="Z12" s="304">
        <f>Amortization!F13</f>
        <v>60000000</v>
      </c>
      <c r="AA12" s="659">
        <f t="shared" si="12"/>
        <v>1326628072.2699792</v>
      </c>
      <c r="AB12" s="304">
        <f t="shared" si="10"/>
        <v>2922170571.5600019</v>
      </c>
    </row>
    <row r="13" spans="1:30" x14ac:dyDescent="0.25">
      <c r="C13" s="297" t="s">
        <v>1026</v>
      </c>
      <c r="D13" s="483">
        <f>Assumption!B43</f>
        <v>30</v>
      </c>
      <c r="E13" s="297" t="s">
        <v>914</v>
      </c>
      <c r="F13" s="476">
        <f>Assumption!E43</f>
        <v>8000</v>
      </c>
      <c r="G13" s="297" t="s">
        <v>371</v>
      </c>
      <c r="H13" s="478">
        <f>D13*D52</f>
        <v>780</v>
      </c>
      <c r="I13" s="297" t="s">
        <v>712</v>
      </c>
      <c r="J13" s="478">
        <f>H13*F13</f>
        <v>6240000</v>
      </c>
      <c r="K13" s="305"/>
      <c r="L13" s="478">
        <f>J13*12</f>
        <v>74880000</v>
      </c>
      <c r="M13" s="300" t="s">
        <v>778</v>
      </c>
      <c r="N13" s="311"/>
      <c r="O13" s="302">
        <f t="shared" si="7"/>
        <v>7</v>
      </c>
      <c r="P13" s="304">
        <f t="shared" si="0"/>
        <v>1237089417.5615041</v>
      </c>
      <c r="Q13" s="304">
        <f t="shared" si="8"/>
        <v>87840668.702592</v>
      </c>
      <c r="R13" s="304">
        <f t="shared" si="1"/>
        <v>84327041.954488337</v>
      </c>
      <c r="S13" s="305">
        <f t="shared" si="9"/>
        <v>140545069.92414725</v>
      </c>
      <c r="T13" s="305">
        <f t="shared" si="2"/>
        <v>77651151.133091331</v>
      </c>
      <c r="U13" s="292">
        <f t="shared" si="11"/>
        <v>1627453349.2758231</v>
      </c>
      <c r="V13" s="305">
        <f t="shared" si="3"/>
        <v>168361281.67996803</v>
      </c>
      <c r="W13" s="305">
        <f t="shared" si="4"/>
        <v>135139490.31168002</v>
      </c>
      <c r="X13" s="305">
        <f t="shared" si="5"/>
        <v>906859861.7237308</v>
      </c>
      <c r="Y13" s="304">
        <f t="shared" si="6"/>
        <v>80000000</v>
      </c>
      <c r="Z13" s="304">
        <f>Amortization!F14</f>
        <v>60000000</v>
      </c>
      <c r="AA13" s="659">
        <f t="shared" si="12"/>
        <v>1350360633.7153788</v>
      </c>
      <c r="AB13" s="304">
        <f t="shared" si="10"/>
        <v>2977813982.9912019</v>
      </c>
    </row>
    <row r="14" spans="1:30" x14ac:dyDescent="0.25">
      <c r="B14" s="300" t="s">
        <v>762</v>
      </c>
      <c r="C14" s="395" t="s">
        <v>772</v>
      </c>
      <c r="D14" s="681">
        <f>Assumption!B44</f>
        <v>0.5</v>
      </c>
      <c r="E14" s="395" t="s">
        <v>858</v>
      </c>
      <c r="F14" s="682">
        <f>Assumption!E44</f>
        <v>160</v>
      </c>
      <c r="G14" s="395" t="s">
        <v>371</v>
      </c>
      <c r="H14" s="683">
        <f>D14*D7</f>
        <v>65000</v>
      </c>
      <c r="I14" s="395" t="s">
        <v>712</v>
      </c>
      <c r="J14" s="683">
        <f>H14*F14</f>
        <v>10400000</v>
      </c>
      <c r="K14" s="475"/>
      <c r="L14" s="683">
        <f>J14*12</f>
        <v>124800000</v>
      </c>
      <c r="M14" s="300" t="s">
        <v>778</v>
      </c>
      <c r="N14" s="311"/>
      <c r="O14" s="302">
        <f t="shared" si="7"/>
        <v>8</v>
      </c>
      <c r="P14" s="304">
        <f t="shared" si="0"/>
        <v>1261831205.9127343</v>
      </c>
      <c r="Q14" s="304">
        <f t="shared" si="8"/>
        <v>89597482.076643839</v>
      </c>
      <c r="R14" s="304">
        <f t="shared" si="1"/>
        <v>86013582.793578103</v>
      </c>
      <c r="S14" s="305">
        <f t="shared" si="9"/>
        <v>143355971.3226302</v>
      </c>
      <c r="T14" s="305">
        <f t="shared" si="2"/>
        <v>79204174.155753165</v>
      </c>
      <c r="U14" s="292">
        <f t="shared" si="11"/>
        <v>1660002416.2613397</v>
      </c>
      <c r="V14" s="305">
        <f t="shared" si="3"/>
        <v>171728507.3135674</v>
      </c>
      <c r="W14" s="305">
        <f t="shared" si="4"/>
        <v>137842280.11791363</v>
      </c>
      <c r="X14" s="305">
        <f>X13*(1+$Q$47)</f>
        <v>924997058.95820546</v>
      </c>
      <c r="Y14" s="304">
        <f t="shared" si="6"/>
        <v>80000000</v>
      </c>
      <c r="Z14" s="304">
        <f>Amortization!F15</f>
        <v>60000000</v>
      </c>
      <c r="AA14" s="659">
        <f t="shared" si="12"/>
        <v>1374567846.3896866</v>
      </c>
      <c r="AB14" s="304">
        <f t="shared" si="10"/>
        <v>3034570262.6510262</v>
      </c>
    </row>
    <row r="15" spans="1:30" x14ac:dyDescent="0.25">
      <c r="B15" s="300" t="s">
        <v>763</v>
      </c>
      <c r="C15" s="684" t="s">
        <v>774</v>
      </c>
      <c r="D15" s="688"/>
      <c r="E15" s="684"/>
      <c r="F15" s="485"/>
      <c r="H15" s="485" t="s">
        <v>1149</v>
      </c>
      <c r="J15" s="485" t="s">
        <v>1150</v>
      </c>
      <c r="K15" s="475"/>
      <c r="L15" s="485" t="s">
        <v>1151</v>
      </c>
      <c r="M15" s="300"/>
      <c r="N15" s="311"/>
      <c r="O15" s="302">
        <f t="shared" si="7"/>
        <v>9</v>
      </c>
      <c r="P15" s="304">
        <f t="shared" si="0"/>
        <v>1287067830.0309889</v>
      </c>
      <c r="Q15" s="304">
        <f t="shared" si="8"/>
        <v>91389431.718176723</v>
      </c>
      <c r="R15" s="304">
        <f t="shared" si="1"/>
        <v>87733854.449449673</v>
      </c>
      <c r="S15" s="305">
        <f t="shared" si="9"/>
        <v>146223090.7490828</v>
      </c>
      <c r="T15" s="305">
        <f t="shared" si="2"/>
        <v>80788257.638868228</v>
      </c>
      <c r="U15" s="292">
        <f t="shared" si="11"/>
        <v>1693202464.5865664</v>
      </c>
      <c r="V15" s="305">
        <f t="shared" si="3"/>
        <v>175163077.45983875</v>
      </c>
      <c r="W15" s="305">
        <f t="shared" si="4"/>
        <v>140599125.72027192</v>
      </c>
      <c r="X15" s="305">
        <f>X14*(1+$Q$47)</f>
        <v>943497000.13736963</v>
      </c>
      <c r="Y15" s="304">
        <f t="shared" si="6"/>
        <v>80000000</v>
      </c>
      <c r="Z15" s="304">
        <f>Amortization!F16</f>
        <v>60000000</v>
      </c>
      <c r="AA15" s="659">
        <f t="shared" si="12"/>
        <v>1399259203.3174803</v>
      </c>
      <c r="AB15" s="304">
        <f t="shared" si="10"/>
        <v>3092461667.904047</v>
      </c>
    </row>
    <row r="16" spans="1:30" x14ac:dyDescent="0.25">
      <c r="C16" s="684" t="s">
        <v>1119</v>
      </c>
      <c r="D16" s="688">
        <f>Assumption!B46</f>
        <v>1</v>
      </c>
      <c r="E16" s="684" t="s">
        <v>1148</v>
      </c>
      <c r="F16" s="485">
        <v>20</v>
      </c>
      <c r="G16" s="297" t="s">
        <v>371</v>
      </c>
      <c r="H16" s="485">
        <f>(D16*D7)*0.98</f>
        <v>127400</v>
      </c>
      <c r="I16" s="297" t="s">
        <v>712</v>
      </c>
      <c r="J16" s="485">
        <f>H16*F16</f>
        <v>2548000</v>
      </c>
      <c r="K16" s="475"/>
      <c r="L16" s="485">
        <f>J16*12</f>
        <v>30576000</v>
      </c>
      <c r="M16" s="300" t="s">
        <v>778</v>
      </c>
      <c r="N16" s="311"/>
      <c r="O16" s="302">
        <f t="shared" si="7"/>
        <v>10</v>
      </c>
      <c r="P16" s="304">
        <f t="shared" si="0"/>
        <v>1312809186.6316087</v>
      </c>
      <c r="Q16" s="304">
        <f t="shared" si="8"/>
        <v>93217220.352540255</v>
      </c>
      <c r="R16" s="304">
        <f t="shared" si="1"/>
        <v>89488531.538438663</v>
      </c>
      <c r="S16" s="305">
        <f t="shared" si="9"/>
        <v>149147552.56406447</v>
      </c>
      <c r="T16" s="305">
        <f t="shared" si="2"/>
        <v>82404022.791645586</v>
      </c>
      <c r="U16" s="292">
        <f t="shared" si="11"/>
        <v>1727066513.8782976</v>
      </c>
      <c r="V16" s="305">
        <f t="shared" si="3"/>
        <v>178666339.00903553</v>
      </c>
      <c r="W16" s="305">
        <f t="shared" si="4"/>
        <v>143411108.23467734</v>
      </c>
      <c r="X16" s="305">
        <f t="shared" si="5"/>
        <v>962366940.14011705</v>
      </c>
      <c r="Y16" s="304">
        <f t="shared" si="6"/>
        <v>80000000</v>
      </c>
      <c r="Z16" s="304">
        <f>Amortization!F17</f>
        <v>60000000</v>
      </c>
      <c r="AA16" s="659">
        <f t="shared" si="12"/>
        <v>1424444387.3838301</v>
      </c>
      <c r="AB16" s="304">
        <f t="shared" si="10"/>
        <v>3151510901.2621279</v>
      </c>
    </row>
    <row r="17" spans="1:34" x14ac:dyDescent="0.25">
      <c r="C17" s="684" t="s">
        <v>859</v>
      </c>
      <c r="D17" s="688">
        <f>Assumption!B47</f>
        <v>1</v>
      </c>
      <c r="E17" s="684" t="s">
        <v>1148</v>
      </c>
      <c r="F17" s="485">
        <v>20</v>
      </c>
      <c r="G17" s="297" t="s">
        <v>371</v>
      </c>
      <c r="H17" s="485">
        <f>(D17*D7)*0.98</f>
        <v>127400</v>
      </c>
      <c r="I17" s="297" t="s">
        <v>712</v>
      </c>
      <c r="J17" s="485">
        <f>H17*F17</f>
        <v>2548000</v>
      </c>
      <c r="K17" s="475"/>
      <c r="L17" s="485">
        <f>J17*12</f>
        <v>30576000</v>
      </c>
      <c r="M17" s="300" t="s">
        <v>778</v>
      </c>
      <c r="N17" s="311"/>
      <c r="O17" s="302">
        <f t="shared" si="7"/>
        <v>11</v>
      </c>
      <c r="P17" s="304">
        <f t="shared" ref="P17:P35" si="13">P16*(1+$Q$42)</f>
        <v>1339065370.3642409</v>
      </c>
      <c r="Q17" s="304">
        <f t="shared" ref="Q17:Q36" si="14">Q16*(1+$Q$42)</f>
        <v>95081564.759591058</v>
      </c>
      <c r="R17" s="304">
        <f t="shared" ref="R17:R36" si="15">R16*(1+$Q$43)</f>
        <v>91278302.169207439</v>
      </c>
      <c r="S17" s="305">
        <f t="shared" ref="S17:S36" si="16">S16*(1+$Q$44)</f>
        <v>152130503.61534578</v>
      </c>
      <c r="T17" s="305">
        <f t="shared" ref="T17:T36" si="17">T16*(1+$Q$45)</f>
        <v>84052103.2474785</v>
      </c>
      <c r="U17" s="292">
        <f t="shared" ref="U17:U36" si="18">SUM(P17:T17)</f>
        <v>1761607844.1558635</v>
      </c>
      <c r="V17" s="305">
        <f t="shared" ref="V17:V36" si="19">V16*(1+$Q$44)</f>
        <v>182239665.78921625</v>
      </c>
      <c r="W17" s="305">
        <f t="shared" ref="W17:W36" si="20">W16*(1+$Q$47)</f>
        <v>146279330.39937091</v>
      </c>
      <c r="X17" s="305">
        <f t="shared" ref="X17:X36" si="21">X16*(1+$Q$47)</f>
        <v>981614278.94291937</v>
      </c>
      <c r="Y17" s="304">
        <f t="shared" si="6"/>
        <v>80000000</v>
      </c>
      <c r="Z17" s="304">
        <f>Amortization!F18</f>
        <v>0</v>
      </c>
      <c r="AA17" s="659">
        <f t="shared" ref="AA17:AA36" si="22">SUM(V17:Z17)</f>
        <v>1390133275.1315064</v>
      </c>
      <c r="AB17" s="304">
        <f t="shared" ref="AB17:AB36" si="23">U17+AA17</f>
        <v>3151741119.2873697</v>
      </c>
      <c r="AC17" s="642"/>
      <c r="AD17" s="303"/>
    </row>
    <row r="18" spans="1:34" x14ac:dyDescent="0.25">
      <c r="C18" s="684" t="s">
        <v>860</v>
      </c>
      <c r="E18" s="684" t="s">
        <v>371</v>
      </c>
      <c r="F18" s="485">
        <v>250</v>
      </c>
      <c r="G18" s="297" t="s">
        <v>371</v>
      </c>
      <c r="H18" s="689">
        <f>(D7*0.02)</f>
        <v>2600</v>
      </c>
      <c r="I18" s="297" t="s">
        <v>712</v>
      </c>
      <c r="J18" s="304">
        <f>H18*F18</f>
        <v>650000</v>
      </c>
      <c r="K18" s="475"/>
      <c r="L18" s="485">
        <f>J18*12</f>
        <v>7800000</v>
      </c>
      <c r="M18" s="300" t="s">
        <v>778</v>
      </c>
      <c r="N18" s="311"/>
      <c r="O18" s="302">
        <f t="shared" si="7"/>
        <v>12</v>
      </c>
      <c r="P18" s="304">
        <f t="shared" si="13"/>
        <v>1365846677.7715256</v>
      </c>
      <c r="Q18" s="304">
        <f t="shared" si="14"/>
        <v>96983196.054782882</v>
      </c>
      <c r="R18" s="304">
        <f t="shared" si="15"/>
        <v>93103868.212591588</v>
      </c>
      <c r="S18" s="305">
        <f t="shared" si="16"/>
        <v>155173113.68765271</v>
      </c>
      <c r="T18" s="305">
        <f t="shared" si="17"/>
        <v>85733145.312428072</v>
      </c>
      <c r="U18" s="292">
        <f t="shared" si="18"/>
        <v>1796840001.038981</v>
      </c>
      <c r="V18" s="305">
        <f t="shared" si="19"/>
        <v>185884459.10500059</v>
      </c>
      <c r="W18" s="305">
        <f t="shared" si="20"/>
        <v>149204917.00735834</v>
      </c>
      <c r="X18" s="305">
        <f t="shared" si="21"/>
        <v>1001246564.5217777</v>
      </c>
      <c r="Y18" s="304">
        <f t="shared" si="6"/>
        <v>80000000</v>
      </c>
      <c r="Z18" s="304">
        <f>Amortization!F19</f>
        <v>0</v>
      </c>
      <c r="AA18" s="659">
        <f t="shared" si="22"/>
        <v>1416335940.6341367</v>
      </c>
      <c r="AB18" s="304">
        <f t="shared" si="23"/>
        <v>3213175941.6731176</v>
      </c>
      <c r="AD18" s="303"/>
    </row>
    <row r="19" spans="1:34" x14ac:dyDescent="0.25">
      <c r="B19" s="297" t="s">
        <v>773</v>
      </c>
      <c r="C19" s="395" t="s">
        <v>1017</v>
      </c>
      <c r="D19" s="685"/>
      <c r="E19" s="395"/>
      <c r="F19" s="686"/>
      <c r="G19" s="395"/>
      <c r="H19" s="687"/>
      <c r="I19" s="395"/>
      <c r="J19" s="477">
        <f>SUM(Assumption!E50:E54)</f>
        <v>10000000</v>
      </c>
      <c r="K19" s="475"/>
      <c r="L19" s="477">
        <f>J19*12</f>
        <v>120000000</v>
      </c>
      <c r="M19" s="300" t="s">
        <v>778</v>
      </c>
      <c r="N19" s="311"/>
      <c r="O19" s="302">
        <f t="shared" si="7"/>
        <v>13</v>
      </c>
      <c r="P19" s="304">
        <f t="shared" si="13"/>
        <v>1393163611.3269563</v>
      </c>
      <c r="Q19" s="304">
        <f t="shared" si="14"/>
        <v>98922859.975878537</v>
      </c>
      <c r="R19" s="304">
        <f t="shared" si="15"/>
        <v>94965945.576843426</v>
      </c>
      <c r="S19" s="305">
        <f t="shared" si="16"/>
        <v>158276575.96140575</v>
      </c>
      <c r="T19" s="305">
        <f t="shared" si="17"/>
        <v>87447808.218676642</v>
      </c>
      <c r="U19" s="292">
        <f t="shared" si="18"/>
        <v>1832776801.0597606</v>
      </c>
      <c r="V19" s="305">
        <f>V18*(1+$Q$44)</f>
        <v>189602148.28710061</v>
      </c>
      <c r="W19" s="305">
        <f t="shared" si="20"/>
        <v>152189015.34750551</v>
      </c>
      <c r="X19" s="305">
        <f t="shared" si="21"/>
        <v>1021271495.8122133</v>
      </c>
      <c r="Y19" s="304">
        <f t="shared" si="6"/>
        <v>80000000</v>
      </c>
      <c r="Z19" s="304">
        <f>Amortization!F20</f>
        <v>0</v>
      </c>
      <c r="AA19" s="659">
        <f t="shared" si="22"/>
        <v>1443062659.4468193</v>
      </c>
      <c r="AB19" s="304">
        <f t="shared" si="23"/>
        <v>3275839460.5065799</v>
      </c>
      <c r="AD19" s="303"/>
    </row>
    <row r="20" spans="1:34" x14ac:dyDescent="0.2">
      <c r="B20" s="297" t="s">
        <v>776</v>
      </c>
      <c r="C20" s="395" t="s">
        <v>1059</v>
      </c>
      <c r="D20" s="484">
        <f>F27</f>
        <v>758.20032000000003</v>
      </c>
      <c r="E20" s="297" t="s">
        <v>913</v>
      </c>
      <c r="F20" s="481">
        <f>Assumption!E56</f>
        <v>1445</v>
      </c>
      <c r="G20" s="297" t="s">
        <v>702</v>
      </c>
      <c r="H20" s="478">
        <f>D20*30</f>
        <v>22746.009600000001</v>
      </c>
      <c r="I20" s="395" t="s">
        <v>887</v>
      </c>
      <c r="J20" s="478">
        <f>H20*F20</f>
        <v>32867983.872000001</v>
      </c>
      <c r="K20" s="475"/>
      <c r="L20" s="478">
        <f>(J20+J21)*12</f>
        <v>805265604.86400008</v>
      </c>
      <c r="M20" s="300" t="s">
        <v>778</v>
      </c>
      <c r="N20" s="306"/>
      <c r="O20" s="302">
        <f t="shared" si="7"/>
        <v>14</v>
      </c>
      <c r="P20" s="304">
        <f t="shared" si="13"/>
        <v>1421026883.5534954</v>
      </c>
      <c r="Q20" s="304">
        <f t="shared" si="14"/>
        <v>100901317.17539611</v>
      </c>
      <c r="R20" s="304">
        <f t="shared" si="15"/>
        <v>96865264.488380298</v>
      </c>
      <c r="S20" s="305">
        <f t="shared" si="16"/>
        <v>161442107.48063388</v>
      </c>
      <c r="T20" s="305">
        <f t="shared" si="17"/>
        <v>89196764.383050174</v>
      </c>
      <c r="U20" s="292">
        <f t="shared" si="18"/>
        <v>1869432337.080956</v>
      </c>
      <c r="V20" s="305">
        <f t="shared" si="19"/>
        <v>193394191.25284263</v>
      </c>
      <c r="W20" s="305">
        <f t="shared" si="20"/>
        <v>155232795.65445563</v>
      </c>
      <c r="X20" s="305">
        <f t="shared" si="21"/>
        <v>1041696925.7284576</v>
      </c>
      <c r="Y20" s="304">
        <f t="shared" si="6"/>
        <v>80000000</v>
      </c>
      <c r="Z20" s="304">
        <f>Amortization!F21</f>
        <v>0</v>
      </c>
      <c r="AA20" s="659">
        <f t="shared" si="22"/>
        <v>1470323912.6357558</v>
      </c>
      <c r="AB20" s="304">
        <f t="shared" si="23"/>
        <v>3339756249.716712</v>
      </c>
      <c r="AD20" s="303"/>
    </row>
    <row r="21" spans="1:34" x14ac:dyDescent="0.2">
      <c r="C21" s="297" t="s">
        <v>1060</v>
      </c>
      <c r="D21" s="590">
        <f>D27</f>
        <v>789.79200000000014</v>
      </c>
      <c r="E21" s="297" t="s">
        <v>913</v>
      </c>
      <c r="F21" s="481">
        <f>Assumption!E56</f>
        <v>1445</v>
      </c>
      <c r="G21" s="297" t="s">
        <v>702</v>
      </c>
      <c r="H21" s="590">
        <f>D21*30</f>
        <v>23693.760000000006</v>
      </c>
      <c r="I21" s="395" t="s">
        <v>887</v>
      </c>
      <c r="J21" s="478">
        <f>H21*F21</f>
        <v>34237483.20000001</v>
      </c>
      <c r="N21" s="306"/>
      <c r="O21" s="302">
        <f t="shared" si="7"/>
        <v>15</v>
      </c>
      <c r="P21" s="304">
        <f t="shared" si="13"/>
        <v>1449447421.2245653</v>
      </c>
      <c r="Q21" s="304">
        <f t="shared" si="14"/>
        <v>102919343.51890405</v>
      </c>
      <c r="R21" s="304">
        <f t="shared" si="15"/>
        <v>98802569.778147906</v>
      </c>
      <c r="S21" s="305">
        <f t="shared" si="16"/>
        <v>164670949.63024658</v>
      </c>
      <c r="T21" s="305">
        <f t="shared" si="17"/>
        <v>90980699.670711175</v>
      </c>
      <c r="U21" s="292">
        <f t="shared" si="18"/>
        <v>1906820983.8225751</v>
      </c>
      <c r="V21" s="305">
        <f t="shared" si="19"/>
        <v>197262075.07789949</v>
      </c>
      <c r="W21" s="305">
        <f t="shared" si="20"/>
        <v>158337451.56754476</v>
      </c>
      <c r="X21" s="305">
        <f t="shared" si="21"/>
        <v>1062530864.2430267</v>
      </c>
      <c r="Y21" s="304">
        <f t="shared" si="6"/>
        <v>80000000</v>
      </c>
      <c r="Z21" s="304">
        <f>Amortization!F22</f>
        <v>0</v>
      </c>
      <c r="AA21" s="659">
        <f t="shared" si="22"/>
        <v>1498130390.8884711</v>
      </c>
      <c r="AB21" s="304">
        <f t="shared" si="23"/>
        <v>3404951374.7110462</v>
      </c>
      <c r="AD21" s="303"/>
    </row>
    <row r="22" spans="1:34" x14ac:dyDescent="0.2">
      <c r="C22" s="460"/>
      <c r="D22" s="470" t="s">
        <v>750</v>
      </c>
      <c r="E22" s="470"/>
      <c r="F22" s="470" t="s">
        <v>751</v>
      </c>
      <c r="G22" s="470"/>
      <c r="H22" s="470"/>
      <c r="I22" s="470"/>
      <c r="J22" s="450">
        <f>J20+J21</f>
        <v>67105467.072000012</v>
      </c>
      <c r="L22" s="450"/>
      <c r="M22" s="300"/>
      <c r="N22" s="304"/>
      <c r="O22" s="302">
        <f t="shared" si="7"/>
        <v>16</v>
      </c>
      <c r="P22" s="304">
        <f t="shared" si="13"/>
        <v>1478436369.6490567</v>
      </c>
      <c r="Q22" s="304">
        <f t="shared" si="14"/>
        <v>104977730.38928212</v>
      </c>
      <c r="R22" s="304">
        <f t="shared" si="15"/>
        <v>100778621.17371087</v>
      </c>
      <c r="S22" s="305">
        <f t="shared" si="16"/>
        <v>167964368.62285152</v>
      </c>
      <c r="T22" s="305">
        <f t="shared" si="17"/>
        <v>92800313.664125398</v>
      </c>
      <c r="U22" s="292">
        <f t="shared" si="18"/>
        <v>1944957403.4990268</v>
      </c>
      <c r="V22" s="305">
        <f t="shared" si="19"/>
        <v>201207316.57945749</v>
      </c>
      <c r="W22" s="305">
        <f t="shared" si="20"/>
        <v>161504200.59889567</v>
      </c>
      <c r="X22" s="305">
        <f t="shared" si="21"/>
        <v>1083781481.5278873</v>
      </c>
      <c r="Y22" s="304">
        <f t="shared" si="6"/>
        <v>80000000</v>
      </c>
      <c r="Z22" s="304">
        <f>Amortization!F23</f>
        <v>0</v>
      </c>
      <c r="AA22" s="659">
        <f t="shared" si="22"/>
        <v>1526492998.7062407</v>
      </c>
      <c r="AB22" s="304">
        <f t="shared" si="23"/>
        <v>3471450402.2052674</v>
      </c>
      <c r="AD22" s="303"/>
    </row>
    <row r="23" spans="1:34" x14ac:dyDescent="0.2">
      <c r="C23" s="461" t="s">
        <v>861</v>
      </c>
      <c r="D23" s="460">
        <f>Assumption!B58</f>
        <v>15</v>
      </c>
      <c r="E23" s="169" t="s">
        <v>743</v>
      </c>
      <c r="F23" s="460">
        <f>Assumption!E58</f>
        <v>24</v>
      </c>
      <c r="G23" s="169" t="s">
        <v>743</v>
      </c>
      <c r="H23" s="169"/>
      <c r="I23" s="169"/>
      <c r="J23" s="450"/>
      <c r="L23" s="450"/>
      <c r="M23" s="300" t="s">
        <v>778</v>
      </c>
      <c r="N23" s="304"/>
      <c r="O23" s="302">
        <f t="shared" si="7"/>
        <v>17</v>
      </c>
      <c r="P23" s="304">
        <f t="shared" si="13"/>
        <v>1508005097.0420377</v>
      </c>
      <c r="Q23" s="304">
        <f t="shared" si="14"/>
        <v>107077284.99706776</v>
      </c>
      <c r="R23" s="304">
        <f t="shared" si="15"/>
        <v>102794193.59718509</v>
      </c>
      <c r="S23" s="305">
        <f t="shared" si="16"/>
        <v>171323655.99530855</v>
      </c>
      <c r="T23" s="305">
        <f t="shared" si="17"/>
        <v>94656319.937407911</v>
      </c>
      <c r="U23" s="292">
        <f t="shared" si="18"/>
        <v>1983856551.5690072</v>
      </c>
      <c r="V23" s="305">
        <f t="shared" si="19"/>
        <v>205231462.91104665</v>
      </c>
      <c r="W23" s="305">
        <f t="shared" si="20"/>
        <v>164734284.61087358</v>
      </c>
      <c r="X23" s="305">
        <f t="shared" si="21"/>
        <v>1105457111.1584451</v>
      </c>
      <c r="Y23" s="304">
        <f t="shared" si="6"/>
        <v>80000000</v>
      </c>
      <c r="Z23" s="304">
        <f>Amortization!F24</f>
        <v>0</v>
      </c>
      <c r="AA23" s="659">
        <f t="shared" si="22"/>
        <v>1555422858.6803653</v>
      </c>
      <c r="AB23" s="304">
        <f t="shared" si="23"/>
        <v>3539279410.2493725</v>
      </c>
      <c r="AE23" s="297">
        <v>1</v>
      </c>
      <c r="AF23" s="588">
        <v>2659897604.8640003</v>
      </c>
      <c r="AG23" s="675">
        <v>691600000</v>
      </c>
      <c r="AH23" s="589">
        <f>SUM(AF23:AG23)</f>
        <v>3351497604.8640003</v>
      </c>
    </row>
    <row r="24" spans="1:34" x14ac:dyDescent="0.2">
      <c r="C24" s="461" t="s">
        <v>862</v>
      </c>
      <c r="D24" s="460">
        <f>Assumption!B59</f>
        <v>380</v>
      </c>
      <c r="E24" s="169" t="s">
        <v>744</v>
      </c>
      <c r="F24" s="460">
        <f>Assumption!E59</f>
        <v>380</v>
      </c>
      <c r="G24" s="169" t="s">
        <v>744</v>
      </c>
      <c r="H24" s="169"/>
      <c r="I24" s="169"/>
      <c r="J24" s="450"/>
      <c r="L24" s="450"/>
      <c r="M24" s="300" t="s">
        <v>778</v>
      </c>
      <c r="O24" s="302">
        <f t="shared" si="7"/>
        <v>18</v>
      </c>
      <c r="P24" s="304">
        <f t="shared" si="13"/>
        <v>1538165198.9828784</v>
      </c>
      <c r="Q24" s="304">
        <f t="shared" si="14"/>
        <v>109218830.69700912</v>
      </c>
      <c r="R24" s="304">
        <f t="shared" si="15"/>
        <v>104850077.46912879</v>
      </c>
      <c r="S24" s="305">
        <f t="shared" si="16"/>
        <v>174750129.11521474</v>
      </c>
      <c r="T24" s="305">
        <f t="shared" si="17"/>
        <v>96549446.33615607</v>
      </c>
      <c r="U24" s="292">
        <f t="shared" si="18"/>
        <v>2023533682.6003873</v>
      </c>
      <c r="V24" s="305">
        <f t="shared" si="19"/>
        <v>209336092.16926759</v>
      </c>
      <c r="W24" s="305">
        <f t="shared" si="20"/>
        <v>168028970.30309105</v>
      </c>
      <c r="X24" s="305">
        <f t="shared" si="21"/>
        <v>1127566253.381614</v>
      </c>
      <c r="Y24" s="304">
        <f t="shared" si="6"/>
        <v>80000000</v>
      </c>
      <c r="Z24" s="304">
        <f>Amortization!F25</f>
        <v>0</v>
      </c>
      <c r="AA24" s="659">
        <f t="shared" si="22"/>
        <v>1584931315.8539727</v>
      </c>
      <c r="AB24" s="304">
        <f t="shared" si="23"/>
        <v>3608464998.45436</v>
      </c>
      <c r="AE24" s="297">
        <v>2</v>
      </c>
      <c r="AF24" s="588">
        <v>2711895556.9612799</v>
      </c>
      <c r="AG24" s="675">
        <v>705432000</v>
      </c>
      <c r="AH24" s="589">
        <f>AF23+AG23</f>
        <v>3351497604.8640003</v>
      </c>
    </row>
    <row r="25" spans="1:34" x14ac:dyDescent="0.2">
      <c r="C25" s="461" t="s">
        <v>863</v>
      </c>
      <c r="D25" s="460">
        <f>Assumption!B60</f>
        <v>50</v>
      </c>
      <c r="E25" s="169" t="s">
        <v>745</v>
      </c>
      <c r="F25" s="460">
        <f>Assumption!E60</f>
        <v>60</v>
      </c>
      <c r="G25" s="169" t="s">
        <v>745</v>
      </c>
      <c r="H25" s="169"/>
      <c r="I25" s="169"/>
      <c r="J25" s="450"/>
      <c r="L25" s="450"/>
      <c r="M25" s="300" t="s">
        <v>778</v>
      </c>
      <c r="O25" s="302">
        <f t="shared" si="7"/>
        <v>19</v>
      </c>
      <c r="P25" s="304">
        <f t="shared" si="13"/>
        <v>1568928502.9625361</v>
      </c>
      <c r="Q25" s="304">
        <f t="shared" si="14"/>
        <v>111403207.3109493</v>
      </c>
      <c r="R25" s="304">
        <f t="shared" si="15"/>
        <v>106947079.01851137</v>
      </c>
      <c r="S25" s="305">
        <f t="shared" si="16"/>
        <v>178245131.69751903</v>
      </c>
      <c r="T25" s="305">
        <f t="shared" si="17"/>
        <v>98480435.262879193</v>
      </c>
      <c r="U25" s="292">
        <f t="shared" si="18"/>
        <v>2064004356.2523949</v>
      </c>
      <c r="V25" s="305">
        <f t="shared" si="19"/>
        <v>213522814.01265296</v>
      </c>
      <c r="W25" s="305">
        <f t="shared" si="20"/>
        <v>171389549.70915288</v>
      </c>
      <c r="X25" s="305">
        <f t="shared" si="21"/>
        <v>1150117578.4492462</v>
      </c>
      <c r="Y25" s="304">
        <f t="shared" si="6"/>
        <v>80000000</v>
      </c>
      <c r="Z25" s="304">
        <f>Amortization!F26</f>
        <v>0</v>
      </c>
      <c r="AA25" s="659">
        <f t="shared" si="22"/>
        <v>1615029942.171052</v>
      </c>
      <c r="AB25" s="304">
        <f t="shared" si="23"/>
        <v>3679034298.4234467</v>
      </c>
      <c r="AE25" s="297">
        <v>3</v>
      </c>
      <c r="AF25" s="588">
        <v>2764933468.1005058</v>
      </c>
      <c r="AG25" s="675">
        <v>719540640</v>
      </c>
      <c r="AH25" s="589">
        <f t="shared" ref="AH25:AH51" si="24">SUM(AF25:AG25)</f>
        <v>3484474108.1005058</v>
      </c>
    </row>
    <row r="26" spans="1:34" x14ac:dyDescent="0.2">
      <c r="C26" s="461" t="s">
        <v>864</v>
      </c>
      <c r="D26" s="460">
        <f>Assumption!B61</f>
        <v>2</v>
      </c>
      <c r="E26" s="169" t="s">
        <v>701</v>
      </c>
      <c r="F26" s="460">
        <f>Assumption!E61</f>
        <v>1</v>
      </c>
      <c r="G26" s="169" t="s">
        <v>701</v>
      </c>
      <c r="H26" s="169"/>
      <c r="I26" s="169"/>
      <c r="J26" s="450"/>
      <c r="L26" s="450"/>
      <c r="M26" s="300" t="s">
        <v>778</v>
      </c>
      <c r="O26" s="302">
        <f t="shared" si="7"/>
        <v>20</v>
      </c>
      <c r="P26" s="304">
        <f t="shared" si="13"/>
        <v>1600307073.0217869</v>
      </c>
      <c r="Q26" s="304">
        <f t="shared" si="14"/>
        <v>113631271.45716828</v>
      </c>
      <c r="R26" s="304">
        <f t="shared" si="15"/>
        <v>109086020.5988816</v>
      </c>
      <c r="S26" s="305">
        <f t="shared" si="16"/>
        <v>181810034.33146942</v>
      </c>
      <c r="T26" s="305">
        <f t="shared" si="17"/>
        <v>100450043.96813677</v>
      </c>
      <c r="U26" s="292">
        <f t="shared" si="18"/>
        <v>2105284443.3774433</v>
      </c>
      <c r="V26" s="305">
        <f t="shared" si="19"/>
        <v>217793270.29290602</v>
      </c>
      <c r="W26" s="305">
        <f t="shared" si="20"/>
        <v>174817340.70333594</v>
      </c>
      <c r="X26" s="305">
        <f t="shared" si="21"/>
        <v>1173119930.0182312</v>
      </c>
      <c r="Y26" s="304">
        <f t="shared" si="6"/>
        <v>80000000</v>
      </c>
      <c r="Z26" s="304">
        <f>Amortization!F27</f>
        <v>0</v>
      </c>
      <c r="AA26" s="659">
        <f>SUM(V26:Z26)</f>
        <v>1645730541.014473</v>
      </c>
      <c r="AB26" s="304">
        <f>U26+AA26</f>
        <v>3751014984.3919163</v>
      </c>
      <c r="AE26" s="297">
        <v>4</v>
      </c>
      <c r="AF26" s="588">
        <v>2819032137.4625158</v>
      </c>
      <c r="AG26" s="675">
        <v>733931452.79999995</v>
      </c>
      <c r="AH26" s="589">
        <f t="shared" si="24"/>
        <v>3552963590.262516</v>
      </c>
    </row>
    <row r="27" spans="1:34" x14ac:dyDescent="0.2">
      <c r="C27" s="461" t="s">
        <v>888</v>
      </c>
      <c r="D27" s="460">
        <f>(D24*1.732*D25*D26*0.8)/1000*D23</f>
        <v>789.79200000000014</v>
      </c>
      <c r="E27" s="169" t="s">
        <v>865</v>
      </c>
      <c r="F27" s="460">
        <f>(F24*1.732*F25*F26*0.8)/1000*F23</f>
        <v>758.20032000000003</v>
      </c>
      <c r="G27" s="169" t="s">
        <v>865</v>
      </c>
      <c r="H27" s="169"/>
      <c r="I27" s="169"/>
      <c r="J27" s="450"/>
      <c r="L27" s="450"/>
      <c r="O27" s="302">
        <f t="shared" si="7"/>
        <v>21</v>
      </c>
      <c r="P27" s="304">
        <f t="shared" si="13"/>
        <v>1632313214.4822228</v>
      </c>
      <c r="Q27" s="304">
        <f t="shared" si="14"/>
        <v>115903896.88631165</v>
      </c>
      <c r="R27" s="304">
        <f t="shared" si="15"/>
        <v>111267741.01085924</v>
      </c>
      <c r="S27" s="305">
        <f t="shared" si="16"/>
        <v>185446235.0180988</v>
      </c>
      <c r="T27" s="305">
        <f t="shared" si="17"/>
        <v>102459044.8474995</v>
      </c>
      <c r="U27" s="292">
        <f t="shared" si="18"/>
        <v>2147390132.2449923</v>
      </c>
      <c r="V27" s="305">
        <f t="shared" si="19"/>
        <v>222149135.69876415</v>
      </c>
      <c r="W27" s="305">
        <f t="shared" si="20"/>
        <v>178313687.51740265</v>
      </c>
      <c r="X27" s="305">
        <f t="shared" si="21"/>
        <v>1196582328.6185958</v>
      </c>
      <c r="Y27" s="304">
        <f t="shared" si="6"/>
        <v>80000000</v>
      </c>
      <c r="Z27" s="304">
        <f>Amortization!F28</f>
        <v>0</v>
      </c>
      <c r="AA27" s="659">
        <f t="shared" si="22"/>
        <v>1677045151.8347626</v>
      </c>
      <c r="AB27" s="304">
        <f t="shared" si="23"/>
        <v>3824435284.0797548</v>
      </c>
      <c r="AE27" s="297">
        <v>5</v>
      </c>
      <c r="AF27" s="588">
        <v>2874212780.2117662</v>
      </c>
      <c r="AG27" s="675">
        <v>748610081.85600007</v>
      </c>
      <c r="AH27" s="589">
        <f t="shared" si="24"/>
        <v>3622822862.0677662</v>
      </c>
    </row>
    <row r="28" spans="1:34" x14ac:dyDescent="0.25">
      <c r="B28" s="297" t="s">
        <v>838</v>
      </c>
      <c r="C28" s="450" t="s">
        <v>839</v>
      </c>
      <c r="D28" s="459"/>
      <c r="E28" s="450"/>
      <c r="F28" s="450"/>
      <c r="G28" s="450"/>
      <c r="H28" s="450"/>
      <c r="I28" s="450"/>
      <c r="J28" s="450"/>
      <c r="K28" s="303"/>
      <c r="L28" s="485">
        <f>Assumption!E62</f>
        <v>80000000</v>
      </c>
      <c r="M28" s="300" t="s">
        <v>778</v>
      </c>
      <c r="O28" s="302">
        <f t="shared" si="7"/>
        <v>22</v>
      </c>
      <c r="P28" s="304">
        <f t="shared" si="13"/>
        <v>1664959478.7718673</v>
      </c>
      <c r="Q28" s="304">
        <f t="shared" si="14"/>
        <v>118221974.82403788</v>
      </c>
      <c r="R28" s="304">
        <f t="shared" si="15"/>
        <v>113493095.83107643</v>
      </c>
      <c r="S28" s="305">
        <f t="shared" si="16"/>
        <v>189155159.71846077</v>
      </c>
      <c r="T28" s="305">
        <f t="shared" si="17"/>
        <v>104508225.7444495</v>
      </c>
      <c r="U28" s="292">
        <f t="shared" si="18"/>
        <v>2190337934.8898916</v>
      </c>
      <c r="V28" s="305">
        <f t="shared" si="19"/>
        <v>226592118.41273943</v>
      </c>
      <c r="W28" s="305">
        <f t="shared" si="20"/>
        <v>181879961.26775071</v>
      </c>
      <c r="X28" s="305">
        <f t="shared" si="21"/>
        <v>1220513975.1909678</v>
      </c>
      <c r="Y28" s="304">
        <f t="shared" si="6"/>
        <v>80000000</v>
      </c>
      <c r="Z28" s="304">
        <f>Amortization!F29</f>
        <v>0</v>
      </c>
      <c r="AA28" s="659">
        <f t="shared" si="22"/>
        <v>1708986054.8714581</v>
      </c>
      <c r="AB28" s="304">
        <f t="shared" si="23"/>
        <v>3899323989.7613497</v>
      </c>
      <c r="AE28" s="297">
        <v>6</v>
      </c>
      <c r="AF28" s="588">
        <v>2930497035.8160019</v>
      </c>
      <c r="AG28" s="675">
        <v>763582283.49312007</v>
      </c>
      <c r="AH28" s="589">
        <f t="shared" si="24"/>
        <v>3694079319.3091221</v>
      </c>
    </row>
    <row r="29" spans="1:34" x14ac:dyDescent="0.25">
      <c r="A29" s="290"/>
      <c r="B29" s="290"/>
      <c r="C29" s="309"/>
      <c r="D29" s="309"/>
      <c r="E29" s="309"/>
      <c r="F29" s="309"/>
      <c r="G29" s="309"/>
      <c r="H29" s="309"/>
      <c r="I29" s="309"/>
      <c r="J29" s="310"/>
      <c r="K29" s="310"/>
      <c r="L29" s="310"/>
      <c r="M29" s="290"/>
      <c r="O29" s="302">
        <f t="shared" si="7"/>
        <v>23</v>
      </c>
      <c r="P29" s="304">
        <f t="shared" si="13"/>
        <v>1698258668.3473046</v>
      </c>
      <c r="Q29" s="304">
        <f t="shared" si="14"/>
        <v>120586414.32051864</v>
      </c>
      <c r="R29" s="304">
        <f t="shared" si="15"/>
        <v>115762957.74769796</v>
      </c>
      <c r="S29" s="305">
        <f t="shared" si="16"/>
        <v>192938262.91283</v>
      </c>
      <c r="T29" s="305">
        <f t="shared" si="17"/>
        <v>106598390.25933848</v>
      </c>
      <c r="U29" s="292">
        <f t="shared" si="18"/>
        <v>2234144693.5876899</v>
      </c>
      <c r="V29" s="305">
        <f t="shared" si="19"/>
        <v>231123960.78099421</v>
      </c>
      <c r="W29" s="305">
        <f t="shared" si="20"/>
        <v>185517560.49310574</v>
      </c>
      <c r="X29" s="305">
        <f t="shared" si="21"/>
        <v>1244924254.6947873</v>
      </c>
      <c r="Y29" s="304">
        <f t="shared" si="6"/>
        <v>80000000</v>
      </c>
      <c r="Z29" s="304">
        <f>Amortization!F30</f>
        <v>0</v>
      </c>
      <c r="AA29" s="659">
        <f t="shared" si="22"/>
        <v>1741565775.9688873</v>
      </c>
      <c r="AB29" s="304">
        <f t="shared" si="23"/>
        <v>3975710469.5565772</v>
      </c>
      <c r="AE29" s="297">
        <v>7</v>
      </c>
      <c r="AF29" s="588">
        <v>2987906976.5323219</v>
      </c>
      <c r="AG29" s="675">
        <v>778853929.16298246</v>
      </c>
      <c r="AH29" s="589">
        <f t="shared" si="24"/>
        <v>3766760905.6953044</v>
      </c>
    </row>
    <row r="30" spans="1:34" x14ac:dyDescent="0.25">
      <c r="A30" s="312" t="s">
        <v>66</v>
      </c>
      <c r="O30" s="302">
        <f t="shared" si="7"/>
        <v>24</v>
      </c>
      <c r="P30" s="304">
        <f t="shared" si="13"/>
        <v>1732223841.7142508</v>
      </c>
      <c r="Q30" s="304">
        <f t="shared" si="14"/>
        <v>122998142.60692902</v>
      </c>
      <c r="R30" s="304">
        <f t="shared" si="15"/>
        <v>118078216.90265192</v>
      </c>
      <c r="S30" s="305">
        <f t="shared" si="16"/>
        <v>196797028.17108661</v>
      </c>
      <c r="T30" s="305">
        <f t="shared" si="17"/>
        <v>108730358.06452526</v>
      </c>
      <c r="U30" s="292">
        <f t="shared" si="18"/>
        <v>2278827587.4594436</v>
      </c>
      <c r="V30" s="305">
        <f t="shared" si="19"/>
        <v>235746439.9966141</v>
      </c>
      <c r="W30" s="305">
        <f t="shared" si="20"/>
        <v>189227911.70296785</v>
      </c>
      <c r="X30" s="305">
        <f t="shared" si="21"/>
        <v>1269822739.7886829</v>
      </c>
      <c r="Y30" s="304">
        <f t="shared" si="6"/>
        <v>80000000</v>
      </c>
      <c r="Z30" s="304">
        <f>Amortization!F31</f>
        <v>0</v>
      </c>
      <c r="AA30" s="659">
        <f t="shared" si="22"/>
        <v>1774797091.488265</v>
      </c>
      <c r="AB30" s="304">
        <f t="shared" si="23"/>
        <v>4053624678.9477086</v>
      </c>
      <c r="AE30" s="297">
        <v>8</v>
      </c>
      <c r="AF30" s="588">
        <v>3046465116.0629687</v>
      </c>
      <c r="AG30" s="675">
        <v>794431007.74624228</v>
      </c>
      <c r="AH30" s="589">
        <f t="shared" si="24"/>
        <v>3840896123.8092108</v>
      </c>
    </row>
    <row r="31" spans="1:34" x14ac:dyDescent="0.25">
      <c r="A31" s="458" t="s">
        <v>856</v>
      </c>
      <c r="B31" s="301" t="s">
        <v>857</v>
      </c>
      <c r="C31" s="301"/>
      <c r="O31" s="302">
        <f t="shared" si="7"/>
        <v>25</v>
      </c>
      <c r="P31" s="304">
        <f t="shared" si="13"/>
        <v>1766868318.5485358</v>
      </c>
      <c r="Q31" s="304">
        <f t="shared" si="14"/>
        <v>125458105.4590676</v>
      </c>
      <c r="R31" s="304">
        <f t="shared" si="15"/>
        <v>120439781.24070497</v>
      </c>
      <c r="S31" s="305">
        <f t="shared" si="16"/>
        <v>200732968.73450834</v>
      </c>
      <c r="T31" s="305">
        <f t="shared" si="17"/>
        <v>110904965.22581577</v>
      </c>
      <c r="U31" s="292">
        <f t="shared" si="18"/>
        <v>2324404139.2086325</v>
      </c>
      <c r="V31" s="305">
        <f t="shared" si="19"/>
        <v>240461368.7965464</v>
      </c>
      <c r="W31" s="305">
        <f t="shared" si="20"/>
        <v>193012469.93702722</v>
      </c>
      <c r="X31" s="305">
        <f t="shared" si="21"/>
        <v>1295219194.5844567</v>
      </c>
      <c r="Y31" s="304">
        <f t="shared" si="6"/>
        <v>80000000</v>
      </c>
      <c r="Z31" s="304">
        <f>Amortization!F32</f>
        <v>0</v>
      </c>
      <c r="AA31" s="659">
        <f t="shared" si="22"/>
        <v>1808693033.3180304</v>
      </c>
      <c r="AB31" s="304">
        <f t="shared" si="23"/>
        <v>4133097172.5266628</v>
      </c>
      <c r="AE31" s="297">
        <v>9</v>
      </c>
      <c r="AF31" s="588">
        <v>3106194418.3842278</v>
      </c>
      <c r="AG31" s="675">
        <v>810319627.90116715</v>
      </c>
      <c r="AH31" s="589">
        <f t="shared" si="24"/>
        <v>3916514046.2853947</v>
      </c>
    </row>
    <row r="32" spans="1:34" x14ac:dyDescent="0.25">
      <c r="A32" s="458" t="s">
        <v>856</v>
      </c>
      <c r="B32" s="297" t="s">
        <v>771</v>
      </c>
      <c r="C32" s="228"/>
      <c r="D32" s="228"/>
      <c r="E32" s="228"/>
      <c r="F32" s="228"/>
      <c r="G32" s="228"/>
      <c r="H32" s="228"/>
      <c r="O32" s="302">
        <f t="shared" si="7"/>
        <v>26</v>
      </c>
      <c r="P32" s="304">
        <f t="shared" si="13"/>
        <v>1802205684.9195065</v>
      </c>
      <c r="Q32" s="304">
        <f t="shared" si="14"/>
        <v>127967267.56824896</v>
      </c>
      <c r="R32" s="304">
        <f t="shared" si="15"/>
        <v>122848576.86551908</v>
      </c>
      <c r="S32" s="305">
        <f t="shared" si="16"/>
        <v>204747628.10919851</v>
      </c>
      <c r="T32" s="305">
        <f t="shared" si="17"/>
        <v>113123064.53033209</v>
      </c>
      <c r="U32" s="292">
        <f t="shared" si="18"/>
        <v>2370892221.992805</v>
      </c>
      <c r="V32" s="305">
        <f t="shared" si="19"/>
        <v>245270596.17247733</v>
      </c>
      <c r="W32" s="305">
        <f t="shared" si="20"/>
        <v>196872719.33576778</v>
      </c>
      <c r="X32" s="305">
        <f t="shared" si="21"/>
        <v>1321123578.4761457</v>
      </c>
      <c r="Y32" s="304">
        <f t="shared" si="6"/>
        <v>80000000</v>
      </c>
      <c r="Z32" s="304">
        <f>Amortization!F33</f>
        <v>0</v>
      </c>
      <c r="AA32" s="659">
        <f t="shared" si="22"/>
        <v>1843266893.9843907</v>
      </c>
      <c r="AB32" s="304">
        <f t="shared" si="23"/>
        <v>4214159115.9771957</v>
      </c>
      <c r="AE32" s="297">
        <v>10</v>
      </c>
      <c r="AF32" s="588">
        <v>3167118306.7519126</v>
      </c>
      <c r="AG32" s="675">
        <v>826526020.45919037</v>
      </c>
      <c r="AH32" s="589">
        <f t="shared" si="24"/>
        <v>3993644327.211103</v>
      </c>
    </row>
    <row r="33" spans="1:34" x14ac:dyDescent="0.25">
      <c r="A33" s="458" t="s">
        <v>856</v>
      </c>
      <c r="B33" s="297" t="s">
        <v>889</v>
      </c>
      <c r="O33" s="302">
        <f t="shared" si="7"/>
        <v>27</v>
      </c>
      <c r="P33" s="304">
        <f t="shared" si="13"/>
        <v>1838249798.6178968</v>
      </c>
      <c r="Q33" s="304">
        <f t="shared" si="14"/>
        <v>130526612.91961394</v>
      </c>
      <c r="R33" s="304">
        <f t="shared" si="15"/>
        <v>125305548.40282945</v>
      </c>
      <c r="S33" s="305">
        <f t="shared" si="16"/>
        <v>208842580.67138249</v>
      </c>
      <c r="T33" s="305">
        <f t="shared" si="17"/>
        <v>115385525.82093874</v>
      </c>
      <c r="U33" s="292">
        <f t="shared" si="18"/>
        <v>2418310066.4326611</v>
      </c>
      <c r="V33" s="305">
        <f t="shared" si="19"/>
        <v>250176008.09592688</v>
      </c>
      <c r="W33" s="305">
        <f t="shared" si="20"/>
        <v>200810173.72248313</v>
      </c>
      <c r="X33" s="305">
        <f t="shared" si="21"/>
        <v>1347546050.0456686</v>
      </c>
      <c r="Y33" s="304">
        <f t="shared" si="6"/>
        <v>80000000</v>
      </c>
      <c r="Z33" s="304">
        <f>Amortization!F34</f>
        <v>0</v>
      </c>
      <c r="AA33" s="659">
        <f t="shared" si="22"/>
        <v>1878532231.8640785</v>
      </c>
      <c r="AB33" s="304">
        <f t="shared" si="23"/>
        <v>4296842298.2967396</v>
      </c>
      <c r="AE33" s="297">
        <v>11</v>
      </c>
      <c r="AF33" s="588">
        <v>3169260672.8869505</v>
      </c>
      <c r="AG33" s="588">
        <v>843056540.86837411</v>
      </c>
      <c r="AH33" s="589">
        <f t="shared" si="24"/>
        <v>4012317213.7553244</v>
      </c>
    </row>
    <row r="34" spans="1:34" x14ac:dyDescent="0.2">
      <c r="C34" s="279" t="s">
        <v>877</v>
      </c>
      <c r="D34" s="198"/>
      <c r="E34" s="198"/>
      <c r="O34" s="302">
        <f t="shared" si="7"/>
        <v>28</v>
      </c>
      <c r="P34" s="304">
        <f t="shared" si="13"/>
        <v>1875014794.5902548</v>
      </c>
      <c r="Q34" s="304">
        <f t="shared" si="14"/>
        <v>133137145.17800622</v>
      </c>
      <c r="R34" s="304">
        <f t="shared" si="15"/>
        <v>127811659.37088604</v>
      </c>
      <c r="S34" s="305">
        <f t="shared" si="16"/>
        <v>213019432.28481013</v>
      </c>
      <c r="T34" s="305">
        <f t="shared" si="17"/>
        <v>117693236.33735751</v>
      </c>
      <c r="U34" s="292">
        <f t="shared" si="18"/>
        <v>2466676267.7613149</v>
      </c>
      <c r="V34" s="305">
        <f t="shared" si="19"/>
        <v>255179528.25784543</v>
      </c>
      <c r="W34" s="305">
        <f t="shared" si="20"/>
        <v>204826377.19693279</v>
      </c>
      <c r="X34" s="305">
        <f t="shared" si="21"/>
        <v>1374496971.046582</v>
      </c>
      <c r="Y34" s="304">
        <f t="shared" si="6"/>
        <v>80000000</v>
      </c>
      <c r="Z34" s="304">
        <f>Amortization!F35</f>
        <v>0</v>
      </c>
      <c r="AA34" s="659">
        <f t="shared" si="22"/>
        <v>1914502876.5013602</v>
      </c>
      <c r="AB34" s="304">
        <f t="shared" si="23"/>
        <v>4381179144.2626753</v>
      </c>
      <c r="AE34" s="297">
        <v>12</v>
      </c>
      <c r="AF34" s="588">
        <v>3232645886.3446898</v>
      </c>
      <c r="AG34" s="588">
        <v>859917671.68574154</v>
      </c>
      <c r="AH34" s="589">
        <f t="shared" si="24"/>
        <v>4092563558.0304313</v>
      </c>
    </row>
    <row r="35" spans="1:34" x14ac:dyDescent="0.2">
      <c r="C35" s="198" t="s">
        <v>882</v>
      </c>
      <c r="D35" s="471">
        <f>D37*D36</f>
        <v>6500000</v>
      </c>
      <c r="E35" s="198" t="s">
        <v>695</v>
      </c>
      <c r="I35" s="228"/>
      <c r="J35" s="311"/>
      <c r="K35" s="311"/>
      <c r="O35" s="302">
        <f t="shared" si="7"/>
        <v>29</v>
      </c>
      <c r="P35" s="304">
        <f t="shared" si="13"/>
        <v>1912515090.48206</v>
      </c>
      <c r="Q35" s="304">
        <f t="shared" si="14"/>
        <v>135799888.08156633</v>
      </c>
      <c r="R35" s="304">
        <f t="shared" si="15"/>
        <v>130367892.55830376</v>
      </c>
      <c r="S35" s="305">
        <f t="shared" si="16"/>
        <v>217279820.93050632</v>
      </c>
      <c r="T35" s="305">
        <f t="shared" si="17"/>
        <v>120047101.06410466</v>
      </c>
      <c r="U35" s="292">
        <f t="shared" si="18"/>
        <v>2516009793.1165409</v>
      </c>
      <c r="V35" s="305">
        <f t="shared" si="19"/>
        <v>260283118.82300234</v>
      </c>
      <c r="W35" s="305">
        <f t="shared" si="20"/>
        <v>208922904.74087146</v>
      </c>
      <c r="X35" s="305">
        <f t="shared" si="21"/>
        <v>1401986910.4675136</v>
      </c>
      <c r="Y35" s="304">
        <f t="shared" si="6"/>
        <v>80000000</v>
      </c>
      <c r="Z35" s="304">
        <f>Amortization!F36</f>
        <v>0</v>
      </c>
      <c r="AA35" s="659">
        <f t="shared" si="22"/>
        <v>1951192934.0313873</v>
      </c>
      <c r="AB35" s="304">
        <f t="shared" si="23"/>
        <v>4467202727.1479282</v>
      </c>
      <c r="AE35" s="297">
        <v>13</v>
      </c>
      <c r="AF35" s="588">
        <v>3297298804.0715837</v>
      </c>
      <c r="AG35" s="588">
        <v>877116025.11945629</v>
      </c>
      <c r="AH35" s="589">
        <f t="shared" si="24"/>
        <v>4174414829.19104</v>
      </c>
    </row>
    <row r="36" spans="1:34" x14ac:dyDescent="0.2">
      <c r="C36" s="198" t="s">
        <v>886</v>
      </c>
      <c r="D36" s="471">
        <v>50000</v>
      </c>
      <c r="E36" s="198" t="s">
        <v>878</v>
      </c>
      <c r="L36" s="311"/>
      <c r="O36" s="302">
        <f t="shared" si="7"/>
        <v>30</v>
      </c>
      <c r="P36" s="304">
        <f>P35*(1+$Q$42)</f>
        <v>1950765392.2917011</v>
      </c>
      <c r="Q36" s="304">
        <f t="shared" si="14"/>
        <v>138515885.84319767</v>
      </c>
      <c r="R36" s="304">
        <f t="shared" si="15"/>
        <v>132975250.40946984</v>
      </c>
      <c r="S36" s="305">
        <f t="shared" si="16"/>
        <v>221625417.34911644</v>
      </c>
      <c r="T36" s="305">
        <f t="shared" si="17"/>
        <v>122448043.08538675</v>
      </c>
      <c r="U36" s="292">
        <f t="shared" si="18"/>
        <v>2566329988.9788718</v>
      </c>
      <c r="V36" s="305">
        <f t="shared" si="19"/>
        <v>265488781.19946238</v>
      </c>
      <c r="W36" s="305">
        <f t="shared" si="20"/>
        <v>213101362.83568889</v>
      </c>
      <c r="X36" s="305">
        <f t="shared" si="21"/>
        <v>1430026648.6768639</v>
      </c>
      <c r="Y36" s="304">
        <f t="shared" si="6"/>
        <v>80000000</v>
      </c>
      <c r="Z36" s="304">
        <f>Amortization!F37</f>
        <v>0</v>
      </c>
      <c r="AA36" s="659">
        <f t="shared" si="22"/>
        <v>1988616792.7120152</v>
      </c>
      <c r="AB36" s="304">
        <f t="shared" si="23"/>
        <v>4554946781.6908875</v>
      </c>
      <c r="AE36" s="297">
        <v>14</v>
      </c>
      <c r="AF36" s="588">
        <v>3363244780.1530151</v>
      </c>
      <c r="AG36" s="588">
        <v>894658345.6218456</v>
      </c>
      <c r="AH36" s="589">
        <f t="shared" si="24"/>
        <v>4257903125.7748609</v>
      </c>
    </row>
    <row r="37" spans="1:34" x14ac:dyDescent="0.2">
      <c r="C37" s="198" t="s">
        <v>880</v>
      </c>
      <c r="D37" s="223">
        <f>D38</f>
        <v>130</v>
      </c>
      <c r="E37" s="198" t="s">
        <v>885</v>
      </c>
      <c r="J37" s="297" t="s">
        <v>1106</v>
      </c>
      <c r="K37" s="297" t="s">
        <v>1107</v>
      </c>
      <c r="O37" s="290"/>
      <c r="P37" s="290"/>
      <c r="Q37" s="290"/>
      <c r="R37" s="290"/>
      <c r="S37" s="290"/>
      <c r="T37" s="290"/>
      <c r="U37" s="290"/>
      <c r="V37" s="290"/>
      <c r="W37" s="307"/>
      <c r="X37" s="307" t="s">
        <v>393</v>
      </c>
      <c r="Y37" s="307"/>
      <c r="Z37" s="307"/>
      <c r="AA37" s="307"/>
      <c r="AB37" s="308">
        <f>AVERAGE(AB7:AB36)</f>
        <v>3507580187.4345045</v>
      </c>
      <c r="AE37" s="297">
        <v>15</v>
      </c>
      <c r="AF37" s="588">
        <v>3430509675.7560759</v>
      </c>
      <c r="AG37" s="588">
        <v>912551512.53428245</v>
      </c>
      <c r="AH37" s="589">
        <f t="shared" si="24"/>
        <v>4343061188.2903585</v>
      </c>
    </row>
    <row r="38" spans="1:34" x14ac:dyDescent="0.2">
      <c r="C38" s="198" t="s">
        <v>881</v>
      </c>
      <c r="D38" s="223">
        <f>Assumption!B9/1000</f>
        <v>130</v>
      </c>
      <c r="E38" s="198" t="s">
        <v>832</v>
      </c>
      <c r="J38" s="297" t="s">
        <v>1106</v>
      </c>
      <c r="K38" s="297" t="s">
        <v>1112</v>
      </c>
      <c r="AE38" s="297">
        <v>16</v>
      </c>
      <c r="AF38" s="588">
        <v>3499119869.2711978</v>
      </c>
      <c r="AG38" s="588">
        <v>930802542.78496814</v>
      </c>
      <c r="AH38" s="589">
        <f t="shared" si="24"/>
        <v>4429922412.0561657</v>
      </c>
    </row>
    <row r="39" spans="1:34" x14ac:dyDescent="0.2">
      <c r="C39" s="198" t="s">
        <v>692</v>
      </c>
      <c r="D39" s="472">
        <f>D37/D38</f>
        <v>1</v>
      </c>
      <c r="E39" s="198" t="s">
        <v>884</v>
      </c>
      <c r="J39" s="297" t="s">
        <v>1108</v>
      </c>
      <c r="L39" s="297" t="s">
        <v>1109</v>
      </c>
      <c r="O39" s="312" t="s">
        <v>66</v>
      </c>
      <c r="P39" s="312"/>
      <c r="Q39" s="305"/>
      <c r="R39" s="305"/>
      <c r="S39" s="305"/>
      <c r="T39" s="305"/>
      <c r="AE39" s="297">
        <v>17</v>
      </c>
      <c r="AF39" s="588">
        <v>3569102266.6566215</v>
      </c>
      <c r="AG39" s="588">
        <v>949418593.64066756</v>
      </c>
      <c r="AH39" s="589">
        <f t="shared" si="24"/>
        <v>4518520860.2972889</v>
      </c>
    </row>
    <row r="40" spans="1:34" x14ac:dyDescent="0.2">
      <c r="C40" s="198"/>
      <c r="D40" s="473">
        <v>1</v>
      </c>
      <c r="E40" s="198" t="s">
        <v>884</v>
      </c>
      <c r="J40" s="297" t="s">
        <v>1110</v>
      </c>
      <c r="L40" s="297" t="s">
        <v>1111</v>
      </c>
      <c r="O40" s="297" t="s">
        <v>173</v>
      </c>
      <c r="Q40" s="313"/>
      <c r="R40" s="313"/>
      <c r="S40" s="313"/>
      <c r="T40" s="313"/>
      <c r="AE40" s="297">
        <v>18</v>
      </c>
      <c r="AF40" s="588">
        <v>3640484311.9897537</v>
      </c>
      <c r="AG40" s="588">
        <v>968406965.5134809</v>
      </c>
      <c r="AH40" s="589">
        <f t="shared" si="24"/>
        <v>4608891277.5032349</v>
      </c>
    </row>
    <row r="41" spans="1:34" x14ac:dyDescent="0.25">
      <c r="J41" s="297" t="s">
        <v>1111</v>
      </c>
      <c r="L41" s="297" t="s">
        <v>1113</v>
      </c>
      <c r="O41" s="395" t="s">
        <v>531</v>
      </c>
      <c r="Q41" s="314">
        <f>Assumption!$B$29/100</f>
        <v>0.02</v>
      </c>
      <c r="R41" s="315" t="s">
        <v>176</v>
      </c>
      <c r="AE41" s="297">
        <v>19</v>
      </c>
      <c r="AF41" s="588">
        <v>3713293998.2295485</v>
      </c>
      <c r="AG41" s="588">
        <v>987775104.82375062</v>
      </c>
      <c r="AH41" s="589">
        <f t="shared" si="24"/>
        <v>4701069103.053299</v>
      </c>
    </row>
    <row r="42" spans="1:34" x14ac:dyDescent="0.2">
      <c r="C42" s="279" t="s">
        <v>903</v>
      </c>
      <c r="D42" s="198"/>
      <c r="E42" s="198"/>
      <c r="O42" s="395" t="s">
        <v>916</v>
      </c>
      <c r="P42" s="228"/>
      <c r="Q42" s="314">
        <f>Assumption!$B$29/100</f>
        <v>0.02</v>
      </c>
      <c r="R42" s="315" t="s">
        <v>176</v>
      </c>
      <c r="AE42" s="297">
        <v>20</v>
      </c>
      <c r="AF42" s="588">
        <v>3787559878.1941404</v>
      </c>
      <c r="AG42" s="588">
        <v>1007530606.9202256</v>
      </c>
      <c r="AH42" s="589">
        <f t="shared" si="24"/>
        <v>4795090485.1143665</v>
      </c>
    </row>
    <row r="43" spans="1:34" x14ac:dyDescent="0.2">
      <c r="C43" s="198" t="s">
        <v>882</v>
      </c>
      <c r="D43" s="471">
        <f>D45*D44</f>
        <v>6240000</v>
      </c>
      <c r="E43" s="198" t="s">
        <v>695</v>
      </c>
      <c r="O43" s="395" t="s">
        <v>917</v>
      </c>
      <c r="P43" s="228"/>
      <c r="Q43" s="314">
        <f>Assumption!$B$29/100</f>
        <v>0.02</v>
      </c>
      <c r="R43" s="315" t="s">
        <v>176</v>
      </c>
      <c r="AE43" s="297">
        <v>21</v>
      </c>
      <c r="AF43" s="588">
        <v>3863311075.7580233</v>
      </c>
      <c r="AG43" s="588">
        <v>1027681219.0586301</v>
      </c>
      <c r="AH43" s="589">
        <f t="shared" si="24"/>
        <v>4890992294.8166533</v>
      </c>
    </row>
    <row r="44" spans="1:34" x14ac:dyDescent="0.2">
      <c r="C44" s="198" t="s">
        <v>879</v>
      </c>
      <c r="D44" s="471">
        <v>8000</v>
      </c>
      <c r="E44" s="198" t="s">
        <v>371</v>
      </c>
      <c r="O44" s="395" t="s">
        <v>779</v>
      </c>
      <c r="P44" s="228"/>
      <c r="Q44" s="314">
        <f>Assumption!$B$29/100</f>
        <v>0.02</v>
      </c>
      <c r="R44" s="315" t="s">
        <v>176</v>
      </c>
      <c r="AE44" s="297">
        <v>22</v>
      </c>
      <c r="AF44" s="588">
        <v>3940577297.2731833</v>
      </c>
      <c r="AG44" s="588">
        <v>1048234843.4398029</v>
      </c>
      <c r="AH44" s="589">
        <f t="shared" si="24"/>
        <v>4988812140.712986</v>
      </c>
    </row>
    <row r="45" spans="1:34" x14ac:dyDescent="0.2">
      <c r="C45" s="198" t="s">
        <v>880</v>
      </c>
      <c r="D45" s="223">
        <f>(D46*0.2)*0.03</f>
        <v>780</v>
      </c>
      <c r="E45" s="198" t="s">
        <v>712</v>
      </c>
      <c r="O45" s="395" t="s">
        <v>780</v>
      </c>
      <c r="P45" s="228"/>
      <c r="Q45" s="314">
        <f>Assumption!$B$29/100</f>
        <v>0.02</v>
      </c>
      <c r="R45" s="315" t="s">
        <v>176</v>
      </c>
      <c r="AE45" s="297">
        <v>23</v>
      </c>
      <c r="AF45" s="588">
        <v>4019388843.2186475</v>
      </c>
      <c r="AG45" s="588">
        <v>1069199540.3085988</v>
      </c>
      <c r="AH45" s="589">
        <f t="shared" si="24"/>
        <v>5088588383.5272465</v>
      </c>
    </row>
    <row r="46" spans="1:34" x14ac:dyDescent="0.2">
      <c r="C46" s="198" t="s">
        <v>881</v>
      </c>
      <c r="D46" s="223">
        <f>Assumption!B9</f>
        <v>130000</v>
      </c>
      <c r="E46" s="198" t="s">
        <v>712</v>
      </c>
      <c r="O46" s="395" t="s">
        <v>723</v>
      </c>
      <c r="P46" s="228"/>
      <c r="Q46" s="314">
        <f>Assumption!$B$29/100</f>
        <v>0.02</v>
      </c>
      <c r="R46" s="315" t="s">
        <v>176</v>
      </c>
      <c r="AE46" s="297">
        <v>24</v>
      </c>
      <c r="AF46" s="588">
        <v>4099776620.0830202</v>
      </c>
      <c r="AG46" s="588">
        <v>1090583531.1147707</v>
      </c>
      <c r="AH46" s="589">
        <f t="shared" si="24"/>
        <v>5190360151.1977911</v>
      </c>
    </row>
    <row r="47" spans="1:34" x14ac:dyDescent="0.2">
      <c r="C47" s="198" t="s">
        <v>692</v>
      </c>
      <c r="D47" s="472">
        <f>D45/D46</f>
        <v>6.0000000000000001E-3</v>
      </c>
      <c r="E47" s="198" t="s">
        <v>883</v>
      </c>
      <c r="J47" s="474"/>
      <c r="K47" s="474"/>
      <c r="O47" s="395" t="s">
        <v>781</v>
      </c>
      <c r="Q47" s="314">
        <f>Assumption!$B$29/100</f>
        <v>0.02</v>
      </c>
      <c r="R47" s="315" t="s">
        <v>176</v>
      </c>
      <c r="AE47" s="297">
        <v>25</v>
      </c>
      <c r="AF47" s="588">
        <v>4181772152.4846811</v>
      </c>
      <c r="AG47" s="588">
        <v>1112395201.7370663</v>
      </c>
      <c r="AH47" s="589">
        <f t="shared" si="24"/>
        <v>5294167354.2217474</v>
      </c>
    </row>
    <row r="48" spans="1:34" x14ac:dyDescent="0.2">
      <c r="C48" s="198"/>
      <c r="D48" s="473">
        <v>1.25</v>
      </c>
      <c r="E48" s="198" t="s">
        <v>883</v>
      </c>
      <c r="J48" s="474"/>
      <c r="K48" s="474"/>
      <c r="L48" s="474"/>
      <c r="O48" s="395" t="s">
        <v>782</v>
      </c>
      <c r="Q48" s="314">
        <v>0</v>
      </c>
      <c r="R48" s="315" t="s">
        <v>176</v>
      </c>
      <c r="AE48" s="297">
        <v>26</v>
      </c>
      <c r="AF48" s="588">
        <v>4265407595.5343742</v>
      </c>
      <c r="AG48" s="588">
        <v>1134643105.7718077</v>
      </c>
      <c r="AH48" s="589">
        <f t="shared" si="24"/>
        <v>5400050701.3061819</v>
      </c>
    </row>
    <row r="49" spans="3:34" x14ac:dyDescent="0.25">
      <c r="C49" s="297" t="s">
        <v>890</v>
      </c>
      <c r="J49" s="474"/>
      <c r="K49" s="474"/>
      <c r="L49" s="474"/>
      <c r="O49" s="395" t="s">
        <v>1138</v>
      </c>
      <c r="Q49" s="314">
        <v>0.02</v>
      </c>
      <c r="R49" s="315" t="s">
        <v>176</v>
      </c>
      <c r="AE49" s="297">
        <v>27</v>
      </c>
      <c r="AF49" s="588">
        <v>4350715747.4450617</v>
      </c>
      <c r="AG49" s="588">
        <v>1157335967.8872435</v>
      </c>
      <c r="AH49" s="589">
        <f t="shared" si="24"/>
        <v>5508051715.332305</v>
      </c>
    </row>
    <row r="50" spans="3:34" x14ac:dyDescent="0.2">
      <c r="C50" s="198" t="s">
        <v>891</v>
      </c>
      <c r="D50" s="653">
        <f>0.5*D37</f>
        <v>65</v>
      </c>
      <c r="E50" s="654" t="s">
        <v>885</v>
      </c>
      <c r="J50" s="474"/>
      <c r="K50" s="474"/>
      <c r="L50" s="474"/>
      <c r="AE50" s="297">
        <v>28</v>
      </c>
      <c r="AF50" s="588">
        <v>4437730062.3939629</v>
      </c>
      <c r="AG50" s="588">
        <v>1180482687.2449887</v>
      </c>
      <c r="AH50" s="589">
        <f t="shared" si="24"/>
        <v>5618212749.6389513</v>
      </c>
    </row>
    <row r="51" spans="3:34" x14ac:dyDescent="0.25">
      <c r="J51" s="474"/>
      <c r="K51" s="474"/>
      <c r="L51" s="474"/>
      <c r="AE51" s="297">
        <v>29</v>
      </c>
      <c r="AF51" s="588">
        <v>4526484663.6418419</v>
      </c>
      <c r="AG51" s="588">
        <v>1204092340.9898884</v>
      </c>
      <c r="AH51" s="589">
        <f t="shared" si="24"/>
        <v>5730577004.6317301</v>
      </c>
    </row>
    <row r="52" spans="3:34" x14ac:dyDescent="0.2">
      <c r="C52" s="198" t="s">
        <v>692</v>
      </c>
      <c r="D52" s="471">
        <f>0.2*D37</f>
        <v>26</v>
      </c>
      <c r="E52" s="198" t="s">
        <v>1114</v>
      </c>
      <c r="J52" s="474"/>
      <c r="K52" s="474"/>
      <c r="L52" s="474"/>
      <c r="AE52" s="297">
        <v>30</v>
      </c>
      <c r="AF52" s="588">
        <v>4617014356.9146795</v>
      </c>
      <c r="AG52" s="588">
        <v>1228174187.8096862</v>
      </c>
      <c r="AH52" s="589">
        <f>SUM(AF52:AG52)</f>
        <v>5845188544.7243652</v>
      </c>
    </row>
    <row r="53" spans="3:34" x14ac:dyDescent="0.2">
      <c r="C53" s="198" t="s">
        <v>892</v>
      </c>
      <c r="D53" s="653">
        <f>D50*D52</f>
        <v>1690</v>
      </c>
      <c r="E53" s="198" t="s">
        <v>712</v>
      </c>
      <c r="J53" s="474"/>
      <c r="K53" s="474"/>
      <c r="L53" s="474"/>
    </row>
    <row r="54" spans="3:34" x14ac:dyDescent="0.2">
      <c r="C54" s="198" t="s">
        <v>893</v>
      </c>
      <c r="D54" s="655">
        <v>8000</v>
      </c>
      <c r="E54" s="198" t="s">
        <v>371</v>
      </c>
      <c r="J54" s="474"/>
      <c r="K54" s="474"/>
      <c r="L54" s="474"/>
    </row>
    <row r="55" spans="3:34" x14ac:dyDescent="0.2">
      <c r="C55" s="198" t="s">
        <v>882</v>
      </c>
      <c r="D55" s="653">
        <f>D53*D54</f>
        <v>13520000</v>
      </c>
      <c r="E55" s="198" t="s">
        <v>695</v>
      </c>
      <c r="J55" s="474"/>
      <c r="K55" s="474"/>
      <c r="L55" s="474"/>
    </row>
    <row r="56" spans="3:34" x14ac:dyDescent="0.25">
      <c r="J56" s="474"/>
      <c r="K56" s="474"/>
      <c r="L56" s="474"/>
    </row>
    <row r="57" spans="3:34" x14ac:dyDescent="0.25">
      <c r="O57" s="297" t="s">
        <v>1121</v>
      </c>
      <c r="Q57" s="297">
        <v>11.75</v>
      </c>
      <c r="R57" s="297">
        <f>Q57*D7*12</f>
        <v>18330000</v>
      </c>
    </row>
    <row r="58" spans="3:34" x14ac:dyDescent="0.25">
      <c r="L58" s="474"/>
    </row>
  </sheetData>
  <mergeCells count="2">
    <mergeCell ref="O5:T5"/>
    <mergeCell ref="V5:Y5"/>
  </mergeCells>
  <phoneticPr fontId="30" type="noConversion"/>
  <pageMargins left="0.7" right="0.7" top="0.75" bottom="0.75" header="0.3" footer="0.3"/>
  <pageSetup orientation="portrait" horizontalDpi="360" verticalDpi="360" r:id="rId1"/>
  <ignoredErrors>
    <ignoredError sqref="J19" formula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Y82"/>
  <sheetViews>
    <sheetView showGridLines="0" zoomScaleNormal="100" workbookViewId="0">
      <pane ySplit="6" topLeftCell="A7" activePane="bottomLeft" state="frozen"/>
      <selection pane="bottomLeft" activeCell="L23" sqref="L23"/>
    </sheetView>
  </sheetViews>
  <sheetFormatPr defaultColWidth="9.125" defaultRowHeight="11.25" x14ac:dyDescent="0.2"/>
  <cols>
    <col min="1" max="1" width="24.125" style="156" customWidth="1"/>
    <col min="2" max="2" width="4.75" style="156" customWidth="1"/>
    <col min="3" max="3" width="4.75" style="174" customWidth="1"/>
    <col min="4" max="4" width="14.625" style="156" customWidth="1"/>
    <col min="5" max="5" width="9.125" style="157" customWidth="1"/>
    <col min="6" max="6" width="7.25" style="157" customWidth="1"/>
    <col min="7" max="7" width="6.625" style="158" bestFit="1" customWidth="1"/>
    <col min="8" max="8" width="3.625" style="156" customWidth="1"/>
    <col min="9" max="9" width="4.875" style="156" bestFit="1" customWidth="1"/>
    <col min="10" max="10" width="9.125" style="156" customWidth="1"/>
    <col min="11" max="11" width="8.375" style="156" customWidth="1"/>
    <col min="12" max="12" width="10.25" style="156" customWidth="1"/>
    <col min="13" max="13" width="1.625" style="156" customWidth="1"/>
    <col min="14" max="14" width="4.875" style="156" bestFit="1" customWidth="1"/>
    <col min="15" max="16" width="8.125" style="156" customWidth="1"/>
    <col min="17" max="17" width="8.375" style="156" bestFit="1" customWidth="1"/>
    <col min="18" max="18" width="9.125" style="156"/>
    <col min="19" max="19" width="13.125" style="156" bestFit="1" customWidth="1"/>
    <col min="20" max="20" width="3.625" style="156" customWidth="1"/>
    <col min="21" max="21" width="4.625" style="156" customWidth="1"/>
    <col min="22" max="22" width="6.375" style="156" customWidth="1"/>
    <col min="23" max="23" width="13.75" style="156" bestFit="1" customWidth="1"/>
    <col min="24" max="24" width="3.625" style="156" customWidth="1"/>
    <col min="25" max="25" width="4.625" style="156" customWidth="1"/>
    <col min="26" max="16384" width="9.125" style="156"/>
  </cols>
  <sheetData>
    <row r="1" spans="1:25" x14ac:dyDescent="0.2">
      <c r="A1" s="329" t="str">
        <f>Assumption!A1</f>
        <v>Bisnis Penyewaan INTEGRATED COLD STORAGE - Revitalitation</v>
      </c>
    </row>
    <row r="2" spans="1:25" x14ac:dyDescent="0.2">
      <c r="A2" s="329" t="str">
        <f>Assumption!A2</f>
        <v>Financial Pre-Feasibility Study</v>
      </c>
    </row>
    <row r="3" spans="1:25" x14ac:dyDescent="0.2">
      <c r="A3" s="330" t="s">
        <v>612</v>
      </c>
    </row>
    <row r="5" spans="1:25" x14ac:dyDescent="0.2">
      <c r="Q5" s="166" t="s">
        <v>392</v>
      </c>
    </row>
    <row r="6" spans="1:25" ht="24" customHeight="1" x14ac:dyDescent="0.2">
      <c r="A6" s="331" t="s">
        <v>567</v>
      </c>
      <c r="B6" s="332"/>
      <c r="C6" s="333"/>
      <c r="D6" s="331" t="s">
        <v>615</v>
      </c>
      <c r="E6" s="334"/>
      <c r="F6" s="334"/>
      <c r="G6" s="335"/>
      <c r="I6" s="161"/>
      <c r="J6" s="161"/>
      <c r="K6" s="161"/>
      <c r="L6" s="161"/>
      <c r="M6" s="161"/>
      <c r="N6" s="161"/>
      <c r="O6" s="161"/>
      <c r="P6" s="161"/>
      <c r="Q6" s="161"/>
    </row>
    <row r="7" spans="1:25" x14ac:dyDescent="0.2">
      <c r="A7" s="165" t="s">
        <v>758</v>
      </c>
      <c r="D7" s="163" t="s">
        <v>69</v>
      </c>
      <c r="E7" s="715" t="s">
        <v>70</v>
      </c>
      <c r="F7" s="715"/>
      <c r="G7" s="336" t="s">
        <v>728</v>
      </c>
      <c r="I7" s="715" t="s">
        <v>755</v>
      </c>
      <c r="J7" s="715"/>
      <c r="K7" s="715"/>
      <c r="L7" s="715"/>
      <c r="M7" s="479"/>
      <c r="N7" s="715" t="s">
        <v>756</v>
      </c>
      <c r="O7" s="715"/>
      <c r="P7" s="715"/>
      <c r="Q7" s="715"/>
    </row>
    <row r="8" spans="1:25" x14ac:dyDescent="0.2">
      <c r="A8" s="408" t="s">
        <v>757</v>
      </c>
      <c r="D8" s="163"/>
      <c r="E8" s="162"/>
      <c r="F8" s="162"/>
      <c r="G8" s="336" t="s">
        <v>253</v>
      </c>
      <c r="I8" s="162" t="s">
        <v>70</v>
      </c>
      <c r="J8" s="162" t="s">
        <v>907</v>
      </c>
      <c r="K8" s="162" t="s">
        <v>915</v>
      </c>
      <c r="L8" s="162" t="s">
        <v>391</v>
      </c>
      <c r="M8" s="479"/>
      <c r="N8" s="162" t="s">
        <v>70</v>
      </c>
      <c r="O8" s="162" t="s">
        <v>907</v>
      </c>
      <c r="P8" s="162" t="s">
        <v>915</v>
      </c>
      <c r="Q8" s="162" t="s">
        <v>391</v>
      </c>
      <c r="U8" s="738" t="s">
        <v>931</v>
      </c>
      <c r="V8" s="739"/>
    </row>
    <row r="9" spans="1:25" x14ac:dyDescent="0.2">
      <c r="A9" s="408" t="s">
        <v>759</v>
      </c>
      <c r="C9" s="337"/>
      <c r="D9" s="156" t="s">
        <v>894</v>
      </c>
      <c r="E9" s="159">
        <v>0</v>
      </c>
      <c r="F9" s="496" t="s">
        <v>694</v>
      </c>
      <c r="G9" s="274">
        <v>5500000</v>
      </c>
      <c r="I9" s="159">
        <v>0</v>
      </c>
      <c r="J9" s="156">
        <f t="shared" ref="J9:J16" si="0">I9*G9</f>
        <v>0</v>
      </c>
      <c r="K9" s="156">
        <f t="shared" ref="K9:K16" si="1">I9*G9</f>
        <v>0</v>
      </c>
      <c r="L9" s="156">
        <f t="shared" ref="L9:L16" si="2">J9*12+K9</f>
        <v>0</v>
      </c>
      <c r="M9" s="174"/>
      <c r="N9" s="157">
        <f>E9</f>
        <v>0</v>
      </c>
      <c r="O9" s="156">
        <f t="shared" ref="O9:O16" si="3">N9*G9</f>
        <v>0</v>
      </c>
      <c r="P9" s="156">
        <f t="shared" ref="P9:P16" si="4">N9*G9</f>
        <v>0</v>
      </c>
      <c r="Q9" s="156">
        <f t="shared" ref="Q9:Q16" si="5">O9*12+P9</f>
        <v>0</v>
      </c>
      <c r="U9" s="740" t="s">
        <v>932</v>
      </c>
      <c r="V9" s="741"/>
    </row>
    <row r="10" spans="1:25" ht="10.5" customHeight="1" x14ac:dyDescent="0.2">
      <c r="A10" s="408" t="s">
        <v>760</v>
      </c>
      <c r="D10" s="156" t="s">
        <v>895</v>
      </c>
      <c r="E10" s="159">
        <v>0</v>
      </c>
      <c r="F10" s="496" t="s">
        <v>694</v>
      </c>
      <c r="G10" s="274">
        <v>4500000</v>
      </c>
      <c r="I10" s="159">
        <v>0</v>
      </c>
      <c r="J10" s="156">
        <f t="shared" si="0"/>
        <v>0</v>
      </c>
      <c r="K10" s="156">
        <f t="shared" si="1"/>
        <v>0</v>
      </c>
      <c r="L10" s="156">
        <f t="shared" si="2"/>
        <v>0</v>
      </c>
      <c r="M10" s="174"/>
      <c r="N10" s="157">
        <f>E10</f>
        <v>0</v>
      </c>
      <c r="O10" s="156">
        <f t="shared" si="3"/>
        <v>0</v>
      </c>
      <c r="P10" s="156">
        <f t="shared" si="4"/>
        <v>0</v>
      </c>
      <c r="Q10" s="156">
        <f t="shared" si="5"/>
        <v>0</v>
      </c>
    </row>
    <row r="11" spans="1:25" x14ac:dyDescent="0.2">
      <c r="A11" s="156" t="s">
        <v>761</v>
      </c>
      <c r="D11" s="156" t="s">
        <v>896</v>
      </c>
      <c r="E11" s="159">
        <v>1</v>
      </c>
      <c r="F11" s="496" t="s">
        <v>694</v>
      </c>
      <c r="G11" s="274">
        <v>9000000</v>
      </c>
      <c r="I11" s="159">
        <v>0</v>
      </c>
      <c r="J11" s="156">
        <f t="shared" si="0"/>
        <v>0</v>
      </c>
      <c r="K11" s="156">
        <f t="shared" si="1"/>
        <v>0</v>
      </c>
      <c r="L11" s="156">
        <f t="shared" si="2"/>
        <v>0</v>
      </c>
      <c r="M11" s="174"/>
      <c r="N11" s="157">
        <f>E11</f>
        <v>1</v>
      </c>
      <c r="O11" s="156">
        <f t="shared" si="3"/>
        <v>9000000</v>
      </c>
      <c r="P11" s="156">
        <f t="shared" si="4"/>
        <v>9000000</v>
      </c>
      <c r="Q11" s="156">
        <f t="shared" si="5"/>
        <v>117000000</v>
      </c>
      <c r="U11" s="734" t="s">
        <v>896</v>
      </c>
      <c r="V11" s="735"/>
    </row>
    <row r="12" spans="1:25" x14ac:dyDescent="0.2">
      <c r="D12" s="156" t="s">
        <v>897</v>
      </c>
      <c r="E12" s="159">
        <v>0</v>
      </c>
      <c r="F12" s="496" t="s">
        <v>694</v>
      </c>
      <c r="G12" s="274">
        <v>8000000</v>
      </c>
      <c r="I12" s="159">
        <v>0</v>
      </c>
      <c r="J12" s="156">
        <f t="shared" si="0"/>
        <v>0</v>
      </c>
      <c r="K12" s="156">
        <f t="shared" si="1"/>
        <v>0</v>
      </c>
      <c r="L12" s="156">
        <f t="shared" si="2"/>
        <v>0</v>
      </c>
      <c r="M12" s="174"/>
      <c r="N12" s="157">
        <f>E12</f>
        <v>0</v>
      </c>
      <c r="O12" s="156">
        <f t="shared" si="3"/>
        <v>0</v>
      </c>
      <c r="P12" s="156">
        <f t="shared" si="4"/>
        <v>0</v>
      </c>
      <c r="Q12" s="156">
        <f t="shared" si="5"/>
        <v>0</v>
      </c>
      <c r="U12" s="736"/>
      <c r="V12" s="737"/>
    </row>
    <row r="13" spans="1:25" x14ac:dyDescent="0.2">
      <c r="D13" s="156" t="s">
        <v>924</v>
      </c>
      <c r="E13" s="159">
        <v>1</v>
      </c>
      <c r="F13" s="496" t="s">
        <v>694</v>
      </c>
      <c r="G13" s="338">
        <v>7000000</v>
      </c>
      <c r="I13" s="159">
        <v>0</v>
      </c>
      <c r="J13" s="156">
        <f t="shared" si="0"/>
        <v>0</v>
      </c>
      <c r="K13" s="156">
        <f t="shared" si="1"/>
        <v>0</v>
      </c>
      <c r="L13" s="156">
        <f t="shared" si="2"/>
        <v>0</v>
      </c>
      <c r="M13" s="174"/>
      <c r="N13" s="157">
        <v>1</v>
      </c>
      <c r="O13" s="156">
        <f t="shared" si="3"/>
        <v>7000000</v>
      </c>
      <c r="P13" s="156">
        <f t="shared" si="4"/>
        <v>7000000</v>
      </c>
      <c r="Q13" s="156">
        <f t="shared" si="5"/>
        <v>91000000</v>
      </c>
    </row>
    <row r="14" spans="1:25" x14ac:dyDescent="0.2">
      <c r="D14" s="156" t="s">
        <v>753</v>
      </c>
      <c r="E14" s="159">
        <v>1</v>
      </c>
      <c r="F14" s="496" t="s">
        <v>694</v>
      </c>
      <c r="G14" s="338">
        <v>3500000</v>
      </c>
      <c r="I14" s="159">
        <v>1</v>
      </c>
      <c r="J14" s="156">
        <f t="shared" si="0"/>
        <v>3500000</v>
      </c>
      <c r="K14" s="156">
        <f t="shared" si="1"/>
        <v>3500000</v>
      </c>
      <c r="L14" s="156">
        <f t="shared" si="2"/>
        <v>45500000</v>
      </c>
      <c r="M14" s="174"/>
      <c r="N14" s="157">
        <f t="shared" ref="N14:N21" si="6">E14-I14</f>
        <v>0</v>
      </c>
      <c r="O14" s="156">
        <f t="shared" si="3"/>
        <v>0</v>
      </c>
      <c r="P14" s="156">
        <f t="shared" si="4"/>
        <v>0</v>
      </c>
      <c r="Q14" s="156">
        <f t="shared" si="5"/>
        <v>0</v>
      </c>
    </row>
    <row r="15" spans="1:25" x14ac:dyDescent="0.2">
      <c r="D15" s="156" t="s">
        <v>1041</v>
      </c>
      <c r="E15" s="159">
        <v>1</v>
      </c>
      <c r="F15" s="496" t="s">
        <v>694</v>
      </c>
      <c r="G15" s="274">
        <v>4000000</v>
      </c>
      <c r="I15" s="159">
        <v>0</v>
      </c>
      <c r="J15" s="156">
        <f t="shared" si="0"/>
        <v>0</v>
      </c>
      <c r="K15" s="156">
        <f t="shared" si="1"/>
        <v>0</v>
      </c>
      <c r="L15" s="156">
        <f t="shared" si="2"/>
        <v>0</v>
      </c>
      <c r="M15" s="174"/>
      <c r="N15" s="157">
        <f t="shared" si="6"/>
        <v>1</v>
      </c>
      <c r="O15" s="156">
        <f t="shared" si="3"/>
        <v>4000000</v>
      </c>
      <c r="P15" s="156">
        <f t="shared" si="4"/>
        <v>4000000</v>
      </c>
      <c r="Q15" s="156">
        <f t="shared" si="5"/>
        <v>52000000</v>
      </c>
    </row>
    <row r="16" spans="1:25" x14ac:dyDescent="0.2">
      <c r="D16" s="156" t="s">
        <v>690</v>
      </c>
      <c r="E16" s="159">
        <v>1</v>
      </c>
      <c r="F16" s="496" t="s">
        <v>694</v>
      </c>
      <c r="G16" s="338">
        <v>4500000</v>
      </c>
      <c r="I16" s="159">
        <v>1</v>
      </c>
      <c r="J16" s="156">
        <f t="shared" si="0"/>
        <v>4500000</v>
      </c>
      <c r="K16" s="156">
        <f t="shared" si="1"/>
        <v>4500000</v>
      </c>
      <c r="L16" s="156">
        <f t="shared" si="2"/>
        <v>58500000</v>
      </c>
      <c r="M16" s="174"/>
      <c r="N16" s="157">
        <f t="shared" si="6"/>
        <v>0</v>
      </c>
      <c r="O16" s="156">
        <f t="shared" si="3"/>
        <v>0</v>
      </c>
      <c r="P16" s="156">
        <f t="shared" si="4"/>
        <v>0</v>
      </c>
      <c r="Q16" s="156">
        <f t="shared" si="5"/>
        <v>0</v>
      </c>
      <c r="S16" s="722" t="s">
        <v>930</v>
      </c>
      <c r="T16" s="723"/>
      <c r="U16" s="724"/>
      <c r="W16" s="728" t="s">
        <v>929</v>
      </c>
      <c r="X16" s="729"/>
      <c r="Y16" s="730"/>
    </row>
    <row r="17" spans="1:25" x14ac:dyDescent="0.2">
      <c r="D17" s="156" t="s">
        <v>1042</v>
      </c>
      <c r="E17" s="159">
        <v>1</v>
      </c>
      <c r="F17" s="496" t="s">
        <v>694</v>
      </c>
      <c r="G17" s="338">
        <v>4000000</v>
      </c>
      <c r="I17" s="159">
        <v>0</v>
      </c>
      <c r="J17" s="156">
        <f>I17*G17</f>
        <v>0</v>
      </c>
      <c r="K17" s="156">
        <f>I17*G17</f>
        <v>0</v>
      </c>
      <c r="L17" s="156">
        <f>J17*12+K17</f>
        <v>0</v>
      </c>
      <c r="M17" s="174"/>
      <c r="N17" s="157">
        <f t="shared" si="6"/>
        <v>1</v>
      </c>
      <c r="O17" s="156">
        <f>N17*G17</f>
        <v>4000000</v>
      </c>
      <c r="P17" s="156">
        <f>N17*G17</f>
        <v>4000000</v>
      </c>
      <c r="Q17" s="156">
        <f>O17*12+P17</f>
        <v>52000000</v>
      </c>
      <c r="S17" s="725"/>
      <c r="T17" s="726"/>
      <c r="U17" s="727"/>
      <c r="W17" s="731"/>
      <c r="X17" s="732"/>
      <c r="Y17" s="733"/>
    </row>
    <row r="18" spans="1:25" x14ac:dyDescent="0.2">
      <c r="D18" s="156" t="s">
        <v>688</v>
      </c>
      <c r="E18" s="159">
        <v>3</v>
      </c>
      <c r="F18" s="496" t="s">
        <v>694</v>
      </c>
      <c r="G18" s="338">
        <v>3500000</v>
      </c>
      <c r="I18" s="159">
        <v>0</v>
      </c>
      <c r="J18" s="156">
        <f>I18*G18</f>
        <v>0</v>
      </c>
      <c r="K18" s="156">
        <f>I18*G18</f>
        <v>0</v>
      </c>
      <c r="L18" s="156">
        <f>J18*12+K18</f>
        <v>0</v>
      </c>
      <c r="M18" s="174"/>
      <c r="N18" s="157">
        <f t="shared" si="6"/>
        <v>3</v>
      </c>
      <c r="O18" s="156">
        <f>N18*G18</f>
        <v>10500000</v>
      </c>
      <c r="P18" s="156">
        <f>N18*G18</f>
        <v>10500000</v>
      </c>
      <c r="Q18" s="156">
        <f>O18*12+P18</f>
        <v>136500000</v>
      </c>
    </row>
    <row r="19" spans="1:25" x14ac:dyDescent="0.2">
      <c r="D19" s="156" t="s">
        <v>689</v>
      </c>
      <c r="E19" s="159">
        <v>1</v>
      </c>
      <c r="F19" s="496" t="s">
        <v>694</v>
      </c>
      <c r="G19" s="338">
        <v>3500000</v>
      </c>
      <c r="I19" s="159">
        <v>1</v>
      </c>
      <c r="J19" s="156">
        <f>I19*G19</f>
        <v>3500000</v>
      </c>
      <c r="K19" s="156">
        <f>I19*G19</f>
        <v>3500000</v>
      </c>
      <c r="L19" s="156">
        <f>J19*12+K19</f>
        <v>45500000</v>
      </c>
      <c r="M19" s="174"/>
      <c r="N19" s="157">
        <f t="shared" si="6"/>
        <v>0</v>
      </c>
      <c r="O19" s="156">
        <f>N19*G19</f>
        <v>0</v>
      </c>
      <c r="P19" s="156">
        <f>N19*G19</f>
        <v>0</v>
      </c>
      <c r="Q19" s="156">
        <f>O19*12+P19</f>
        <v>0</v>
      </c>
      <c r="S19" s="716" t="s">
        <v>597</v>
      </c>
      <c r="T19" s="717"/>
      <c r="U19" s="718"/>
      <c r="W19" s="719" t="s">
        <v>928</v>
      </c>
      <c r="X19" s="720"/>
      <c r="Y19" s="721"/>
    </row>
    <row r="20" spans="1:25" x14ac:dyDescent="0.2">
      <c r="D20" s="156" t="s">
        <v>933</v>
      </c>
      <c r="E20" s="157">
        <f>E27</f>
        <v>25</v>
      </c>
      <c r="F20" s="496" t="s">
        <v>694</v>
      </c>
      <c r="G20" s="156">
        <f>E31</f>
        <v>3380000</v>
      </c>
      <c r="I20" s="159">
        <f>E20</f>
        <v>25</v>
      </c>
      <c r="J20" s="156">
        <f>I20*G20</f>
        <v>84500000</v>
      </c>
      <c r="K20" s="156">
        <f>I20*G20</f>
        <v>84500000</v>
      </c>
      <c r="L20" s="156">
        <f>J20*12+K20</f>
        <v>1098500000</v>
      </c>
      <c r="M20" s="174"/>
      <c r="N20" s="157">
        <f t="shared" si="6"/>
        <v>0</v>
      </c>
      <c r="O20" s="156">
        <f>N20*G20</f>
        <v>0</v>
      </c>
      <c r="P20" s="156">
        <f>N20*G20</f>
        <v>0</v>
      </c>
      <c r="Q20" s="156">
        <f>O20*12+P20</f>
        <v>0</v>
      </c>
      <c r="S20" s="495" t="s">
        <v>924</v>
      </c>
      <c r="T20" s="490">
        <v>1</v>
      </c>
      <c r="U20" s="491" t="s">
        <v>694</v>
      </c>
      <c r="W20" s="495" t="s">
        <v>924</v>
      </c>
      <c r="X20" s="490">
        <v>0</v>
      </c>
      <c r="Y20" s="491" t="s">
        <v>694</v>
      </c>
    </row>
    <row r="21" spans="1:25" x14ac:dyDescent="0.2">
      <c r="D21" s="156" t="s">
        <v>697</v>
      </c>
      <c r="E21" s="159">
        <v>2</v>
      </c>
      <c r="F21" s="496" t="s">
        <v>694</v>
      </c>
      <c r="G21" s="274">
        <v>3000000</v>
      </c>
      <c r="I21" s="159">
        <v>0</v>
      </c>
      <c r="J21" s="156">
        <f>I21*G21</f>
        <v>0</v>
      </c>
      <c r="K21" s="156">
        <f>I21*G21</f>
        <v>0</v>
      </c>
      <c r="L21" s="156">
        <f>J21*12+K21</f>
        <v>0</v>
      </c>
      <c r="M21" s="174"/>
      <c r="N21" s="157">
        <f t="shared" si="6"/>
        <v>2</v>
      </c>
      <c r="O21" s="156">
        <f>N21*G21</f>
        <v>6000000</v>
      </c>
      <c r="P21" s="156">
        <f>N21*G21</f>
        <v>6000000</v>
      </c>
      <c r="Q21" s="156">
        <f>O21*12+P21</f>
        <v>78000000</v>
      </c>
      <c r="S21" s="463" t="s">
        <v>925</v>
      </c>
      <c r="T21" s="156">
        <v>1</v>
      </c>
      <c r="U21" s="492" t="s">
        <v>694</v>
      </c>
      <c r="W21" s="463" t="s">
        <v>654</v>
      </c>
      <c r="X21" s="156">
        <v>1</v>
      </c>
      <c r="Y21" s="492" t="s">
        <v>694</v>
      </c>
    </row>
    <row r="22" spans="1:25" x14ac:dyDescent="0.2">
      <c r="A22" s="163"/>
      <c r="B22" s="163"/>
      <c r="D22" s="163"/>
      <c r="E22" s="162"/>
      <c r="F22" s="162"/>
      <c r="G22" s="339"/>
      <c r="I22" s="163"/>
      <c r="J22" s="163"/>
      <c r="K22" s="163"/>
      <c r="L22" s="163"/>
      <c r="M22" s="163"/>
      <c r="N22" s="163"/>
      <c r="O22" s="163"/>
      <c r="P22" s="163"/>
      <c r="Q22" s="163"/>
      <c r="S22" s="463" t="s">
        <v>1043</v>
      </c>
      <c r="T22" s="156">
        <v>1</v>
      </c>
      <c r="U22" s="492" t="s">
        <v>694</v>
      </c>
      <c r="W22" s="463" t="s">
        <v>1042</v>
      </c>
      <c r="X22" s="156">
        <v>1</v>
      </c>
      <c r="Y22" s="492" t="s">
        <v>694</v>
      </c>
    </row>
    <row r="23" spans="1:25" x14ac:dyDescent="0.2">
      <c r="D23" s="340" t="s">
        <v>529</v>
      </c>
      <c r="E23" s="160">
        <f>SUM(E9:E21)</f>
        <v>37</v>
      </c>
      <c r="F23" s="496" t="s">
        <v>694</v>
      </c>
      <c r="G23" s="496" t="s">
        <v>941</v>
      </c>
      <c r="J23" s="164">
        <f>SUM(J9:J22)</f>
        <v>96000000</v>
      </c>
      <c r="K23" s="164">
        <f>SUM(K9:K22)</f>
        <v>96000000</v>
      </c>
      <c r="L23" s="164">
        <f>SUM(L9:L22)</f>
        <v>1248000000</v>
      </c>
      <c r="O23" s="164">
        <f>SUM(O9:O22)</f>
        <v>40500000</v>
      </c>
      <c r="P23" s="164">
        <f>SUM(P9:P22)</f>
        <v>40500000</v>
      </c>
      <c r="Q23" s="164">
        <f>SUM(Q9:Q22)</f>
        <v>526500000</v>
      </c>
      <c r="S23" s="463" t="s">
        <v>689</v>
      </c>
      <c r="T23" s="156">
        <v>1</v>
      </c>
      <c r="U23" s="492" t="s">
        <v>694</v>
      </c>
      <c r="W23" s="465" t="s">
        <v>927</v>
      </c>
      <c r="X23" s="493">
        <v>3</v>
      </c>
      <c r="Y23" s="494" t="s">
        <v>694</v>
      </c>
    </row>
    <row r="24" spans="1:25" x14ac:dyDescent="0.2">
      <c r="D24" s="157"/>
      <c r="G24" s="157"/>
      <c r="S24" s="463" t="s">
        <v>753</v>
      </c>
      <c r="T24" s="156">
        <v>1</v>
      </c>
      <c r="U24" s="492" t="s">
        <v>694</v>
      </c>
    </row>
    <row r="25" spans="1:25" x14ac:dyDescent="0.2">
      <c r="D25" s="329" t="s">
        <v>934</v>
      </c>
      <c r="S25" s="463" t="s">
        <v>926</v>
      </c>
      <c r="T25" s="156">
        <v>25</v>
      </c>
      <c r="U25" s="492" t="s">
        <v>694</v>
      </c>
    </row>
    <row r="26" spans="1:25" x14ac:dyDescent="0.2">
      <c r="D26" s="156" t="s">
        <v>935</v>
      </c>
      <c r="E26" s="497">
        <f>Assumption!B39</f>
        <v>1</v>
      </c>
      <c r="F26" s="497" t="s">
        <v>727</v>
      </c>
      <c r="S26" s="587" t="s">
        <v>697</v>
      </c>
      <c r="T26" s="493">
        <v>1</v>
      </c>
      <c r="U26" s="494" t="s">
        <v>694</v>
      </c>
    </row>
    <row r="27" spans="1:25" x14ac:dyDescent="0.2">
      <c r="D27" s="156" t="s">
        <v>936</v>
      </c>
      <c r="E27" s="501">
        <v>25</v>
      </c>
      <c r="F27" s="497" t="s">
        <v>937</v>
      </c>
    </row>
    <row r="28" spans="1:25" x14ac:dyDescent="0.2">
      <c r="D28" s="156" t="s">
        <v>938</v>
      </c>
      <c r="E28" s="497">
        <f>Assumption!E39</f>
        <v>650</v>
      </c>
      <c r="F28" s="497" t="s">
        <v>725</v>
      </c>
    </row>
    <row r="29" spans="1:25" x14ac:dyDescent="0.2">
      <c r="D29" s="156" t="s">
        <v>940</v>
      </c>
      <c r="E29" s="497">
        <f>Assumption!B9/1000</f>
        <v>130</v>
      </c>
      <c r="F29" s="497" t="s">
        <v>832</v>
      </c>
      <c r="H29" s="157"/>
    </row>
    <row r="30" spans="1:25" x14ac:dyDescent="0.2">
      <c r="D30" s="156" t="s">
        <v>939</v>
      </c>
      <c r="E30" s="497">
        <f>E28*E29*1000*E26</f>
        <v>84500000</v>
      </c>
      <c r="F30" s="497" t="s">
        <v>942</v>
      </c>
    </row>
    <row r="31" spans="1:25" x14ac:dyDescent="0.2">
      <c r="E31" s="497">
        <f>E30/E27</f>
        <v>3380000</v>
      </c>
      <c r="F31" s="497" t="s">
        <v>943</v>
      </c>
    </row>
    <row r="32" spans="1:25" x14ac:dyDescent="0.2">
      <c r="D32" s="156" t="s">
        <v>945</v>
      </c>
      <c r="E32" s="497"/>
    </row>
    <row r="33" spans="4:8" x14ac:dyDescent="0.2">
      <c r="D33" s="156" t="s">
        <v>947</v>
      </c>
      <c r="E33" s="497">
        <f>E31/E29/1000</f>
        <v>26</v>
      </c>
      <c r="F33" s="497" t="s">
        <v>946</v>
      </c>
    </row>
    <row r="35" spans="4:8" x14ac:dyDescent="0.2">
      <c r="F35" s="498"/>
    </row>
    <row r="37" spans="4:8" x14ac:dyDescent="0.2">
      <c r="F37" s="498"/>
    </row>
    <row r="40" spans="4:8" x14ac:dyDescent="0.2">
      <c r="H40" s="157"/>
    </row>
    <row r="41" spans="4:8" x14ac:dyDescent="0.2">
      <c r="H41" s="157"/>
    </row>
    <row r="42" spans="4:8" x14ac:dyDescent="0.2">
      <c r="H42" s="157"/>
    </row>
    <row r="43" spans="4:8" x14ac:dyDescent="0.2">
      <c r="H43" s="157"/>
    </row>
    <row r="44" spans="4:8" x14ac:dyDescent="0.2">
      <c r="H44" s="157"/>
    </row>
    <row r="45" spans="4:8" x14ac:dyDescent="0.2">
      <c r="H45" s="157"/>
    </row>
    <row r="46" spans="4:8" x14ac:dyDescent="0.2">
      <c r="H46" s="157"/>
    </row>
    <row r="47" spans="4:8" x14ac:dyDescent="0.2">
      <c r="H47" s="157"/>
    </row>
    <row r="48" spans="4:8" x14ac:dyDescent="0.2">
      <c r="H48" s="157"/>
    </row>
    <row r="49" spans="5:8" x14ac:dyDescent="0.2">
      <c r="H49" s="157"/>
    </row>
    <row r="50" spans="5:8" x14ac:dyDescent="0.2">
      <c r="H50" s="157"/>
    </row>
    <row r="64" spans="5:8" x14ac:dyDescent="0.2">
      <c r="E64" s="156"/>
      <c r="F64" s="156"/>
      <c r="G64" s="156"/>
    </row>
    <row r="65" spans="5:7" x14ac:dyDescent="0.2">
      <c r="E65" s="156"/>
      <c r="F65" s="156"/>
      <c r="G65" s="156"/>
    </row>
    <row r="66" spans="5:7" x14ac:dyDescent="0.2">
      <c r="E66" s="156"/>
      <c r="F66" s="156"/>
      <c r="G66" s="156"/>
    </row>
    <row r="67" spans="5:7" x14ac:dyDescent="0.2">
      <c r="E67" s="156"/>
      <c r="F67" s="156"/>
      <c r="G67" s="156"/>
    </row>
    <row r="68" spans="5:7" x14ac:dyDescent="0.2">
      <c r="E68" s="156"/>
      <c r="F68" s="156"/>
      <c r="G68" s="156"/>
    </row>
    <row r="69" spans="5:7" x14ac:dyDescent="0.2">
      <c r="E69" s="156"/>
      <c r="F69" s="156"/>
      <c r="G69" s="156"/>
    </row>
    <row r="70" spans="5:7" x14ac:dyDescent="0.2">
      <c r="E70" s="156"/>
      <c r="F70" s="156"/>
      <c r="G70" s="156"/>
    </row>
    <row r="71" spans="5:7" x14ac:dyDescent="0.2">
      <c r="E71" s="156"/>
      <c r="F71" s="156"/>
      <c r="G71" s="156"/>
    </row>
    <row r="72" spans="5:7" x14ac:dyDescent="0.2">
      <c r="E72" s="156"/>
      <c r="F72" s="156"/>
      <c r="G72" s="156"/>
    </row>
    <row r="73" spans="5:7" x14ac:dyDescent="0.2">
      <c r="E73" s="156"/>
      <c r="F73" s="156"/>
      <c r="G73" s="156"/>
    </row>
    <row r="74" spans="5:7" x14ac:dyDescent="0.2">
      <c r="E74" s="156"/>
      <c r="F74" s="156"/>
      <c r="G74" s="156"/>
    </row>
    <row r="75" spans="5:7" x14ac:dyDescent="0.2">
      <c r="E75" s="156"/>
      <c r="F75" s="156"/>
      <c r="G75" s="156"/>
    </row>
    <row r="76" spans="5:7" x14ac:dyDescent="0.2">
      <c r="E76" s="156"/>
      <c r="F76" s="156"/>
      <c r="G76" s="156"/>
    </row>
    <row r="77" spans="5:7" x14ac:dyDescent="0.2">
      <c r="E77" s="156"/>
      <c r="F77" s="156"/>
      <c r="G77" s="156"/>
    </row>
    <row r="78" spans="5:7" x14ac:dyDescent="0.2">
      <c r="E78" s="156"/>
      <c r="F78" s="156"/>
      <c r="G78" s="156"/>
    </row>
    <row r="79" spans="5:7" x14ac:dyDescent="0.2">
      <c r="E79" s="156"/>
      <c r="F79" s="156"/>
      <c r="G79" s="156"/>
    </row>
    <row r="80" spans="5:7" x14ac:dyDescent="0.2">
      <c r="E80" s="156"/>
      <c r="F80" s="156"/>
      <c r="G80" s="156"/>
    </row>
    <row r="81" spans="5:7" x14ac:dyDescent="0.2">
      <c r="E81" s="156"/>
      <c r="F81" s="156"/>
      <c r="G81" s="156"/>
    </row>
    <row r="82" spans="5:7" x14ac:dyDescent="0.2">
      <c r="E82" s="156"/>
      <c r="F82" s="156"/>
      <c r="G82" s="156"/>
    </row>
  </sheetData>
  <mergeCells count="10">
    <mergeCell ref="E7:F7"/>
    <mergeCell ref="I7:L7"/>
    <mergeCell ref="N7:Q7"/>
    <mergeCell ref="S19:U19"/>
    <mergeCell ref="W19:Y19"/>
    <mergeCell ref="S16:U17"/>
    <mergeCell ref="W16:Y17"/>
    <mergeCell ref="U11:V12"/>
    <mergeCell ref="U8:V8"/>
    <mergeCell ref="U9:V9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N45"/>
  <sheetViews>
    <sheetView showGridLines="0" zoomScaleNormal="100" workbookViewId="0">
      <pane ySplit="6" topLeftCell="A7" activePane="bottomLeft" state="frozen"/>
      <selection pane="bottomLeft" activeCell="C10" sqref="C10"/>
    </sheetView>
  </sheetViews>
  <sheetFormatPr defaultColWidth="9.125" defaultRowHeight="11.25" x14ac:dyDescent="0.25"/>
  <cols>
    <col min="1" max="1" width="2.125" style="271" customWidth="1"/>
    <col min="2" max="2" width="14.25" style="271" bestFit="1" customWidth="1"/>
    <col min="3" max="3" width="9.25" style="271" customWidth="1"/>
    <col min="4" max="4" width="9.375" style="271" customWidth="1"/>
    <col min="5" max="5" width="12.5" style="271" bestFit="1" customWidth="1"/>
    <col min="6" max="6" width="5.625" style="271" customWidth="1"/>
    <col min="7" max="7" width="5.875" style="271" bestFit="1" customWidth="1"/>
    <col min="8" max="8" width="9" style="271" bestFit="1" customWidth="1"/>
    <col min="9" max="9" width="9.125" style="271" customWidth="1"/>
    <col min="10" max="10" width="8.875" style="271" customWidth="1"/>
    <col min="11" max="11" width="9.375" style="271" customWidth="1"/>
    <col min="12" max="12" width="8.625" style="271" customWidth="1"/>
    <col min="13" max="13" width="11" style="271" customWidth="1"/>
    <col min="14" max="14" width="16.625" style="271" bestFit="1" customWidth="1"/>
    <col min="15" max="16384" width="9.125" style="271"/>
  </cols>
  <sheetData>
    <row r="1" spans="1:13" x14ac:dyDescent="0.2">
      <c r="A1" s="279" t="str">
        <f>Assumption!A1</f>
        <v>Bisnis Penyewaan INTEGRATED COLD STORAGE - Revitalitation</v>
      </c>
    </row>
    <row r="2" spans="1:13" x14ac:dyDescent="0.2">
      <c r="A2" s="279" t="str">
        <f>Assumption!A2</f>
        <v>Financial Pre-Feasibility Study</v>
      </c>
    </row>
    <row r="3" spans="1:13" x14ac:dyDescent="0.25">
      <c r="A3" s="281" t="s">
        <v>613</v>
      </c>
    </row>
    <row r="4" spans="1:13" ht="10.5" customHeight="1" x14ac:dyDescent="0.25"/>
    <row r="5" spans="1:13" x14ac:dyDescent="0.25">
      <c r="M5" s="318" t="s">
        <v>610</v>
      </c>
    </row>
    <row r="6" spans="1:13" ht="24.75" customHeight="1" x14ac:dyDescent="0.25">
      <c r="A6" s="260" t="s">
        <v>567</v>
      </c>
      <c r="B6" s="285"/>
      <c r="C6" s="285"/>
      <c r="D6" s="285"/>
      <c r="E6" s="285"/>
      <c r="G6" s="236" t="s">
        <v>542</v>
      </c>
      <c r="H6" s="409" t="s">
        <v>612</v>
      </c>
      <c r="I6" s="592" t="s">
        <v>767</v>
      </c>
      <c r="J6" s="409" t="s">
        <v>696</v>
      </c>
      <c r="K6" s="270" t="s">
        <v>766</v>
      </c>
      <c r="L6" s="270" t="s">
        <v>900</v>
      </c>
      <c r="M6" s="236" t="s">
        <v>363</v>
      </c>
    </row>
    <row r="7" spans="1:13" x14ac:dyDescent="0.25">
      <c r="A7" s="321" t="s">
        <v>792</v>
      </c>
      <c r="F7" s="319"/>
      <c r="G7" s="287">
        <v>1</v>
      </c>
      <c r="H7" s="410">
        <f>C9</f>
        <v>526500000</v>
      </c>
      <c r="I7" s="295">
        <f>C10</f>
        <v>144300000</v>
      </c>
      <c r="J7" s="295">
        <f>C11</f>
        <v>4800000</v>
      </c>
      <c r="K7" s="295">
        <f>C12</f>
        <v>6000000</v>
      </c>
      <c r="L7" s="295">
        <f>C13</f>
        <v>10000000</v>
      </c>
      <c r="M7" s="411">
        <f t="shared" ref="M7:M16" si="0">SUM(H7:L7)</f>
        <v>691600000</v>
      </c>
    </row>
    <row r="8" spans="1:13" x14ac:dyDescent="0.25">
      <c r="A8" s="266" t="s">
        <v>793</v>
      </c>
      <c r="F8" s="319"/>
      <c r="G8" s="287">
        <f>G7+1</f>
        <v>2</v>
      </c>
      <c r="H8" s="165">
        <f>H7*(1+$I$41)</f>
        <v>537030000</v>
      </c>
      <c r="I8" s="165">
        <f t="shared" ref="I8:I16" si="1">I7*(1+$I$42)</f>
        <v>147186000</v>
      </c>
      <c r="J8" s="165">
        <f t="shared" ref="J8:J16" si="2">J7*(1+$I$43)</f>
        <v>4896000</v>
      </c>
      <c r="K8" s="165">
        <f t="shared" ref="K8:K16" si="3">K7*(1+$I$44)</f>
        <v>6120000</v>
      </c>
      <c r="L8" s="165">
        <f>L7*(1+$I$45)</f>
        <v>10200000</v>
      </c>
      <c r="M8" s="411">
        <f t="shared" si="0"/>
        <v>705432000</v>
      </c>
    </row>
    <row r="9" spans="1:13" x14ac:dyDescent="0.25">
      <c r="A9" s="320" t="s">
        <v>251</v>
      </c>
      <c r="B9" s="266" t="s">
        <v>765</v>
      </c>
      <c r="C9" s="165">
        <f>Salary!Q23</f>
        <v>526500000</v>
      </c>
      <c r="D9" s="271" t="s">
        <v>614</v>
      </c>
      <c r="E9" s="271" t="s">
        <v>769</v>
      </c>
      <c r="F9" s="323"/>
      <c r="G9" s="287">
        <f t="shared" ref="G9:G36" si="4">G8+1</f>
        <v>3</v>
      </c>
      <c r="H9" s="165">
        <f t="shared" ref="H9:H16" si="5">H8*(1+$I$41)</f>
        <v>547770600</v>
      </c>
      <c r="I9" s="165">
        <f t="shared" si="1"/>
        <v>150129720</v>
      </c>
      <c r="J9" s="165">
        <f t="shared" si="2"/>
        <v>4993920</v>
      </c>
      <c r="K9" s="165">
        <f t="shared" si="3"/>
        <v>6242400</v>
      </c>
      <c r="L9" s="165">
        <f t="shared" ref="L9:L16" si="6">L8*(1+$I$45)</f>
        <v>10404000</v>
      </c>
      <c r="M9" s="411">
        <f t="shared" si="0"/>
        <v>719540640</v>
      </c>
    </row>
    <row r="10" spans="1:13" x14ac:dyDescent="0.25">
      <c r="A10" s="320" t="s">
        <v>252</v>
      </c>
      <c r="B10" s="228" t="s">
        <v>767</v>
      </c>
      <c r="C10" s="374">
        <f>Assumption!B63*25*Assumption!E63*12</f>
        <v>144300000</v>
      </c>
      <c r="D10" s="271" t="s">
        <v>614</v>
      </c>
      <c r="E10" s="271" t="s">
        <v>770</v>
      </c>
      <c r="F10" s="324"/>
      <c r="G10" s="287">
        <f t="shared" si="4"/>
        <v>4</v>
      </c>
      <c r="H10" s="165">
        <f t="shared" si="5"/>
        <v>558726012</v>
      </c>
      <c r="I10" s="165">
        <f t="shared" si="1"/>
        <v>153132314.40000001</v>
      </c>
      <c r="J10" s="165">
        <f t="shared" si="2"/>
        <v>5093798.4000000004</v>
      </c>
      <c r="K10" s="165">
        <f t="shared" si="3"/>
        <v>6367248</v>
      </c>
      <c r="L10" s="165">
        <f t="shared" si="6"/>
        <v>10612080</v>
      </c>
      <c r="M10" s="411">
        <f t="shared" si="0"/>
        <v>733931452.79999995</v>
      </c>
    </row>
    <row r="11" spans="1:13" x14ac:dyDescent="0.25">
      <c r="A11" s="320" t="s">
        <v>762</v>
      </c>
      <c r="B11" s="266" t="s">
        <v>696</v>
      </c>
      <c r="C11" s="397">
        <f>Assumption!E64*12</f>
        <v>4800000</v>
      </c>
      <c r="D11" s="271" t="s">
        <v>614</v>
      </c>
      <c r="E11" s="271" t="s">
        <v>770</v>
      </c>
      <c r="F11" s="323"/>
      <c r="G11" s="287">
        <f t="shared" si="4"/>
        <v>5</v>
      </c>
      <c r="H11" s="165">
        <f t="shared" si="5"/>
        <v>569900532.24000001</v>
      </c>
      <c r="I11" s="165">
        <f t="shared" si="1"/>
        <v>156194960.68800002</v>
      </c>
      <c r="J11" s="165">
        <f t="shared" si="2"/>
        <v>5195674.3680000007</v>
      </c>
      <c r="K11" s="165">
        <f t="shared" si="3"/>
        <v>6494592.96</v>
      </c>
      <c r="L11" s="165">
        <f t="shared" si="6"/>
        <v>10824321.6</v>
      </c>
      <c r="M11" s="411">
        <f t="shared" si="0"/>
        <v>748610081.85600007</v>
      </c>
    </row>
    <row r="12" spans="1:13" x14ac:dyDescent="0.25">
      <c r="A12" s="320" t="s">
        <v>763</v>
      </c>
      <c r="B12" s="266" t="s">
        <v>766</v>
      </c>
      <c r="C12" s="397">
        <f>Assumption!B66*Assumption!E66*12</f>
        <v>6000000</v>
      </c>
      <c r="D12" s="271" t="s">
        <v>614</v>
      </c>
      <c r="E12" s="271" t="s">
        <v>770</v>
      </c>
      <c r="F12" s="323"/>
      <c r="G12" s="287">
        <f t="shared" si="4"/>
        <v>6</v>
      </c>
      <c r="H12" s="165">
        <f t="shared" si="5"/>
        <v>581298542.88480008</v>
      </c>
      <c r="I12" s="165">
        <f t="shared" si="1"/>
        <v>159318859.90176001</v>
      </c>
      <c r="J12" s="165">
        <f t="shared" si="2"/>
        <v>5299587.8553600004</v>
      </c>
      <c r="K12" s="165">
        <f t="shared" si="3"/>
        <v>6624484.8191999998</v>
      </c>
      <c r="L12" s="165">
        <f t="shared" si="6"/>
        <v>11040808.032</v>
      </c>
      <c r="M12" s="411">
        <f t="shared" si="0"/>
        <v>763582283.49312007</v>
      </c>
    </row>
    <row r="13" spans="1:13" x14ac:dyDescent="0.25">
      <c r="A13" s="271" t="s">
        <v>764</v>
      </c>
      <c r="B13" s="271" t="s">
        <v>901</v>
      </c>
      <c r="C13" s="397">
        <f>Assumption!E67</f>
        <v>10000000</v>
      </c>
      <c r="D13" s="271" t="s">
        <v>614</v>
      </c>
      <c r="E13" s="271" t="s">
        <v>770</v>
      </c>
      <c r="F13" s="323"/>
      <c r="G13" s="287">
        <f>G12+1</f>
        <v>7</v>
      </c>
      <c r="H13" s="165">
        <f t="shared" si="5"/>
        <v>592924513.74249613</v>
      </c>
      <c r="I13" s="165">
        <f t="shared" si="1"/>
        <v>162505237.09979522</v>
      </c>
      <c r="J13" s="165">
        <f t="shared" si="2"/>
        <v>5405579.6124672005</v>
      </c>
      <c r="K13" s="165">
        <f t="shared" si="3"/>
        <v>6756974.5155839995</v>
      </c>
      <c r="L13" s="165">
        <f t="shared" si="6"/>
        <v>11261624.192639999</v>
      </c>
      <c r="M13" s="411">
        <f t="shared" si="0"/>
        <v>778853929.16298246</v>
      </c>
    </row>
    <row r="14" spans="1:13" x14ac:dyDescent="0.25">
      <c r="G14" s="287">
        <f t="shared" si="4"/>
        <v>8</v>
      </c>
      <c r="H14" s="165">
        <f t="shared" si="5"/>
        <v>604783004.01734602</v>
      </c>
      <c r="I14" s="165">
        <f t="shared" si="1"/>
        <v>165755341.84179112</v>
      </c>
      <c r="J14" s="165">
        <f t="shared" si="2"/>
        <v>5513691.2047165446</v>
      </c>
      <c r="K14" s="165">
        <f t="shared" si="3"/>
        <v>6892114.0058956798</v>
      </c>
      <c r="L14" s="165">
        <f t="shared" si="6"/>
        <v>11486856.676492799</v>
      </c>
      <c r="M14" s="411">
        <f t="shared" si="0"/>
        <v>794431007.74624228</v>
      </c>
    </row>
    <row r="15" spans="1:13" x14ac:dyDescent="0.25">
      <c r="F15" s="323"/>
      <c r="G15" s="287">
        <f t="shared" si="4"/>
        <v>9</v>
      </c>
      <c r="H15" s="165">
        <f t="shared" si="5"/>
        <v>616878664.09769297</v>
      </c>
      <c r="I15" s="165">
        <f t="shared" si="1"/>
        <v>169070448.67862695</v>
      </c>
      <c r="J15" s="165">
        <f t="shared" si="2"/>
        <v>5623965.0288108755</v>
      </c>
      <c r="K15" s="165">
        <f t="shared" si="3"/>
        <v>7029956.2860135939</v>
      </c>
      <c r="L15" s="165">
        <f t="shared" si="6"/>
        <v>11716593.810022656</v>
      </c>
      <c r="M15" s="411">
        <f t="shared" si="0"/>
        <v>810319627.90116715</v>
      </c>
    </row>
    <row r="16" spans="1:13" x14ac:dyDescent="0.25">
      <c r="F16" s="323"/>
      <c r="G16" s="287">
        <f t="shared" si="4"/>
        <v>10</v>
      </c>
      <c r="H16" s="165">
        <f t="shared" si="5"/>
        <v>629216237.37964678</v>
      </c>
      <c r="I16" s="165">
        <f t="shared" si="1"/>
        <v>172451857.65219951</v>
      </c>
      <c r="J16" s="165">
        <f t="shared" si="2"/>
        <v>5736444.329387093</v>
      </c>
      <c r="K16" s="165">
        <f t="shared" si="3"/>
        <v>7170555.4117338657</v>
      </c>
      <c r="L16" s="165">
        <f t="shared" si="6"/>
        <v>11950925.686223108</v>
      </c>
      <c r="M16" s="411">
        <f t="shared" si="0"/>
        <v>826526020.45919037</v>
      </c>
    </row>
    <row r="17" spans="1:14" x14ac:dyDescent="0.25">
      <c r="A17" s="325"/>
      <c r="B17" s="325"/>
      <c r="C17" s="325"/>
      <c r="D17" s="325"/>
      <c r="E17" s="325"/>
      <c r="G17" s="287">
        <f t="shared" si="4"/>
        <v>11</v>
      </c>
      <c r="H17" s="165">
        <f t="shared" ref="H17:H36" si="7">H16*(1+$I$41)</f>
        <v>641800562.1272397</v>
      </c>
      <c r="I17" s="165">
        <f t="shared" ref="I17:I36" si="8">I16*(1+$I$42)</f>
        <v>175900894.80524349</v>
      </c>
      <c r="J17" s="165">
        <f t="shared" ref="J17:J36" si="9">J16*(1+$I$43)</f>
        <v>5851173.2159748347</v>
      </c>
      <c r="K17" s="165">
        <f t="shared" ref="K17:K36" si="10">K16*(1+$I$44)</f>
        <v>7313966.5199685432</v>
      </c>
      <c r="L17" s="165">
        <f t="shared" ref="L17:L36" si="11">L16*(1+$I$45)</f>
        <v>12189944.199947571</v>
      </c>
      <c r="M17" s="411">
        <f t="shared" ref="M17:M36" si="12">SUM(H17:L17)</f>
        <v>843056540.86837411</v>
      </c>
    </row>
    <row r="18" spans="1:14" x14ac:dyDescent="0.25">
      <c r="G18" s="287">
        <f t="shared" si="4"/>
        <v>12</v>
      </c>
      <c r="H18" s="165">
        <f t="shared" si="7"/>
        <v>654636573.36978447</v>
      </c>
      <c r="I18" s="165">
        <f t="shared" si="8"/>
        <v>179418912.70134836</v>
      </c>
      <c r="J18" s="165">
        <f t="shared" si="9"/>
        <v>5968196.6802943312</v>
      </c>
      <c r="K18" s="165">
        <f t="shared" si="10"/>
        <v>7460245.850367914</v>
      </c>
      <c r="L18" s="165">
        <f t="shared" si="11"/>
        <v>12433743.083946522</v>
      </c>
      <c r="M18" s="411">
        <f t="shared" si="12"/>
        <v>859917671.68574154</v>
      </c>
    </row>
    <row r="19" spans="1:14" x14ac:dyDescent="0.2">
      <c r="A19" s="282" t="s">
        <v>66</v>
      </c>
      <c r="B19" s="211"/>
      <c r="G19" s="287">
        <f t="shared" si="4"/>
        <v>13</v>
      </c>
      <c r="H19" s="165">
        <f t="shared" si="7"/>
        <v>667729304.83718014</v>
      </c>
      <c r="I19" s="165">
        <f t="shared" si="8"/>
        <v>183007290.95537534</v>
      </c>
      <c r="J19" s="165">
        <f t="shared" si="9"/>
        <v>6087560.6139002182</v>
      </c>
      <c r="K19" s="165">
        <f t="shared" si="10"/>
        <v>7609450.7673752727</v>
      </c>
      <c r="L19" s="165">
        <f t="shared" si="11"/>
        <v>12682417.945625452</v>
      </c>
      <c r="M19" s="411">
        <f t="shared" si="12"/>
        <v>877116025.11945629</v>
      </c>
      <c r="N19" s="322"/>
    </row>
    <row r="20" spans="1:14" x14ac:dyDescent="0.25">
      <c r="A20" s="271" t="s">
        <v>771</v>
      </c>
      <c r="G20" s="287">
        <f t="shared" si="4"/>
        <v>14</v>
      </c>
      <c r="H20" s="165">
        <f t="shared" si="7"/>
        <v>681083890.93392372</v>
      </c>
      <c r="I20" s="165">
        <f t="shared" si="8"/>
        <v>186667436.77448285</v>
      </c>
      <c r="J20" s="165">
        <f t="shared" si="9"/>
        <v>6209311.8261782229</v>
      </c>
      <c r="K20" s="165">
        <f t="shared" si="10"/>
        <v>7761639.7827227786</v>
      </c>
      <c r="L20" s="165">
        <f t="shared" si="11"/>
        <v>12936066.304537961</v>
      </c>
      <c r="M20" s="411">
        <f t="shared" si="12"/>
        <v>894658345.6218456</v>
      </c>
    </row>
    <row r="21" spans="1:14" x14ac:dyDescent="0.25">
      <c r="G21" s="287">
        <f t="shared" si="4"/>
        <v>15</v>
      </c>
      <c r="H21" s="165">
        <f t="shared" si="7"/>
        <v>694705568.75260222</v>
      </c>
      <c r="I21" s="165">
        <f t="shared" si="8"/>
        <v>190400785.50997251</v>
      </c>
      <c r="J21" s="165">
        <f t="shared" si="9"/>
        <v>6333498.0627017878</v>
      </c>
      <c r="K21" s="165">
        <f t="shared" si="10"/>
        <v>7916872.5783772347</v>
      </c>
      <c r="L21" s="165">
        <f t="shared" si="11"/>
        <v>13194787.63062872</v>
      </c>
      <c r="M21" s="411">
        <f t="shared" si="12"/>
        <v>912551512.53428245</v>
      </c>
    </row>
    <row r="22" spans="1:14" x14ac:dyDescent="0.25">
      <c r="C22" s="322"/>
      <c r="G22" s="287">
        <f t="shared" si="4"/>
        <v>16</v>
      </c>
      <c r="H22" s="165">
        <f t="shared" si="7"/>
        <v>708599680.12765431</v>
      </c>
      <c r="I22" s="165">
        <f t="shared" si="8"/>
        <v>194208801.22017196</v>
      </c>
      <c r="J22" s="165">
        <f t="shared" si="9"/>
        <v>6460168.0239558239</v>
      </c>
      <c r="K22" s="165">
        <f t="shared" si="10"/>
        <v>8075210.0299447794</v>
      </c>
      <c r="L22" s="165">
        <f t="shared" si="11"/>
        <v>13458683.383241294</v>
      </c>
      <c r="M22" s="411">
        <f t="shared" si="12"/>
        <v>930802542.78496814</v>
      </c>
    </row>
    <row r="23" spans="1:14" x14ac:dyDescent="0.25">
      <c r="B23" s="296"/>
      <c r="C23" s="296"/>
      <c r="D23" s="296"/>
      <c r="E23" s="296"/>
      <c r="F23" s="296"/>
      <c r="G23" s="287">
        <f t="shared" si="4"/>
        <v>17</v>
      </c>
      <c r="H23" s="165">
        <f t="shared" si="7"/>
        <v>722771673.73020744</v>
      </c>
      <c r="I23" s="165">
        <f t="shared" si="8"/>
        <v>198092977.24457541</v>
      </c>
      <c r="J23" s="165">
        <f t="shared" si="9"/>
        <v>6589371.3844349403</v>
      </c>
      <c r="K23" s="165">
        <f t="shared" si="10"/>
        <v>8236714.2305436749</v>
      </c>
      <c r="L23" s="165">
        <f t="shared" si="11"/>
        <v>13727857.05090612</v>
      </c>
      <c r="M23" s="411">
        <f t="shared" si="12"/>
        <v>949418593.64066756</v>
      </c>
    </row>
    <row r="24" spans="1:14" x14ac:dyDescent="0.25">
      <c r="G24" s="287">
        <f t="shared" si="4"/>
        <v>18</v>
      </c>
      <c r="H24" s="165">
        <f t="shared" si="7"/>
        <v>737227107.20481157</v>
      </c>
      <c r="I24" s="165">
        <f t="shared" si="8"/>
        <v>202054836.78946692</v>
      </c>
      <c r="J24" s="165">
        <f t="shared" si="9"/>
        <v>6721158.8121236395</v>
      </c>
      <c r="K24" s="165">
        <f t="shared" si="10"/>
        <v>8401448.515154548</v>
      </c>
      <c r="L24" s="165">
        <f t="shared" si="11"/>
        <v>14002414.191924242</v>
      </c>
      <c r="M24" s="411">
        <f t="shared" si="12"/>
        <v>968406965.5134809</v>
      </c>
    </row>
    <row r="25" spans="1:14" x14ac:dyDescent="0.25">
      <c r="G25" s="287">
        <f t="shared" si="4"/>
        <v>19</v>
      </c>
      <c r="H25" s="165">
        <f t="shared" si="7"/>
        <v>751971649.34890783</v>
      </c>
      <c r="I25" s="165">
        <f t="shared" si="8"/>
        <v>206095933.52525625</v>
      </c>
      <c r="J25" s="165">
        <f t="shared" si="9"/>
        <v>6855581.9883661121</v>
      </c>
      <c r="K25" s="165">
        <f t="shared" si="10"/>
        <v>8569477.4854576383</v>
      </c>
      <c r="L25" s="165">
        <f t="shared" si="11"/>
        <v>14282462.475762727</v>
      </c>
      <c r="M25" s="411">
        <f t="shared" si="12"/>
        <v>987775104.82375062</v>
      </c>
    </row>
    <row r="26" spans="1:14" x14ac:dyDescent="0.25">
      <c r="G26" s="287">
        <f t="shared" si="4"/>
        <v>20</v>
      </c>
      <c r="H26" s="165">
        <f t="shared" si="7"/>
        <v>767011082.335886</v>
      </c>
      <c r="I26" s="165">
        <f t="shared" si="8"/>
        <v>210217852.19576138</v>
      </c>
      <c r="J26" s="165">
        <f t="shared" si="9"/>
        <v>6992693.6281334348</v>
      </c>
      <c r="K26" s="165">
        <f t="shared" si="10"/>
        <v>8740867.0351667907</v>
      </c>
      <c r="L26" s="165">
        <f t="shared" si="11"/>
        <v>14568111.725277981</v>
      </c>
      <c r="M26" s="411">
        <f t="shared" si="12"/>
        <v>1007530606.9202256</v>
      </c>
    </row>
    <row r="27" spans="1:14" x14ac:dyDescent="0.25">
      <c r="G27" s="287">
        <f t="shared" si="4"/>
        <v>21</v>
      </c>
      <c r="H27" s="165">
        <f t="shared" si="7"/>
        <v>782351303.98260379</v>
      </c>
      <c r="I27" s="165">
        <f t="shared" si="8"/>
        <v>214422209.23967662</v>
      </c>
      <c r="J27" s="165">
        <f t="shared" si="9"/>
        <v>7132547.500696104</v>
      </c>
      <c r="K27" s="165">
        <f t="shared" si="10"/>
        <v>8915684.3758701272</v>
      </c>
      <c r="L27" s="165">
        <f t="shared" si="11"/>
        <v>14859473.959783541</v>
      </c>
      <c r="M27" s="411">
        <f t="shared" si="12"/>
        <v>1027681219.0586301</v>
      </c>
    </row>
    <row r="28" spans="1:14" x14ac:dyDescent="0.25">
      <c r="G28" s="287">
        <f t="shared" si="4"/>
        <v>22</v>
      </c>
      <c r="H28" s="165">
        <f t="shared" si="7"/>
        <v>797998330.06225586</v>
      </c>
      <c r="I28" s="165">
        <f t="shared" si="8"/>
        <v>218710653.42447016</v>
      </c>
      <c r="J28" s="165">
        <f t="shared" si="9"/>
        <v>7275198.4507100265</v>
      </c>
      <c r="K28" s="165">
        <f t="shared" si="10"/>
        <v>9093998.0633875299</v>
      </c>
      <c r="L28" s="165">
        <f t="shared" si="11"/>
        <v>15156663.438979212</v>
      </c>
      <c r="M28" s="411">
        <f t="shared" si="12"/>
        <v>1048234843.4398029</v>
      </c>
    </row>
    <row r="29" spans="1:14" x14ac:dyDescent="0.25">
      <c r="G29" s="287">
        <f t="shared" si="4"/>
        <v>23</v>
      </c>
      <c r="H29" s="165">
        <f t="shared" si="7"/>
        <v>813958296.66350102</v>
      </c>
      <c r="I29" s="165">
        <f t="shared" si="8"/>
        <v>223084866.49295956</v>
      </c>
      <c r="J29" s="165">
        <f t="shared" si="9"/>
        <v>7420702.4197242269</v>
      </c>
      <c r="K29" s="165">
        <f t="shared" si="10"/>
        <v>9275878.0246552806</v>
      </c>
      <c r="L29" s="165">
        <f t="shared" si="11"/>
        <v>15459796.707758797</v>
      </c>
      <c r="M29" s="411">
        <f t="shared" si="12"/>
        <v>1069199540.3085988</v>
      </c>
    </row>
    <row r="30" spans="1:14" x14ac:dyDescent="0.25">
      <c r="G30" s="287">
        <f t="shared" si="4"/>
        <v>24</v>
      </c>
      <c r="H30" s="165">
        <f t="shared" si="7"/>
        <v>830237462.596771</v>
      </c>
      <c r="I30" s="165">
        <f t="shared" si="8"/>
        <v>227546563.82281876</v>
      </c>
      <c r="J30" s="165">
        <f t="shared" si="9"/>
        <v>7569116.4681187114</v>
      </c>
      <c r="K30" s="165">
        <f t="shared" si="10"/>
        <v>9461395.5851483867</v>
      </c>
      <c r="L30" s="165">
        <f t="shared" si="11"/>
        <v>15768992.641913973</v>
      </c>
      <c r="M30" s="411">
        <f t="shared" si="12"/>
        <v>1090583531.1147707</v>
      </c>
    </row>
    <row r="31" spans="1:14" x14ac:dyDescent="0.25">
      <c r="G31" s="287">
        <f t="shared" si="4"/>
        <v>25</v>
      </c>
      <c r="H31" s="165">
        <f t="shared" si="7"/>
        <v>846842211.84870648</v>
      </c>
      <c r="I31" s="165">
        <f t="shared" si="8"/>
        <v>232097495.09927514</v>
      </c>
      <c r="J31" s="165">
        <f t="shared" si="9"/>
        <v>7720498.7974810861</v>
      </c>
      <c r="K31" s="165">
        <f t="shared" si="10"/>
        <v>9650623.4968513548</v>
      </c>
      <c r="L31" s="165">
        <f t="shared" si="11"/>
        <v>16084372.494752252</v>
      </c>
      <c r="M31" s="411">
        <f t="shared" si="12"/>
        <v>1112395201.7370663</v>
      </c>
    </row>
    <row r="32" spans="1:14" x14ac:dyDescent="0.25">
      <c r="G32" s="287">
        <f t="shared" si="4"/>
        <v>26</v>
      </c>
      <c r="H32" s="165">
        <f t="shared" si="7"/>
        <v>863779056.0856806</v>
      </c>
      <c r="I32" s="165">
        <f t="shared" si="8"/>
        <v>236739445.00126064</v>
      </c>
      <c r="J32" s="165">
        <f t="shared" si="9"/>
        <v>7874908.7734307079</v>
      </c>
      <c r="K32" s="165">
        <f t="shared" si="10"/>
        <v>9843635.9667883813</v>
      </c>
      <c r="L32" s="165">
        <f t="shared" si="11"/>
        <v>16406059.944647297</v>
      </c>
      <c r="M32" s="411">
        <f t="shared" si="12"/>
        <v>1134643105.7718077</v>
      </c>
    </row>
    <row r="33" spans="7:13" x14ac:dyDescent="0.25">
      <c r="G33" s="287">
        <f t="shared" si="4"/>
        <v>27</v>
      </c>
      <c r="H33" s="165">
        <f t="shared" si="7"/>
        <v>881054637.20739424</v>
      </c>
      <c r="I33" s="165">
        <f t="shared" si="8"/>
        <v>241474233.90128586</v>
      </c>
      <c r="J33" s="165">
        <f t="shared" si="9"/>
        <v>8032406.9488993222</v>
      </c>
      <c r="K33" s="165">
        <f t="shared" si="10"/>
        <v>10040508.68612415</v>
      </c>
      <c r="L33" s="165">
        <f t="shared" si="11"/>
        <v>16734181.143540243</v>
      </c>
      <c r="M33" s="411">
        <f t="shared" si="12"/>
        <v>1157335967.8872435</v>
      </c>
    </row>
    <row r="34" spans="7:13" x14ac:dyDescent="0.25">
      <c r="G34" s="287">
        <f t="shared" si="4"/>
        <v>28</v>
      </c>
      <c r="H34" s="165">
        <f t="shared" si="7"/>
        <v>898675729.95154214</v>
      </c>
      <c r="I34" s="165">
        <f t="shared" si="8"/>
        <v>246303718.57931158</v>
      </c>
      <c r="J34" s="165">
        <f t="shared" si="9"/>
        <v>8193055.0878773089</v>
      </c>
      <c r="K34" s="165">
        <f t="shared" si="10"/>
        <v>10241318.859846633</v>
      </c>
      <c r="L34" s="165">
        <f t="shared" si="11"/>
        <v>17068864.766411047</v>
      </c>
      <c r="M34" s="411">
        <f t="shared" si="12"/>
        <v>1180482687.2449887</v>
      </c>
    </row>
    <row r="35" spans="7:13" x14ac:dyDescent="0.25">
      <c r="G35" s="287">
        <f t="shared" si="4"/>
        <v>29</v>
      </c>
      <c r="H35" s="165">
        <f t="shared" si="7"/>
        <v>916649244.55057299</v>
      </c>
      <c r="I35" s="165">
        <f t="shared" si="8"/>
        <v>251229792.95089781</v>
      </c>
      <c r="J35" s="165">
        <f t="shared" si="9"/>
        <v>8356916.1896348549</v>
      </c>
      <c r="K35" s="165">
        <f t="shared" si="10"/>
        <v>10446145.237043565</v>
      </c>
      <c r="L35" s="165">
        <f t="shared" si="11"/>
        <v>17410242.06173927</v>
      </c>
      <c r="M35" s="411">
        <f t="shared" si="12"/>
        <v>1204092340.9898884</v>
      </c>
    </row>
    <row r="36" spans="7:13" x14ac:dyDescent="0.25">
      <c r="G36" s="287">
        <f t="shared" si="4"/>
        <v>30</v>
      </c>
      <c r="H36" s="165">
        <f t="shared" si="7"/>
        <v>934982229.44158447</v>
      </c>
      <c r="I36" s="165">
        <f t="shared" si="8"/>
        <v>256254388.80991578</v>
      </c>
      <c r="J36" s="165">
        <f t="shared" si="9"/>
        <v>8524054.5134275518</v>
      </c>
      <c r="K36" s="165">
        <f t="shared" si="10"/>
        <v>10655068.141784437</v>
      </c>
      <c r="L36" s="165">
        <f t="shared" si="11"/>
        <v>17758446.902974054</v>
      </c>
      <c r="M36" s="411">
        <f t="shared" si="12"/>
        <v>1228174187.8096862</v>
      </c>
    </row>
    <row r="37" spans="7:13" x14ac:dyDescent="0.25">
      <c r="G37" s="325" t="s">
        <v>517</v>
      </c>
      <c r="H37" s="412">
        <f>AVERAGE(H7:H36)</f>
        <v>711969790.05069304</v>
      </c>
      <c r="I37" s="412">
        <f>AVERAGE(I7:I36)</f>
        <v>195132460.97685665</v>
      </c>
      <c r="J37" s="412">
        <f t="shared" ref="J37:L37" si="13">AVERAGE(J7:J36)</f>
        <v>6490892.6728268312</v>
      </c>
      <c r="K37" s="412">
        <f t="shared" si="13"/>
        <v>8113615.8410335388</v>
      </c>
      <c r="L37" s="412">
        <f t="shared" si="13"/>
        <v>13522693.068389229</v>
      </c>
      <c r="M37" s="412">
        <f>AVERAGE(M7:M36)</f>
        <v>935229452.60979915</v>
      </c>
    </row>
    <row r="38" spans="7:13" x14ac:dyDescent="0.25">
      <c r="K38" s="326"/>
      <c r="L38" s="326"/>
      <c r="M38" s="326"/>
    </row>
    <row r="39" spans="7:13" x14ac:dyDescent="0.25">
      <c r="G39" s="282" t="s">
        <v>66</v>
      </c>
      <c r="H39" s="296"/>
      <c r="I39" s="296"/>
      <c r="J39" s="296"/>
    </row>
    <row r="40" spans="7:13" x14ac:dyDescent="0.25">
      <c r="G40" s="271" t="s">
        <v>173</v>
      </c>
      <c r="H40" s="326"/>
      <c r="I40" s="326"/>
      <c r="J40" s="326"/>
    </row>
    <row r="41" spans="7:13" x14ac:dyDescent="0.25">
      <c r="G41" s="266" t="s">
        <v>174</v>
      </c>
      <c r="I41" s="327">
        <f>Assumption!$B$29/100</f>
        <v>0.02</v>
      </c>
      <c r="J41" s="328" t="s">
        <v>176</v>
      </c>
    </row>
    <row r="42" spans="7:13" x14ac:dyDescent="0.25">
      <c r="G42" s="266" t="s">
        <v>700</v>
      </c>
      <c r="I42" s="327">
        <f>Assumption!$B$29/100</f>
        <v>0.02</v>
      </c>
      <c r="J42" s="328" t="s">
        <v>176</v>
      </c>
    </row>
    <row r="43" spans="7:13" x14ac:dyDescent="0.25">
      <c r="G43" s="266" t="s">
        <v>699</v>
      </c>
      <c r="I43" s="327">
        <f>Assumption!$B$29/100</f>
        <v>0.02</v>
      </c>
      <c r="J43" s="328" t="s">
        <v>176</v>
      </c>
    </row>
    <row r="44" spans="7:13" x14ac:dyDescent="0.25">
      <c r="G44" s="266" t="s">
        <v>768</v>
      </c>
      <c r="I44" s="327">
        <f>Assumption!$B$29/100</f>
        <v>0.02</v>
      </c>
      <c r="J44" s="328" t="s">
        <v>176</v>
      </c>
    </row>
    <row r="45" spans="7:13" x14ac:dyDescent="0.25">
      <c r="G45" s="266" t="s">
        <v>906</v>
      </c>
      <c r="I45" s="327">
        <f>Assumption!$B$29/100</f>
        <v>0.02</v>
      </c>
      <c r="J45" s="328" t="s">
        <v>176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11"/>
  <sheetViews>
    <sheetView showGridLines="0" zoomScaleNormal="100" workbookViewId="0">
      <pane ySplit="6" topLeftCell="A7" activePane="bottomLeft" state="frozen"/>
      <selection activeCell="D9" sqref="D9"/>
      <selection pane="bottomLeft" activeCell="F44" sqref="F44"/>
    </sheetView>
  </sheetViews>
  <sheetFormatPr defaultColWidth="9" defaultRowHeight="11.25" x14ac:dyDescent="0.2"/>
  <cols>
    <col min="1" max="1" width="3.25" style="198" customWidth="1"/>
    <col min="2" max="2" width="24.375" style="198" bestFit="1" customWidth="1"/>
    <col min="3" max="3" width="2.375" style="198" bestFit="1" customWidth="1"/>
    <col min="4" max="4" width="11.125" style="198" customWidth="1"/>
    <col min="5" max="5" width="9" style="198"/>
    <col min="6" max="6" width="6.75" style="198" customWidth="1"/>
    <col min="7" max="7" width="5.25" style="198" customWidth="1"/>
    <col min="8" max="8" width="9.75" style="198" customWidth="1"/>
    <col min="9" max="9" width="17.125" style="198" bestFit="1" customWidth="1"/>
    <col min="10" max="11" width="8" style="198" bestFit="1" customWidth="1"/>
    <col min="12" max="12" width="6.625" style="198" customWidth="1"/>
    <col min="13" max="16384" width="9" style="198"/>
  </cols>
  <sheetData>
    <row r="1" spans="1:12" x14ac:dyDescent="0.2">
      <c r="A1" s="257" t="str">
        <f>Assumption!A1</f>
        <v>Bisnis Penyewaan INTEGRATED COLD STORAGE - Revitalitation</v>
      </c>
      <c r="B1" s="257"/>
      <c r="C1" s="257"/>
    </row>
    <row r="2" spans="1:12" x14ac:dyDescent="0.2">
      <c r="A2" s="257" t="str">
        <f>Assumption!A2</f>
        <v>Financial Pre-Feasibility Study</v>
      </c>
      <c r="B2" s="257"/>
      <c r="C2" s="257"/>
    </row>
    <row r="3" spans="1:12" x14ac:dyDescent="0.2">
      <c r="A3" s="258" t="s">
        <v>599</v>
      </c>
      <c r="B3" s="259"/>
      <c r="C3" s="259"/>
    </row>
    <row r="6" spans="1:12" ht="29.1" customHeight="1" x14ac:dyDescent="0.2">
      <c r="A6" s="260" t="s">
        <v>602</v>
      </c>
      <c r="B6" s="260"/>
      <c r="C6" s="260"/>
      <c r="D6" s="261"/>
      <c r="F6" s="260" t="s">
        <v>603</v>
      </c>
      <c r="G6" s="260"/>
      <c r="H6" s="261"/>
      <c r="I6" s="261"/>
      <c r="J6" s="261"/>
      <c r="K6" s="270" t="s">
        <v>527</v>
      </c>
      <c r="L6" s="262" t="s">
        <v>528</v>
      </c>
    </row>
    <row r="7" spans="1:12" x14ac:dyDescent="0.2">
      <c r="A7" s="206" t="s">
        <v>148</v>
      </c>
      <c r="B7" s="156" t="s">
        <v>600</v>
      </c>
      <c r="C7" s="263" t="s">
        <v>387</v>
      </c>
      <c r="D7" s="274">
        <v>600000000</v>
      </c>
      <c r="F7" s="198" t="s">
        <v>969</v>
      </c>
      <c r="G7" s="227" t="s">
        <v>387</v>
      </c>
      <c r="H7" s="156">
        <f>D7</f>
        <v>600000000</v>
      </c>
      <c r="I7" s="532" t="s">
        <v>970</v>
      </c>
      <c r="J7" s="264" t="s">
        <v>522</v>
      </c>
      <c r="K7" s="265">
        <f>[2]Assumption!B22/100</f>
        <v>1</v>
      </c>
      <c r="L7" s="265">
        <f>Assumption!B24/100</f>
        <v>1</v>
      </c>
    </row>
    <row r="8" spans="1:12" x14ac:dyDescent="0.2">
      <c r="A8" s="266" t="s">
        <v>149</v>
      </c>
      <c r="B8" s="267" t="s">
        <v>577</v>
      </c>
      <c r="C8" s="268" t="s">
        <v>387</v>
      </c>
      <c r="D8" s="158">
        <f>WorkingCapital!J10</f>
        <v>350000000</v>
      </c>
      <c r="G8" s="227" t="s">
        <v>387</v>
      </c>
      <c r="H8" s="156">
        <f>D8</f>
        <v>350000000</v>
      </c>
      <c r="I8" s="532" t="s">
        <v>971</v>
      </c>
      <c r="J8" s="264" t="s">
        <v>522</v>
      </c>
      <c r="K8" s="207">
        <f>K7</f>
        <v>1</v>
      </c>
      <c r="L8" s="265">
        <f>L7</f>
        <v>1</v>
      </c>
    </row>
    <row r="9" spans="1:12" x14ac:dyDescent="0.2">
      <c r="A9" s="266" t="s">
        <v>150</v>
      </c>
      <c r="B9" s="267" t="s">
        <v>601</v>
      </c>
      <c r="C9" s="268" t="s">
        <v>387</v>
      </c>
      <c r="D9" s="158">
        <f>LoanInterest!D28</f>
        <v>0</v>
      </c>
      <c r="G9" s="227"/>
      <c r="H9" s="156"/>
      <c r="I9" s="156"/>
      <c r="J9" s="264"/>
      <c r="K9" s="269"/>
      <c r="L9" s="269"/>
    </row>
    <row r="10" spans="1:12" x14ac:dyDescent="0.2">
      <c r="G10" s="227"/>
    </row>
    <row r="11" spans="1:12" x14ac:dyDescent="0.2">
      <c r="A11" s="205"/>
      <c r="B11" s="205"/>
      <c r="C11" s="205"/>
      <c r="D11" s="205"/>
      <c r="F11" s="205"/>
      <c r="G11" s="533" t="s">
        <v>387</v>
      </c>
      <c r="H11" s="163">
        <f>H7+H8</f>
        <v>950000000</v>
      </c>
      <c r="I11" s="205"/>
      <c r="J11" s="205"/>
      <c r="K11" s="205"/>
      <c r="L11" s="205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E34"/>
  <sheetViews>
    <sheetView showGridLines="0" topLeftCell="J1" zoomScaleNormal="100" workbookViewId="0">
      <pane ySplit="8" topLeftCell="A9" activePane="bottomLeft" state="frozen"/>
      <selection activeCell="D9" sqref="D9"/>
      <selection pane="bottomLeft" activeCell="Y28" sqref="Y28:AF40"/>
    </sheetView>
  </sheetViews>
  <sheetFormatPr defaultColWidth="9" defaultRowHeight="10.5" customHeight="1" x14ac:dyDescent="0.2"/>
  <cols>
    <col min="1" max="1" width="4.5" style="198" customWidth="1"/>
    <col min="2" max="2" width="6.25" style="198" customWidth="1"/>
    <col min="3" max="3" width="8.875" style="198" customWidth="1"/>
    <col min="4" max="4" width="9" style="198"/>
    <col min="5" max="5" width="5.125" style="198" customWidth="1"/>
    <col min="6" max="6" width="7.125" style="198" bestFit="1" customWidth="1"/>
    <col min="7" max="7" width="1.625" style="198" customWidth="1"/>
    <col min="8" max="8" width="9.375" style="198" customWidth="1"/>
    <col min="9" max="9" width="13.75" style="198" customWidth="1"/>
    <col min="10" max="10" width="11.625" style="198" bestFit="1" customWidth="1"/>
    <col min="11" max="11" width="12.75" style="198" customWidth="1"/>
    <col min="12" max="12" width="1.625" style="198" customWidth="1"/>
    <col min="13" max="17" width="10.25" style="198" customWidth="1"/>
    <col min="18" max="18" width="11" style="198" bestFit="1" customWidth="1"/>
    <col min="19" max="20" width="10.25" style="198" customWidth="1"/>
    <col min="21" max="21" width="9.125" style="198" customWidth="1"/>
    <col min="22" max="22" width="9.5" style="198" bestFit="1" customWidth="1"/>
    <col min="23" max="23" width="10.5" style="198" bestFit="1" customWidth="1"/>
    <col min="24" max="24" width="9.5" style="198" customWidth="1"/>
    <col min="25" max="25" width="13.25" style="198" bestFit="1" customWidth="1"/>
    <col min="26" max="26" width="9.5" style="198" customWidth="1"/>
    <col min="27" max="27" width="12.25" style="198" customWidth="1"/>
    <col min="28" max="28" width="10.375" style="198" customWidth="1"/>
    <col min="29" max="29" width="2.625" style="198" customWidth="1"/>
    <col min="30" max="30" width="8.25" style="198" bestFit="1" customWidth="1"/>
    <col min="31" max="32" width="8.5" style="198" bestFit="1" customWidth="1"/>
    <col min="33" max="33" width="10.625" style="198" bestFit="1" customWidth="1"/>
    <col min="34" max="35" width="9" style="198"/>
    <col min="36" max="36" width="10.25" style="198" bestFit="1" customWidth="1"/>
    <col min="37" max="16384" width="9" style="198"/>
  </cols>
  <sheetData>
    <row r="1" spans="1:30" ht="11.25" x14ac:dyDescent="0.2">
      <c r="A1" s="197" t="str">
        <f>CashFlow!A1</f>
        <v>Bisnis Penyewaan INTEGRATED COLD STORAGE - Revitalitation</v>
      </c>
    </row>
    <row r="2" spans="1:30" ht="11.25" x14ac:dyDescent="0.2">
      <c r="A2" s="197" t="str">
        <f>CashFlow!A2</f>
        <v>Financial Pre-Feasibility Study</v>
      </c>
      <c r="M2" s="156"/>
      <c r="N2" s="156"/>
      <c r="O2" s="156"/>
      <c r="P2" s="156"/>
      <c r="Q2" s="156"/>
      <c r="R2" s="156"/>
      <c r="S2" s="156"/>
      <c r="T2" s="156"/>
      <c r="U2" s="156"/>
    </row>
    <row r="3" spans="1:30" ht="11.25" x14ac:dyDescent="0.2">
      <c r="A3" s="199" t="s">
        <v>604</v>
      </c>
      <c r="M3" s="156"/>
      <c r="N3" s="156"/>
      <c r="O3" s="156"/>
      <c r="P3" s="156"/>
      <c r="Q3" s="156"/>
      <c r="R3" s="156"/>
      <c r="S3" s="156"/>
      <c r="T3" s="156"/>
      <c r="U3" s="156"/>
    </row>
    <row r="4" spans="1:30" ht="10.5" customHeight="1" x14ac:dyDescent="0.2">
      <c r="M4" s="156"/>
      <c r="N4" s="156"/>
      <c r="O4" s="156"/>
      <c r="P4" s="156"/>
      <c r="Q4" s="156"/>
      <c r="R4" s="156"/>
      <c r="S4" s="156"/>
      <c r="T4" s="156"/>
      <c r="U4" s="156"/>
    </row>
    <row r="6" spans="1:30" ht="10.5" customHeight="1" x14ac:dyDescent="0.2">
      <c r="E6" s="180" t="s">
        <v>610</v>
      </c>
    </row>
    <row r="7" spans="1:30" ht="10.5" customHeight="1" x14ac:dyDescent="0.2">
      <c r="A7" s="176" t="s">
        <v>609</v>
      </c>
      <c r="B7" s="177"/>
      <c r="C7" s="177"/>
      <c r="E7" s="742" t="s">
        <v>542</v>
      </c>
      <c r="F7" s="742" t="s">
        <v>605</v>
      </c>
      <c r="H7" s="742" t="s">
        <v>607</v>
      </c>
      <c r="I7" s="742" t="s">
        <v>965</v>
      </c>
      <c r="J7" s="742" t="s">
        <v>683</v>
      </c>
      <c r="K7" s="742" t="s">
        <v>966</v>
      </c>
      <c r="L7" s="273"/>
      <c r="M7" s="743" t="s">
        <v>385</v>
      </c>
      <c r="N7" s="743"/>
      <c r="O7" s="743"/>
      <c r="P7" s="743"/>
      <c r="Q7" s="743"/>
      <c r="R7" s="743"/>
      <c r="S7" s="743"/>
      <c r="T7" s="743"/>
      <c r="U7" s="743"/>
      <c r="V7" s="743"/>
      <c r="W7" s="743"/>
      <c r="X7" s="743"/>
      <c r="Y7" s="743"/>
      <c r="Z7" s="743"/>
      <c r="AA7" s="743"/>
      <c r="AB7" s="743"/>
      <c r="AD7" s="742" t="s">
        <v>608</v>
      </c>
    </row>
    <row r="8" spans="1:30" ht="22.5" x14ac:dyDescent="0.2">
      <c r="A8" s="177"/>
      <c r="B8" s="177"/>
      <c r="C8" s="177"/>
      <c r="E8" s="742"/>
      <c r="F8" s="742"/>
      <c r="H8" s="742"/>
      <c r="I8" s="742"/>
      <c r="J8" s="742"/>
      <c r="K8" s="742"/>
      <c r="L8" s="273"/>
      <c r="M8" s="744" t="s">
        <v>845</v>
      </c>
      <c r="N8" s="744"/>
      <c r="O8" s="744"/>
      <c r="P8" s="744"/>
      <c r="Q8" s="744"/>
      <c r="R8" s="744"/>
      <c r="S8" s="744"/>
      <c r="T8" s="744"/>
      <c r="U8" s="272" t="s">
        <v>846</v>
      </c>
      <c r="V8" s="744" t="s">
        <v>819</v>
      </c>
      <c r="W8" s="744"/>
      <c r="X8" s="744"/>
      <c r="Y8" s="744"/>
      <c r="Z8" s="744"/>
      <c r="AA8" s="272" t="s">
        <v>820</v>
      </c>
      <c r="AB8" s="272" t="s">
        <v>23</v>
      </c>
      <c r="AD8" s="742"/>
    </row>
    <row r="9" spans="1:30" ht="13.15" customHeight="1" x14ac:dyDescent="0.2">
      <c r="A9" s="177"/>
      <c r="B9" s="177"/>
      <c r="C9" s="177"/>
      <c r="E9" s="272"/>
      <c r="F9" s="272"/>
      <c r="H9" s="272"/>
      <c r="I9" s="272"/>
      <c r="J9" s="272"/>
      <c r="K9" s="272"/>
      <c r="L9" s="273"/>
      <c r="M9" s="272" t="s">
        <v>615</v>
      </c>
      <c r="N9" s="272" t="s">
        <v>911</v>
      </c>
      <c r="O9" s="272" t="s">
        <v>912</v>
      </c>
      <c r="P9" s="272" t="s">
        <v>957</v>
      </c>
      <c r="Q9" s="272" t="s">
        <v>1020</v>
      </c>
      <c r="R9" s="272" t="s">
        <v>1127</v>
      </c>
      <c r="S9" s="272" t="s">
        <v>1019</v>
      </c>
      <c r="T9" s="272" t="s">
        <v>775</v>
      </c>
      <c r="U9" s="272"/>
      <c r="V9" s="272" t="s">
        <v>615</v>
      </c>
      <c r="W9" s="272" t="s">
        <v>1061</v>
      </c>
      <c r="X9" s="272" t="s">
        <v>696</v>
      </c>
      <c r="Y9" s="272" t="s">
        <v>766</v>
      </c>
      <c r="Z9" s="272" t="s">
        <v>1062</v>
      </c>
      <c r="AA9" s="272"/>
      <c r="AB9" s="272"/>
      <c r="AD9" s="272"/>
    </row>
    <row r="10" spans="1:30" ht="10.5" customHeight="1" x14ac:dyDescent="0.2">
      <c r="A10" s="198" t="s">
        <v>606</v>
      </c>
      <c r="E10" s="278" t="s">
        <v>386</v>
      </c>
      <c r="F10" s="169" t="s">
        <v>373</v>
      </c>
      <c r="H10" s="274">
        <v>0</v>
      </c>
      <c r="I10" s="274">
        <v>0</v>
      </c>
      <c r="J10" s="274">
        <v>350000000</v>
      </c>
      <c r="K10" s="156">
        <f t="shared" ref="K10:K21" si="0">H10+J10+I10</f>
        <v>350000000</v>
      </c>
      <c r="L10" s="156"/>
      <c r="M10" s="156">
        <f>'Cost of Services Sold'!P7/12</f>
        <v>91541666.666666672</v>
      </c>
      <c r="N10" s="156">
        <f>'Cost of Services Sold'!Q7/12</f>
        <v>6500000</v>
      </c>
      <c r="O10" s="156">
        <f>'Cost of Services Sold'!R7/12</f>
        <v>6240000</v>
      </c>
      <c r="P10" s="156">
        <f>'Cost of Services Sold'!S7/12</f>
        <v>10400000</v>
      </c>
      <c r="Q10" s="156">
        <f>'Cost of Services Sold'!T7/12</f>
        <v>5746000</v>
      </c>
      <c r="R10" s="156">
        <f>'Cost of Services Sold'!$V$7/12</f>
        <v>12458333.333333334</v>
      </c>
      <c r="S10" s="156">
        <f>'Cost of Services Sold'!W7/12</f>
        <v>10000000</v>
      </c>
      <c r="T10" s="156">
        <f>'Cost of Services Sold'!X7/12</f>
        <v>67105467.072000004</v>
      </c>
      <c r="U10" s="156">
        <f>'Cost of Services Sold'!L28</f>
        <v>80000000</v>
      </c>
      <c r="V10" s="156">
        <f>'SG&amp;A'!H7/12</f>
        <v>43875000</v>
      </c>
      <c r="W10" s="156">
        <f>'SG&amp;A'!I7/12</f>
        <v>12025000</v>
      </c>
      <c r="X10" s="156">
        <f>'SG&amp;A'!J7/12</f>
        <v>400000</v>
      </c>
      <c r="Y10" s="156">
        <f>'SG&amp;A'!K7/12</f>
        <v>500000</v>
      </c>
      <c r="Z10" s="156">
        <f>'SG&amp;A'!L7/12</f>
        <v>833333.33333333337</v>
      </c>
      <c r="AA10" s="156"/>
      <c r="AB10" s="277">
        <f>SUM(M10:AA10)</f>
        <v>347624800.40533334</v>
      </c>
      <c r="AD10" s="156">
        <f t="shared" ref="AD10:AD21" si="1">K10-AB10</f>
        <v>2375199.5946666598</v>
      </c>
    </row>
    <row r="11" spans="1:30" ht="10.5" customHeight="1" x14ac:dyDescent="0.2">
      <c r="A11" s="371" t="s">
        <v>77</v>
      </c>
      <c r="B11" s="371" t="s">
        <v>605</v>
      </c>
      <c r="C11" s="372" t="s">
        <v>387</v>
      </c>
      <c r="E11" s="227"/>
      <c r="F11" s="169" t="s">
        <v>374</v>
      </c>
      <c r="H11" s="156">
        <f t="shared" ref="H11:H21" si="2">AD10</f>
        <v>2375199.5946666598</v>
      </c>
      <c r="I11" s="156">
        <f>Revenue!I8/12</f>
        <v>338000000</v>
      </c>
      <c r="J11" s="274"/>
      <c r="K11" s="156">
        <f t="shared" si="0"/>
        <v>340375199.59466666</v>
      </c>
      <c r="L11" s="156"/>
      <c r="M11" s="156">
        <f>M10</f>
        <v>91541666.666666672</v>
      </c>
      <c r="N11" s="156">
        <f>N10</f>
        <v>6500000</v>
      </c>
      <c r="O11" s="156">
        <f>O10</f>
        <v>6240000</v>
      </c>
      <c r="P11" s="156">
        <f t="shared" ref="P11:T21" si="3">P10</f>
        <v>10400000</v>
      </c>
      <c r="Q11" s="156">
        <f t="shared" si="3"/>
        <v>5746000</v>
      </c>
      <c r="R11" s="156">
        <f>'Cost of Services Sold'!$V$7/12</f>
        <v>12458333.333333334</v>
      </c>
      <c r="S11" s="156">
        <f t="shared" si="3"/>
        <v>10000000</v>
      </c>
      <c r="T11" s="156">
        <f t="shared" si="3"/>
        <v>67105467.072000004</v>
      </c>
      <c r="V11" s="156">
        <f>V10</f>
        <v>43875000</v>
      </c>
      <c r="W11" s="156">
        <f>W10</f>
        <v>12025000</v>
      </c>
      <c r="X11" s="156">
        <f t="shared" ref="X11:Z21" si="4">X10</f>
        <v>400000</v>
      </c>
      <c r="Y11" s="156">
        <f t="shared" si="4"/>
        <v>500000</v>
      </c>
      <c r="Z11" s="156">
        <f t="shared" si="4"/>
        <v>833333.33333333337</v>
      </c>
      <c r="AA11" s="156"/>
      <c r="AB11" s="277">
        <f t="shared" ref="AB11:AB21" si="5">SUM(M11:AA11)</f>
        <v>267624800.40533334</v>
      </c>
      <c r="AD11" s="156">
        <f t="shared" si="1"/>
        <v>72750399.18933332</v>
      </c>
    </row>
    <row r="12" spans="1:30" ht="10.5" customHeight="1" x14ac:dyDescent="0.2">
      <c r="A12" s="206" t="s">
        <v>386</v>
      </c>
      <c r="B12" s="198" t="s">
        <v>373</v>
      </c>
      <c r="C12" s="156">
        <f>J10</f>
        <v>350000000</v>
      </c>
      <c r="F12" s="169" t="s">
        <v>375</v>
      </c>
      <c r="H12" s="156">
        <f t="shared" si="2"/>
        <v>72750399.18933332</v>
      </c>
      <c r="I12" s="156">
        <f t="shared" ref="I12:I21" si="6">I11</f>
        <v>338000000</v>
      </c>
      <c r="J12" s="274"/>
      <c r="K12" s="156">
        <f t="shared" si="0"/>
        <v>410750399.18933332</v>
      </c>
      <c r="L12" s="156"/>
      <c r="M12" s="156">
        <f t="shared" ref="M12:O21" si="7">M11</f>
        <v>91541666.666666672</v>
      </c>
      <c r="N12" s="156">
        <f t="shared" si="7"/>
        <v>6500000</v>
      </c>
      <c r="O12" s="156">
        <f t="shared" si="7"/>
        <v>6240000</v>
      </c>
      <c r="P12" s="156">
        <f t="shared" si="3"/>
        <v>10400000</v>
      </c>
      <c r="Q12" s="156">
        <f t="shared" si="3"/>
        <v>5746000</v>
      </c>
      <c r="R12" s="156">
        <f>'Cost of Services Sold'!$V$7/12</f>
        <v>12458333.333333334</v>
      </c>
      <c r="S12" s="156">
        <f t="shared" si="3"/>
        <v>10000000</v>
      </c>
      <c r="T12" s="156">
        <f t="shared" si="3"/>
        <v>67105467.072000004</v>
      </c>
      <c r="U12" s="156"/>
      <c r="V12" s="156">
        <f t="shared" ref="V12:V21" si="8">V11</f>
        <v>43875000</v>
      </c>
      <c r="W12" s="156">
        <f t="shared" ref="W12:W21" si="9">W11</f>
        <v>12025000</v>
      </c>
      <c r="X12" s="156">
        <f t="shared" si="4"/>
        <v>400000</v>
      </c>
      <c r="Y12" s="156">
        <f t="shared" si="4"/>
        <v>500000</v>
      </c>
      <c r="Z12" s="156">
        <f t="shared" si="4"/>
        <v>833333.33333333337</v>
      </c>
      <c r="AA12" s="156"/>
      <c r="AB12" s="277">
        <f t="shared" si="5"/>
        <v>267624800.40533334</v>
      </c>
      <c r="AD12" s="156">
        <f t="shared" si="1"/>
        <v>143125598.78399998</v>
      </c>
    </row>
    <row r="13" spans="1:30" ht="10.5" customHeight="1" x14ac:dyDescent="0.2">
      <c r="F13" s="169" t="s">
        <v>376</v>
      </c>
      <c r="H13" s="156">
        <f t="shared" si="2"/>
        <v>143125598.78399998</v>
      </c>
      <c r="I13" s="156">
        <f t="shared" si="6"/>
        <v>338000000</v>
      </c>
      <c r="J13" s="274"/>
      <c r="K13" s="156">
        <f t="shared" si="0"/>
        <v>481125598.78399998</v>
      </c>
      <c r="L13" s="156"/>
      <c r="M13" s="156">
        <f t="shared" si="7"/>
        <v>91541666.666666672</v>
      </c>
      <c r="N13" s="156">
        <f t="shared" si="7"/>
        <v>6500000</v>
      </c>
      <c r="O13" s="156">
        <f t="shared" si="7"/>
        <v>6240000</v>
      </c>
      <c r="P13" s="156">
        <f t="shared" si="3"/>
        <v>10400000</v>
      </c>
      <c r="Q13" s="156">
        <f t="shared" si="3"/>
        <v>5746000</v>
      </c>
      <c r="R13" s="156">
        <f>'Cost of Services Sold'!$V$7/12</f>
        <v>12458333.333333334</v>
      </c>
      <c r="S13" s="156">
        <f t="shared" si="3"/>
        <v>10000000</v>
      </c>
      <c r="T13" s="156">
        <f t="shared" si="3"/>
        <v>67105467.072000004</v>
      </c>
      <c r="U13" s="156"/>
      <c r="V13" s="156">
        <f t="shared" si="8"/>
        <v>43875000</v>
      </c>
      <c r="W13" s="156">
        <f t="shared" si="9"/>
        <v>12025000</v>
      </c>
      <c r="X13" s="156">
        <f t="shared" si="4"/>
        <v>400000</v>
      </c>
      <c r="Y13" s="156">
        <f t="shared" si="4"/>
        <v>500000</v>
      </c>
      <c r="Z13" s="156">
        <f t="shared" si="4"/>
        <v>833333.33333333337</v>
      </c>
      <c r="AA13" s="156"/>
      <c r="AB13" s="277">
        <f t="shared" si="5"/>
        <v>267624800.40533334</v>
      </c>
      <c r="AD13" s="156">
        <f t="shared" si="1"/>
        <v>213500798.37866664</v>
      </c>
    </row>
    <row r="14" spans="1:30" ht="10.5" customHeight="1" x14ac:dyDescent="0.2">
      <c r="F14" s="169" t="s">
        <v>377</v>
      </c>
      <c r="H14" s="156">
        <f t="shared" si="2"/>
        <v>213500798.37866664</v>
      </c>
      <c r="I14" s="156">
        <f t="shared" si="6"/>
        <v>338000000</v>
      </c>
      <c r="J14" s="274"/>
      <c r="K14" s="156">
        <f t="shared" si="0"/>
        <v>551500798.37866664</v>
      </c>
      <c r="L14" s="156"/>
      <c r="M14" s="156">
        <f t="shared" si="7"/>
        <v>91541666.666666672</v>
      </c>
      <c r="N14" s="156">
        <f t="shared" si="7"/>
        <v>6500000</v>
      </c>
      <c r="O14" s="156">
        <f t="shared" si="7"/>
        <v>6240000</v>
      </c>
      <c r="P14" s="156">
        <f t="shared" si="3"/>
        <v>10400000</v>
      </c>
      <c r="Q14" s="156">
        <f t="shared" si="3"/>
        <v>5746000</v>
      </c>
      <c r="R14" s="156">
        <f>'Cost of Services Sold'!$V$7/12</f>
        <v>12458333.333333334</v>
      </c>
      <c r="S14" s="156">
        <f t="shared" si="3"/>
        <v>10000000</v>
      </c>
      <c r="T14" s="156">
        <f t="shared" si="3"/>
        <v>67105467.072000004</v>
      </c>
      <c r="U14" s="156"/>
      <c r="V14" s="156">
        <f t="shared" si="8"/>
        <v>43875000</v>
      </c>
      <c r="W14" s="156">
        <f t="shared" si="9"/>
        <v>12025000</v>
      </c>
      <c r="X14" s="156">
        <f t="shared" si="4"/>
        <v>400000</v>
      </c>
      <c r="Y14" s="156">
        <f t="shared" si="4"/>
        <v>500000</v>
      </c>
      <c r="Z14" s="156">
        <f t="shared" si="4"/>
        <v>833333.33333333337</v>
      </c>
      <c r="AA14" s="156"/>
      <c r="AB14" s="277">
        <f t="shared" si="5"/>
        <v>267624800.40533334</v>
      </c>
      <c r="AD14" s="156">
        <f t="shared" si="1"/>
        <v>283875997.9733333</v>
      </c>
    </row>
    <row r="15" spans="1:30" ht="10.5" customHeight="1" x14ac:dyDescent="0.2">
      <c r="F15" s="169" t="s">
        <v>378</v>
      </c>
      <c r="H15" s="156">
        <f t="shared" si="2"/>
        <v>283875997.9733333</v>
      </c>
      <c r="I15" s="156">
        <f t="shared" si="6"/>
        <v>338000000</v>
      </c>
      <c r="J15" s="274"/>
      <c r="K15" s="156">
        <f t="shared" si="0"/>
        <v>621875997.97333336</v>
      </c>
      <c r="L15" s="156"/>
      <c r="M15" s="156">
        <f t="shared" si="7"/>
        <v>91541666.666666672</v>
      </c>
      <c r="N15" s="156">
        <f t="shared" si="7"/>
        <v>6500000</v>
      </c>
      <c r="O15" s="156">
        <f t="shared" si="7"/>
        <v>6240000</v>
      </c>
      <c r="P15" s="156">
        <f t="shared" si="3"/>
        <v>10400000</v>
      </c>
      <c r="Q15" s="156">
        <f t="shared" si="3"/>
        <v>5746000</v>
      </c>
      <c r="R15" s="156">
        <f>'Cost of Services Sold'!$V$7/12</f>
        <v>12458333.333333334</v>
      </c>
      <c r="S15" s="156">
        <f t="shared" si="3"/>
        <v>10000000</v>
      </c>
      <c r="T15" s="156">
        <f t="shared" si="3"/>
        <v>67105467.072000004</v>
      </c>
      <c r="U15" s="156"/>
      <c r="V15" s="156">
        <f t="shared" si="8"/>
        <v>43875000</v>
      </c>
      <c r="W15" s="156">
        <f t="shared" si="9"/>
        <v>12025000</v>
      </c>
      <c r="X15" s="156">
        <f t="shared" si="4"/>
        <v>400000</v>
      </c>
      <c r="Y15" s="156">
        <f t="shared" si="4"/>
        <v>500000</v>
      </c>
      <c r="Z15" s="156">
        <f t="shared" si="4"/>
        <v>833333.33333333337</v>
      </c>
      <c r="AA15" s="156"/>
      <c r="AB15" s="277">
        <f t="shared" si="5"/>
        <v>267624800.40533334</v>
      </c>
      <c r="AD15" s="156">
        <f t="shared" si="1"/>
        <v>354251197.56800002</v>
      </c>
    </row>
    <row r="16" spans="1:30" ht="10.5" customHeight="1" x14ac:dyDescent="0.2">
      <c r="F16" s="169" t="s">
        <v>379</v>
      </c>
      <c r="H16" s="156">
        <f t="shared" si="2"/>
        <v>354251197.56800002</v>
      </c>
      <c r="I16" s="156">
        <f t="shared" si="6"/>
        <v>338000000</v>
      </c>
      <c r="J16" s="274"/>
      <c r="K16" s="156">
        <f t="shared" si="0"/>
        <v>692251197.56800008</v>
      </c>
      <c r="L16" s="156"/>
      <c r="M16" s="156">
        <f t="shared" si="7"/>
        <v>91541666.666666672</v>
      </c>
      <c r="N16" s="156">
        <f t="shared" si="7"/>
        <v>6500000</v>
      </c>
      <c r="O16" s="156">
        <f t="shared" si="7"/>
        <v>6240000</v>
      </c>
      <c r="P16" s="156">
        <f t="shared" si="3"/>
        <v>10400000</v>
      </c>
      <c r="Q16" s="156">
        <f t="shared" si="3"/>
        <v>5746000</v>
      </c>
      <c r="R16" s="156">
        <f>'Cost of Services Sold'!$V$7/12</f>
        <v>12458333.333333334</v>
      </c>
      <c r="S16" s="156">
        <f t="shared" si="3"/>
        <v>10000000</v>
      </c>
      <c r="T16" s="156">
        <f t="shared" si="3"/>
        <v>67105467.072000004</v>
      </c>
      <c r="U16" s="156"/>
      <c r="V16" s="156">
        <f t="shared" si="8"/>
        <v>43875000</v>
      </c>
      <c r="W16" s="156">
        <f t="shared" si="9"/>
        <v>12025000</v>
      </c>
      <c r="X16" s="156">
        <f t="shared" si="4"/>
        <v>400000</v>
      </c>
      <c r="Y16" s="156">
        <f t="shared" si="4"/>
        <v>500000</v>
      </c>
      <c r="Z16" s="156">
        <f t="shared" si="4"/>
        <v>833333.33333333337</v>
      </c>
      <c r="AA16" s="156"/>
      <c r="AB16" s="277">
        <f t="shared" si="5"/>
        <v>267624800.40533334</v>
      </c>
      <c r="AD16" s="156">
        <f t="shared" si="1"/>
        <v>424626397.16266674</v>
      </c>
    </row>
    <row r="17" spans="5:31" ht="10.5" customHeight="1" x14ac:dyDescent="0.2">
      <c r="F17" s="169" t="s">
        <v>380</v>
      </c>
      <c r="H17" s="156">
        <f t="shared" si="2"/>
        <v>424626397.16266674</v>
      </c>
      <c r="I17" s="156">
        <f t="shared" si="6"/>
        <v>338000000</v>
      </c>
      <c r="J17" s="274"/>
      <c r="K17" s="156">
        <f t="shared" si="0"/>
        <v>762626397.1626668</v>
      </c>
      <c r="L17" s="156"/>
      <c r="M17" s="156">
        <f t="shared" si="7"/>
        <v>91541666.666666672</v>
      </c>
      <c r="N17" s="156">
        <f t="shared" si="7"/>
        <v>6500000</v>
      </c>
      <c r="O17" s="156">
        <f t="shared" si="7"/>
        <v>6240000</v>
      </c>
      <c r="P17" s="156">
        <f t="shared" si="3"/>
        <v>10400000</v>
      </c>
      <c r="Q17" s="156">
        <f t="shared" si="3"/>
        <v>5746000</v>
      </c>
      <c r="R17" s="156">
        <f>'Cost of Services Sold'!$V$7/12</f>
        <v>12458333.333333334</v>
      </c>
      <c r="S17" s="156">
        <f t="shared" si="3"/>
        <v>10000000</v>
      </c>
      <c r="T17" s="156">
        <f t="shared" si="3"/>
        <v>67105467.072000004</v>
      </c>
      <c r="U17" s="156"/>
      <c r="V17" s="156">
        <f t="shared" si="8"/>
        <v>43875000</v>
      </c>
      <c r="W17" s="156">
        <f t="shared" si="9"/>
        <v>12025000</v>
      </c>
      <c r="X17" s="156">
        <f t="shared" si="4"/>
        <v>400000</v>
      </c>
      <c r="Y17" s="156">
        <f t="shared" si="4"/>
        <v>500000</v>
      </c>
      <c r="Z17" s="156">
        <f t="shared" si="4"/>
        <v>833333.33333333337</v>
      </c>
      <c r="AA17" s="156"/>
      <c r="AB17" s="277">
        <f t="shared" si="5"/>
        <v>267624800.40533334</v>
      </c>
      <c r="AD17" s="156">
        <f t="shared" si="1"/>
        <v>495001596.75733346</v>
      </c>
    </row>
    <row r="18" spans="5:31" ht="10.5" customHeight="1" x14ac:dyDescent="0.2">
      <c r="F18" s="169" t="s">
        <v>381</v>
      </c>
      <c r="H18" s="156">
        <f t="shared" si="2"/>
        <v>495001596.75733346</v>
      </c>
      <c r="I18" s="156">
        <f t="shared" si="6"/>
        <v>338000000</v>
      </c>
      <c r="J18" s="274"/>
      <c r="K18" s="156">
        <f t="shared" si="0"/>
        <v>833001596.75733352</v>
      </c>
      <c r="L18" s="156"/>
      <c r="M18" s="156">
        <f t="shared" si="7"/>
        <v>91541666.666666672</v>
      </c>
      <c r="N18" s="156">
        <f t="shared" si="7"/>
        <v>6500000</v>
      </c>
      <c r="O18" s="156">
        <f t="shared" si="7"/>
        <v>6240000</v>
      </c>
      <c r="P18" s="156">
        <f t="shared" si="3"/>
        <v>10400000</v>
      </c>
      <c r="Q18" s="156">
        <f t="shared" si="3"/>
        <v>5746000</v>
      </c>
      <c r="R18" s="156">
        <f>'Cost of Services Sold'!$V$7/12</f>
        <v>12458333.333333334</v>
      </c>
      <c r="S18" s="156">
        <f t="shared" si="3"/>
        <v>10000000</v>
      </c>
      <c r="T18" s="156">
        <f t="shared" si="3"/>
        <v>67105467.072000004</v>
      </c>
      <c r="U18" s="156"/>
      <c r="V18" s="156">
        <f t="shared" si="8"/>
        <v>43875000</v>
      </c>
      <c r="W18" s="156">
        <f t="shared" si="9"/>
        <v>12025000</v>
      </c>
      <c r="X18" s="156">
        <f t="shared" si="4"/>
        <v>400000</v>
      </c>
      <c r="Y18" s="156">
        <f t="shared" si="4"/>
        <v>500000</v>
      </c>
      <c r="Z18" s="156">
        <f t="shared" si="4"/>
        <v>833333.33333333337</v>
      </c>
      <c r="AA18" s="156"/>
      <c r="AB18" s="277">
        <f t="shared" si="5"/>
        <v>267624800.40533334</v>
      </c>
      <c r="AD18" s="156">
        <f t="shared" si="1"/>
        <v>565376796.35200024</v>
      </c>
    </row>
    <row r="19" spans="5:31" ht="10.5" customHeight="1" x14ac:dyDescent="0.2">
      <c r="F19" s="169" t="s">
        <v>382</v>
      </c>
      <c r="H19" s="156">
        <f t="shared" si="2"/>
        <v>565376796.35200024</v>
      </c>
      <c r="I19" s="156">
        <f t="shared" si="6"/>
        <v>338000000</v>
      </c>
      <c r="J19" s="274"/>
      <c r="K19" s="156">
        <f t="shared" si="0"/>
        <v>903376796.35200024</v>
      </c>
      <c r="L19" s="156"/>
      <c r="M19" s="156">
        <f t="shared" si="7"/>
        <v>91541666.666666672</v>
      </c>
      <c r="N19" s="156">
        <f t="shared" si="7"/>
        <v>6500000</v>
      </c>
      <c r="O19" s="156">
        <f t="shared" si="7"/>
        <v>6240000</v>
      </c>
      <c r="P19" s="156">
        <f t="shared" si="3"/>
        <v>10400000</v>
      </c>
      <c r="Q19" s="156">
        <f t="shared" si="3"/>
        <v>5746000</v>
      </c>
      <c r="R19" s="156">
        <f>'Cost of Services Sold'!$V$7/12</f>
        <v>12458333.333333334</v>
      </c>
      <c r="S19" s="156">
        <f t="shared" si="3"/>
        <v>10000000</v>
      </c>
      <c r="T19" s="156">
        <f t="shared" si="3"/>
        <v>67105467.072000004</v>
      </c>
      <c r="U19" s="156"/>
      <c r="V19" s="156">
        <f t="shared" si="8"/>
        <v>43875000</v>
      </c>
      <c r="W19" s="156">
        <f t="shared" si="9"/>
        <v>12025000</v>
      </c>
      <c r="X19" s="156">
        <f t="shared" si="4"/>
        <v>400000</v>
      </c>
      <c r="Y19" s="156">
        <f t="shared" si="4"/>
        <v>500000</v>
      </c>
      <c r="Z19" s="156">
        <f t="shared" si="4"/>
        <v>833333.33333333337</v>
      </c>
      <c r="AA19" s="156"/>
      <c r="AB19" s="277">
        <f t="shared" si="5"/>
        <v>267624800.40533334</v>
      </c>
      <c r="AD19" s="156">
        <f t="shared" si="1"/>
        <v>635751995.94666696</v>
      </c>
    </row>
    <row r="20" spans="5:31" ht="10.5" customHeight="1" x14ac:dyDescent="0.2">
      <c r="F20" s="169" t="s">
        <v>383</v>
      </c>
      <c r="H20" s="156">
        <f t="shared" si="2"/>
        <v>635751995.94666696</v>
      </c>
      <c r="I20" s="156">
        <f t="shared" si="6"/>
        <v>338000000</v>
      </c>
      <c r="J20" s="274"/>
      <c r="K20" s="156">
        <f t="shared" si="0"/>
        <v>973751995.94666696</v>
      </c>
      <c r="L20" s="156"/>
      <c r="M20" s="156">
        <f t="shared" si="7"/>
        <v>91541666.666666672</v>
      </c>
      <c r="N20" s="156">
        <f t="shared" si="7"/>
        <v>6500000</v>
      </c>
      <c r="O20" s="156">
        <f t="shared" si="7"/>
        <v>6240000</v>
      </c>
      <c r="P20" s="156">
        <f t="shared" si="3"/>
        <v>10400000</v>
      </c>
      <c r="Q20" s="156">
        <f t="shared" si="3"/>
        <v>5746000</v>
      </c>
      <c r="R20" s="156">
        <f>'Cost of Services Sold'!$V$7/12</f>
        <v>12458333.333333334</v>
      </c>
      <c r="S20" s="156">
        <f t="shared" si="3"/>
        <v>10000000</v>
      </c>
      <c r="T20" s="156">
        <f t="shared" si="3"/>
        <v>67105467.072000004</v>
      </c>
      <c r="U20" s="156"/>
      <c r="V20" s="156">
        <f t="shared" si="8"/>
        <v>43875000</v>
      </c>
      <c r="W20" s="156">
        <f t="shared" si="9"/>
        <v>12025000</v>
      </c>
      <c r="X20" s="156">
        <f t="shared" si="4"/>
        <v>400000</v>
      </c>
      <c r="Y20" s="156">
        <f t="shared" si="4"/>
        <v>500000</v>
      </c>
      <c r="Z20" s="156">
        <f t="shared" si="4"/>
        <v>833333.33333333337</v>
      </c>
      <c r="AA20" s="156"/>
      <c r="AB20" s="277">
        <f t="shared" si="5"/>
        <v>267624800.40533334</v>
      </c>
      <c r="AD20" s="156">
        <f t="shared" si="1"/>
        <v>706127195.54133368</v>
      </c>
    </row>
    <row r="21" spans="5:31" ht="10.5" customHeight="1" x14ac:dyDescent="0.2">
      <c r="F21" s="169" t="s">
        <v>384</v>
      </c>
      <c r="H21" s="156">
        <f t="shared" si="2"/>
        <v>706127195.54133368</v>
      </c>
      <c r="I21" s="156">
        <f t="shared" si="6"/>
        <v>338000000</v>
      </c>
      <c r="J21" s="274"/>
      <c r="K21" s="156">
        <f t="shared" si="0"/>
        <v>1044127195.5413337</v>
      </c>
      <c r="L21" s="156"/>
      <c r="M21" s="156">
        <f t="shared" si="7"/>
        <v>91541666.666666672</v>
      </c>
      <c r="N21" s="156">
        <f t="shared" si="7"/>
        <v>6500000</v>
      </c>
      <c r="O21" s="156">
        <f t="shared" si="7"/>
        <v>6240000</v>
      </c>
      <c r="P21" s="156">
        <f t="shared" si="3"/>
        <v>10400000</v>
      </c>
      <c r="Q21" s="156">
        <f t="shared" si="3"/>
        <v>5746000</v>
      </c>
      <c r="R21" s="156">
        <f>'Cost of Services Sold'!$V$7/12</f>
        <v>12458333.333333334</v>
      </c>
      <c r="S21" s="156">
        <f t="shared" si="3"/>
        <v>10000000</v>
      </c>
      <c r="T21" s="156">
        <f t="shared" si="3"/>
        <v>67105467.072000004</v>
      </c>
      <c r="U21" s="156"/>
      <c r="V21" s="156">
        <f t="shared" si="8"/>
        <v>43875000</v>
      </c>
      <c r="W21" s="156">
        <f t="shared" si="9"/>
        <v>12025000</v>
      </c>
      <c r="X21" s="156">
        <f t="shared" si="4"/>
        <v>400000</v>
      </c>
      <c r="Y21" s="156">
        <f t="shared" si="4"/>
        <v>500000</v>
      </c>
      <c r="Z21" s="156">
        <f t="shared" si="4"/>
        <v>833333.33333333337</v>
      </c>
      <c r="AA21" s="156">
        <f>IncomeStatement!C32</f>
        <v>77495263.464959964</v>
      </c>
      <c r="AB21" s="277">
        <f t="shared" si="5"/>
        <v>345120063.87029332</v>
      </c>
      <c r="AD21" s="156">
        <f t="shared" si="1"/>
        <v>699007131.6710403</v>
      </c>
    </row>
    <row r="22" spans="5:31" ht="10.5" customHeight="1" x14ac:dyDescent="0.2">
      <c r="E22" s="275"/>
      <c r="F22" s="276"/>
      <c r="G22" s="276"/>
      <c r="H22" s="277"/>
      <c r="I22" s="277">
        <f>SUM(I10:I21)</f>
        <v>3718000000</v>
      </c>
      <c r="J22" s="277">
        <f>SUM(J10:J21)</f>
        <v>350000000</v>
      </c>
      <c r="K22" s="277"/>
      <c r="L22" s="277"/>
      <c r="M22" s="277">
        <f>SUM(M10:M21)</f>
        <v>1098499999.9999998</v>
      </c>
      <c r="N22" s="277">
        <f t="shared" ref="N22:T22" si="10">SUM(N10:N21)</f>
        <v>78000000</v>
      </c>
      <c r="O22" s="277">
        <f t="shared" si="10"/>
        <v>74880000</v>
      </c>
      <c r="P22" s="277">
        <f t="shared" si="10"/>
        <v>124800000</v>
      </c>
      <c r="Q22" s="277">
        <f t="shared" si="10"/>
        <v>68952000</v>
      </c>
      <c r="R22" s="277">
        <f t="shared" si="10"/>
        <v>149500000</v>
      </c>
      <c r="S22" s="277">
        <f t="shared" si="10"/>
        <v>120000000</v>
      </c>
      <c r="T22" s="277">
        <f t="shared" si="10"/>
        <v>805265604.8640002</v>
      </c>
      <c r="U22" s="277">
        <f>SUM(U10:U21)</f>
        <v>80000000</v>
      </c>
      <c r="V22" s="277">
        <f>SUM(V10:V21)</f>
        <v>526500000</v>
      </c>
      <c r="W22" s="277">
        <f t="shared" ref="W22:Z22" si="11">SUM(W10:W21)</f>
        <v>144300000</v>
      </c>
      <c r="X22" s="277">
        <f t="shared" si="11"/>
        <v>4800000</v>
      </c>
      <c r="Y22" s="277">
        <f t="shared" si="11"/>
        <v>6000000</v>
      </c>
      <c r="Z22" s="277">
        <f t="shared" si="11"/>
        <v>10000000</v>
      </c>
      <c r="AA22" s="277">
        <f>SUM(AA10:AA21)</f>
        <v>77495263.464959964</v>
      </c>
      <c r="AB22" s="277">
        <f>SUM(AB10:AB21)</f>
        <v>3368992868.3289604</v>
      </c>
      <c r="AC22" s="276"/>
      <c r="AD22" s="277">
        <f>I22+J22-AB22</f>
        <v>699007131.67103958</v>
      </c>
      <c r="AE22" s="156"/>
    </row>
    <row r="23" spans="5:31" ht="10.5" customHeight="1" x14ac:dyDescent="0.2">
      <c r="V23" s="156"/>
      <c r="W23" s="156"/>
      <c r="X23" s="156"/>
      <c r="Y23" s="156"/>
      <c r="Z23" s="156"/>
    </row>
    <row r="24" spans="5:31" ht="10.5" customHeight="1" x14ac:dyDescent="0.2">
      <c r="AB24" s="156"/>
    </row>
    <row r="27" spans="5:31" ht="10.5" customHeight="1" x14ac:dyDescent="0.2">
      <c r="M27" s="156"/>
      <c r="N27" s="156"/>
      <c r="O27" s="156"/>
      <c r="P27" s="156"/>
      <c r="Q27" s="156"/>
      <c r="R27" s="156"/>
      <c r="S27" s="156"/>
      <c r="T27" s="156"/>
      <c r="U27" s="156"/>
    </row>
    <row r="29" spans="5:31" ht="10.5" customHeight="1" x14ac:dyDescent="0.2">
      <c r="J29" s="216"/>
    </row>
    <row r="30" spans="5:31" ht="10.5" customHeight="1" x14ac:dyDescent="0.2">
      <c r="Y30" s="156"/>
    </row>
    <row r="34" spans="27:27" ht="10.5" customHeight="1" x14ac:dyDescent="0.2">
      <c r="AA34" s="156"/>
    </row>
  </sheetData>
  <mergeCells count="10">
    <mergeCell ref="AD7:AD8"/>
    <mergeCell ref="E7:E8"/>
    <mergeCell ref="F7:F8"/>
    <mergeCell ref="I7:I8"/>
    <mergeCell ref="J7:J8"/>
    <mergeCell ref="H7:H8"/>
    <mergeCell ref="M7:AB7"/>
    <mergeCell ref="K7:K8"/>
    <mergeCell ref="M8:T8"/>
    <mergeCell ref="V8:Z8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BB34-7A0A-43B8-A5EA-3634ECA1238E}">
  <sheetPr>
    <tabColor theme="9" tint="0.39997558519241921"/>
  </sheetPr>
  <dimension ref="A1:K45"/>
  <sheetViews>
    <sheetView showGridLines="0" workbookViewId="0">
      <pane ySplit="6" topLeftCell="A7" activePane="bottomLeft" state="frozen"/>
      <selection pane="bottomLeft" activeCell="N16" sqref="N16"/>
    </sheetView>
  </sheetViews>
  <sheetFormatPr defaultColWidth="9" defaultRowHeight="11.25" x14ac:dyDescent="0.2"/>
  <cols>
    <col min="1" max="2" width="9" style="198"/>
    <col min="3" max="3" width="9.5" style="198" bestFit="1" customWidth="1"/>
    <col min="4" max="4" width="9" style="198"/>
    <col min="5" max="5" width="10.625" style="198" customWidth="1"/>
    <col min="6" max="6" width="4.625" style="198" customWidth="1"/>
    <col min="7" max="7" width="6.375" style="198" customWidth="1"/>
    <col min="8" max="16384" width="9" style="198"/>
  </cols>
  <sheetData>
    <row r="1" spans="1:11" x14ac:dyDescent="0.2">
      <c r="A1" s="197" t="str">
        <f>CashFlow!A1</f>
        <v>Bisnis Penyewaan INTEGRATED COLD STORAGE - Revitalitation</v>
      </c>
    </row>
    <row r="2" spans="1:11" x14ac:dyDescent="0.2">
      <c r="A2" s="197" t="str">
        <f>CashFlow!A2</f>
        <v>Financial Pre-Feasibility Study</v>
      </c>
    </row>
    <row r="3" spans="1:11" x14ac:dyDescent="0.2">
      <c r="A3" s="199" t="s">
        <v>681</v>
      </c>
    </row>
    <row r="6" spans="1:11" s="271" customFormat="1" ht="22.5" customHeight="1" x14ac:dyDescent="0.25">
      <c r="A6" s="260" t="s">
        <v>841</v>
      </c>
      <c r="B6" s="261"/>
      <c r="C6" s="261"/>
      <c r="D6" s="261"/>
      <c r="E6" s="261"/>
      <c r="F6" s="376"/>
      <c r="G6" s="260" t="s">
        <v>842</v>
      </c>
      <c r="H6" s="261"/>
      <c r="I6" s="261"/>
      <c r="J6" s="261"/>
      <c r="K6" s="261"/>
    </row>
    <row r="8" spans="1:11" ht="10.5" customHeight="1" x14ac:dyDescent="0.2">
      <c r="A8" s="198" t="s">
        <v>254</v>
      </c>
      <c r="B8" s="377" t="s">
        <v>418</v>
      </c>
      <c r="C8" s="227"/>
      <c r="D8" s="378"/>
      <c r="G8" s="451" t="s">
        <v>843</v>
      </c>
    </row>
    <row r="9" spans="1:11" ht="10.5" customHeight="1" x14ac:dyDescent="0.2">
      <c r="B9" s="377" t="s">
        <v>703</v>
      </c>
      <c r="G9" s="451" t="s">
        <v>412</v>
      </c>
      <c r="J9" s="452" t="s">
        <v>415</v>
      </c>
    </row>
    <row r="10" spans="1:11" ht="10.5" customHeight="1" x14ac:dyDescent="0.2">
      <c r="A10" s="198" t="s">
        <v>395</v>
      </c>
      <c r="B10" s="379"/>
      <c r="C10" s="227"/>
      <c r="D10" s="378"/>
      <c r="G10" s="451" t="s">
        <v>413</v>
      </c>
      <c r="J10" s="452" t="s">
        <v>416</v>
      </c>
    </row>
    <row r="11" spans="1:11" ht="10.5" customHeight="1" x14ac:dyDescent="0.2">
      <c r="A11" s="198" t="s">
        <v>399</v>
      </c>
      <c r="B11" s="380"/>
      <c r="C11" s="381"/>
      <c r="D11" s="382"/>
      <c r="E11" s="383"/>
      <c r="G11" s="451" t="s">
        <v>414</v>
      </c>
      <c r="J11" s="452" t="s">
        <v>417</v>
      </c>
    </row>
    <row r="12" spans="1:11" ht="10.5" customHeight="1" x14ac:dyDescent="0.2">
      <c r="A12" s="206" t="s">
        <v>396</v>
      </c>
      <c r="B12" s="384"/>
      <c r="C12" s="385"/>
      <c r="D12" s="386"/>
      <c r="E12" s="383"/>
    </row>
    <row r="13" spans="1:11" ht="10.5" customHeight="1" x14ac:dyDescent="0.2">
      <c r="A13" s="206" t="s">
        <v>397</v>
      </c>
      <c r="B13" s="384"/>
      <c r="C13" s="385"/>
      <c r="D13" s="386"/>
      <c r="E13" s="383"/>
      <c r="G13" s="387" t="s">
        <v>257</v>
      </c>
      <c r="H13" s="198" t="s">
        <v>258</v>
      </c>
    </row>
    <row r="14" spans="1:11" ht="10.5" customHeight="1" x14ac:dyDescent="0.2">
      <c r="A14" s="206" t="s">
        <v>398</v>
      </c>
      <c r="B14" s="387"/>
      <c r="C14" s="388"/>
      <c r="D14" s="388"/>
      <c r="E14" s="388"/>
      <c r="G14" s="380"/>
      <c r="H14" s="198" t="s">
        <v>259</v>
      </c>
      <c r="J14" s="453">
        <f>Assumption!B23/100</f>
        <v>0</v>
      </c>
    </row>
    <row r="15" spans="1:11" ht="10.5" customHeight="1" x14ac:dyDescent="0.2">
      <c r="A15" s="206" t="s">
        <v>400</v>
      </c>
      <c r="B15" s="380"/>
      <c r="C15" s="381"/>
      <c r="D15" s="382"/>
      <c r="E15" s="383"/>
      <c r="G15" s="380"/>
      <c r="H15" s="198" t="s">
        <v>419</v>
      </c>
      <c r="J15" s="453">
        <f>Assumption!B24/100</f>
        <v>1</v>
      </c>
    </row>
    <row r="16" spans="1:11" ht="10.5" customHeight="1" x14ac:dyDescent="0.2">
      <c r="B16" s="380"/>
      <c r="C16" s="389"/>
      <c r="D16" s="389"/>
      <c r="E16" s="389"/>
      <c r="G16" s="380"/>
      <c r="H16" s="198" t="s">
        <v>260</v>
      </c>
      <c r="J16" s="453">
        <f>Assumption!B25/100</f>
        <v>0</v>
      </c>
    </row>
    <row r="17" spans="1:11" ht="10.5" customHeight="1" x14ac:dyDescent="0.2">
      <c r="A17" s="198" t="s">
        <v>401</v>
      </c>
      <c r="B17" s="380"/>
      <c r="C17" s="383"/>
      <c r="D17" s="383"/>
      <c r="E17" s="383"/>
      <c r="G17" s="380"/>
      <c r="H17" s="198" t="s">
        <v>256</v>
      </c>
      <c r="J17" s="453">
        <f>Assumption!B32/100</f>
        <v>0.11</v>
      </c>
    </row>
    <row r="18" spans="1:11" ht="10.5" customHeight="1" x14ac:dyDescent="0.2">
      <c r="A18" s="279" t="s">
        <v>402</v>
      </c>
      <c r="B18" s="380"/>
      <c r="C18" s="383"/>
      <c r="D18" s="383"/>
      <c r="E18" s="383"/>
      <c r="G18" s="380"/>
      <c r="H18" s="198" t="s">
        <v>420</v>
      </c>
      <c r="J18" s="454">
        <v>5.2999999999999999E-2</v>
      </c>
      <c r="K18" s="451" t="s">
        <v>422</v>
      </c>
    </row>
    <row r="19" spans="1:11" ht="10.5" customHeight="1" x14ac:dyDescent="0.2">
      <c r="A19" s="198" t="s">
        <v>255</v>
      </c>
      <c r="B19" s="390"/>
      <c r="C19" s="383"/>
      <c r="D19" s="383"/>
      <c r="E19" s="383"/>
      <c r="G19" s="380"/>
      <c r="H19" s="198" t="s">
        <v>421</v>
      </c>
      <c r="J19" s="454">
        <v>7.0800000000000002E-2</v>
      </c>
      <c r="K19" s="451" t="s">
        <v>422</v>
      </c>
    </row>
    <row r="20" spans="1:11" ht="10.5" customHeight="1" x14ac:dyDescent="0.2">
      <c r="A20" s="391" t="s">
        <v>405</v>
      </c>
      <c r="B20" s="390"/>
      <c r="C20" s="383"/>
      <c r="D20" s="383"/>
      <c r="E20" s="389"/>
      <c r="G20" s="380"/>
      <c r="H20" s="198" t="s">
        <v>423</v>
      </c>
      <c r="J20" s="453">
        <f>J18+J19</f>
        <v>0.12379999999999999</v>
      </c>
      <c r="K20" s="455" t="s">
        <v>516</v>
      </c>
    </row>
    <row r="21" spans="1:11" ht="10.5" customHeight="1" x14ac:dyDescent="0.2">
      <c r="A21" s="198" t="s">
        <v>403</v>
      </c>
      <c r="B21" s="392"/>
      <c r="C21" s="383"/>
      <c r="D21" s="383"/>
      <c r="E21" s="389"/>
      <c r="G21" s="380"/>
      <c r="H21" s="198" t="s">
        <v>261</v>
      </c>
      <c r="J21" s="453"/>
    </row>
    <row r="22" spans="1:11" ht="10.5" customHeight="1" x14ac:dyDescent="0.2">
      <c r="A22" s="198" t="s">
        <v>404</v>
      </c>
      <c r="B22" s="392"/>
      <c r="C22" s="383"/>
      <c r="D22" s="383"/>
      <c r="E22" s="389"/>
      <c r="G22" s="380"/>
      <c r="H22" s="198" t="s">
        <v>250</v>
      </c>
      <c r="J22" s="453">
        <f>ROUND((J15*J20)+(J14*J16*(1-J17)),2)</f>
        <v>0.12</v>
      </c>
    </row>
    <row r="23" spans="1:11" ht="10.5" customHeight="1" x14ac:dyDescent="0.2">
      <c r="A23" s="391" t="s">
        <v>406</v>
      </c>
    </row>
    <row r="24" spans="1:11" ht="10.5" customHeight="1" x14ac:dyDescent="0.2">
      <c r="A24" s="198" t="s">
        <v>407</v>
      </c>
      <c r="G24" s="198" t="s">
        <v>844</v>
      </c>
    </row>
    <row r="25" spans="1:11" ht="10.5" customHeight="1" x14ac:dyDescent="0.2">
      <c r="A25" s="198" t="s">
        <v>408</v>
      </c>
      <c r="G25" s="198" t="s">
        <v>668</v>
      </c>
      <c r="J25" s="456">
        <f>J22</f>
        <v>0.12</v>
      </c>
    </row>
    <row r="26" spans="1:11" ht="10.5" customHeight="1" x14ac:dyDescent="0.2">
      <c r="A26" s="198" t="s">
        <v>409</v>
      </c>
    </row>
    <row r="27" spans="1:11" ht="10.5" customHeight="1" x14ac:dyDescent="0.2">
      <c r="A27" s="198" t="s">
        <v>410</v>
      </c>
    </row>
    <row r="28" spans="1:11" ht="10.5" customHeight="1" x14ac:dyDescent="0.2">
      <c r="A28" s="198" t="s">
        <v>411</v>
      </c>
    </row>
    <row r="29" spans="1:11" ht="10.5" customHeight="1" x14ac:dyDescent="0.2"/>
    <row r="30" spans="1:11" ht="10.5" customHeight="1" x14ac:dyDescent="0.2"/>
    <row r="31" spans="1:11" ht="10.5" customHeight="1" x14ac:dyDescent="0.2"/>
    <row r="32" spans="1:11" ht="10.5" customHeight="1" x14ac:dyDescent="0.2"/>
    <row r="33" ht="10.5" customHeight="1" x14ac:dyDescent="0.2"/>
    <row r="34" ht="10.5" customHeight="1" x14ac:dyDescent="0.2"/>
    <row r="36" ht="10.5" customHeight="1" x14ac:dyDescent="0.2"/>
    <row r="37" ht="10.5" customHeight="1" x14ac:dyDescent="0.2"/>
    <row r="38" ht="10.5" customHeight="1" x14ac:dyDescent="0.2"/>
    <row r="39" ht="10.5" customHeight="1" x14ac:dyDescent="0.2"/>
    <row r="40" ht="10.5" customHeight="1" x14ac:dyDescent="0.2"/>
    <row r="41" ht="10.5" customHeight="1" x14ac:dyDescent="0.2"/>
    <row r="42" ht="10.5" customHeight="1" x14ac:dyDescent="0.2"/>
    <row r="43" ht="10.5" customHeight="1" x14ac:dyDescent="0.2"/>
    <row r="44" ht="10.5" customHeight="1" x14ac:dyDescent="0.2"/>
    <row r="45" ht="10.5" customHeight="1" x14ac:dyDescent="0.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96E3-1781-4FCC-A900-1781ED5918A3}">
  <dimension ref="A1:R31"/>
  <sheetViews>
    <sheetView showGridLines="0" workbookViewId="0">
      <pane ySplit="7" topLeftCell="A8" activePane="bottomLeft" state="frozen"/>
      <selection pane="bottomLeft" activeCell="E14" sqref="E14"/>
    </sheetView>
  </sheetViews>
  <sheetFormatPr defaultColWidth="9.125" defaultRowHeight="11.25" x14ac:dyDescent="0.25"/>
  <cols>
    <col min="1" max="1" width="2.875" style="503" customWidth="1"/>
    <col min="2" max="2" width="16.5" style="503" customWidth="1"/>
    <col min="3" max="3" width="11.875" style="503" customWidth="1"/>
    <col min="4" max="4" width="12.5" style="503" customWidth="1"/>
    <col min="5" max="7" width="9.625" style="503" customWidth="1"/>
    <col min="8" max="8" width="12.875" style="503" customWidth="1"/>
    <col min="9" max="11" width="9.625" style="503" customWidth="1"/>
    <col min="12" max="12" width="11" style="503" bestFit="1" customWidth="1"/>
    <col min="13" max="13" width="11.875" style="503" customWidth="1"/>
    <col min="14" max="14" width="5.625" style="503" customWidth="1"/>
    <col min="15" max="15" width="9.625" style="503" customWidth="1"/>
    <col min="16" max="16" width="11" style="504" bestFit="1" customWidth="1"/>
    <col min="17" max="17" width="14.25" style="504" customWidth="1"/>
    <col min="18" max="18" width="6.375" style="504" customWidth="1"/>
    <col min="19" max="16384" width="9.125" style="503"/>
  </cols>
  <sheetData>
    <row r="1" spans="1:18" x14ac:dyDescent="0.2">
      <c r="A1" s="502" t="str">
        <f>Assumption!A1</f>
        <v>Bisnis Penyewaan INTEGRATED COLD STORAGE - Revitalitation</v>
      </c>
      <c r="C1" s="502"/>
    </row>
    <row r="2" spans="1:18" x14ac:dyDescent="0.2">
      <c r="A2" s="502" t="str">
        <f>Assumption!A2</f>
        <v>Financial Pre-Feasibility Study</v>
      </c>
      <c r="C2" s="502"/>
    </row>
    <row r="3" spans="1:18" x14ac:dyDescent="0.25">
      <c r="A3" s="505" t="s">
        <v>948</v>
      </c>
      <c r="C3" s="505"/>
    </row>
    <row r="5" spans="1:18" x14ac:dyDescent="0.25">
      <c r="C5" s="503" t="s">
        <v>950</v>
      </c>
    </row>
    <row r="6" spans="1:18" ht="21.6" customHeight="1" x14ac:dyDescent="0.25">
      <c r="A6" s="506" t="s">
        <v>949</v>
      </c>
      <c r="B6" s="506"/>
      <c r="C6" s="506"/>
      <c r="D6" s="507"/>
      <c r="P6" s="503"/>
      <c r="Q6" s="503"/>
      <c r="R6" s="503"/>
    </row>
    <row r="7" spans="1:18" x14ac:dyDescent="0.25">
      <c r="A7" s="508"/>
      <c r="B7" s="508"/>
      <c r="C7" s="508"/>
      <c r="D7" s="509"/>
      <c r="P7" s="503"/>
      <c r="Q7" s="503"/>
      <c r="R7" s="503"/>
    </row>
    <row r="8" spans="1:18" x14ac:dyDescent="0.2">
      <c r="A8" s="502" t="s">
        <v>794</v>
      </c>
      <c r="B8" s="510"/>
      <c r="D8" s="511">
        <f>SUM(C9:C18)</f>
        <v>3547580187.4345055</v>
      </c>
      <c r="P8" s="503"/>
      <c r="Q8" s="503"/>
      <c r="R8" s="503"/>
    </row>
    <row r="9" spans="1:18" x14ac:dyDescent="0.2">
      <c r="A9" s="510"/>
      <c r="B9" s="512" t="s">
        <v>765</v>
      </c>
      <c r="C9" s="513">
        <f>IncomeStatement!AH10/IncomeStatement!$AF$7</f>
        <v>1485467833.5625575</v>
      </c>
      <c r="D9" s="514"/>
      <c r="L9" s="745" t="s">
        <v>955</v>
      </c>
      <c r="M9" s="745"/>
      <c r="N9" s="745"/>
      <c r="P9" s="745" t="s">
        <v>960</v>
      </c>
      <c r="Q9" s="745"/>
      <c r="R9" s="745"/>
    </row>
    <row r="10" spans="1:18" x14ac:dyDescent="0.2">
      <c r="A10" s="510"/>
      <c r="B10" s="515" t="s">
        <v>910</v>
      </c>
      <c r="C10" s="513">
        <f>IncomeStatement!AH11/IncomeStatement!$AF$7</f>
        <v>105477005.93343599</v>
      </c>
      <c r="D10" s="514"/>
      <c r="E10" s="516"/>
      <c r="F10" s="516"/>
      <c r="H10" s="517" t="s">
        <v>614</v>
      </c>
      <c r="I10" s="517" t="s">
        <v>952</v>
      </c>
      <c r="J10" s="516"/>
      <c r="K10" s="516"/>
      <c r="L10" s="745"/>
      <c r="M10" s="745"/>
      <c r="N10" s="745"/>
      <c r="P10" s="745"/>
      <c r="Q10" s="745"/>
      <c r="R10" s="745"/>
    </row>
    <row r="11" spans="1:18" x14ac:dyDescent="0.2">
      <c r="A11" s="510"/>
      <c r="B11" s="515" t="s">
        <v>912</v>
      </c>
      <c r="C11" s="513">
        <f>IncomeStatement!AH12/IncomeStatement!$AF$7</f>
        <v>101257925.69609858</v>
      </c>
      <c r="D11" s="514"/>
      <c r="E11" s="516"/>
      <c r="F11" s="516"/>
      <c r="G11" s="516" t="s">
        <v>836</v>
      </c>
      <c r="H11" s="511">
        <f>D8</f>
        <v>3547580187.4345055</v>
      </c>
      <c r="I11" s="555">
        <f>H11/H13</f>
        <v>0.79137426576057857</v>
      </c>
      <c r="J11" s="516"/>
      <c r="K11" s="516"/>
      <c r="L11" s="518" t="s">
        <v>958</v>
      </c>
      <c r="M11" s="518" t="s">
        <v>614</v>
      </c>
      <c r="N11" s="518" t="s">
        <v>954</v>
      </c>
      <c r="P11" s="518" t="s">
        <v>958</v>
      </c>
      <c r="Q11" s="518" t="s">
        <v>614</v>
      </c>
      <c r="R11" s="518" t="s">
        <v>954</v>
      </c>
    </row>
    <row r="12" spans="1:18" x14ac:dyDescent="0.2">
      <c r="A12" s="510"/>
      <c r="B12" s="512" t="s">
        <v>772</v>
      </c>
      <c r="C12" s="513">
        <f>IncomeStatement!AH13/IncomeStatement!$AF$7</f>
        <v>168763209.49349773</v>
      </c>
      <c r="D12" s="514"/>
      <c r="E12" s="516"/>
      <c r="F12" s="516"/>
      <c r="G12" s="516" t="s">
        <v>837</v>
      </c>
      <c r="H12" s="519">
        <f>D19</f>
        <v>935229452.60979939</v>
      </c>
      <c r="I12" s="555">
        <f>H12/H13</f>
        <v>0.20862573423942138</v>
      </c>
      <c r="J12" s="516"/>
      <c r="K12" s="516"/>
      <c r="L12" s="520" t="s">
        <v>765</v>
      </c>
      <c r="M12" s="521">
        <f>C9</f>
        <v>1485467833.5625575</v>
      </c>
      <c r="N12" s="522">
        <f t="shared" ref="N12:N22" si="0">M12/$M$22*100</f>
        <v>41.872706325964671</v>
      </c>
      <c r="P12" s="520" t="s">
        <v>765</v>
      </c>
      <c r="Q12" s="521">
        <f>M12+M26</f>
        <v>2197437623.6132507</v>
      </c>
      <c r="R12" s="522">
        <f t="shared" ref="R12:R25" si="1">Q12/$Q$26*100</f>
        <v>49.019204473548264</v>
      </c>
    </row>
    <row r="13" spans="1:18" x14ac:dyDescent="0.2">
      <c r="A13" s="510"/>
      <c r="B13" s="512" t="s">
        <v>774</v>
      </c>
      <c r="C13" s="513">
        <f>IncomeStatement!AH15/IncomeStatement!$AF$7</f>
        <v>93241673.245157436</v>
      </c>
      <c r="D13" s="514"/>
      <c r="E13" s="516"/>
      <c r="F13" s="516"/>
      <c r="G13" s="516" t="s">
        <v>23</v>
      </c>
      <c r="H13" s="511">
        <f>SUM(H11:H12)</f>
        <v>4482809640.0443048</v>
      </c>
      <c r="I13" s="516"/>
      <c r="J13" s="516"/>
      <c r="K13" s="516"/>
      <c r="L13" s="523" t="s">
        <v>910</v>
      </c>
      <c r="M13" s="521">
        <f t="shared" ref="M13:M15" si="2">C10</f>
        <v>105477005.93343599</v>
      </c>
      <c r="N13" s="522">
        <f t="shared" si="0"/>
        <v>2.9732099166365433</v>
      </c>
      <c r="P13" s="523" t="s">
        <v>910</v>
      </c>
      <c r="Q13" s="521">
        <f t="shared" ref="Q13:Q15" si="3">M13</f>
        <v>105477005.93343599</v>
      </c>
      <c r="R13" s="522">
        <f t="shared" si="1"/>
        <v>2.3529218147303155</v>
      </c>
    </row>
    <row r="14" spans="1:18" x14ac:dyDescent="0.2">
      <c r="A14" s="510"/>
      <c r="B14" s="691" t="s">
        <v>1127</v>
      </c>
      <c r="C14" s="692">
        <f>IncomeStatement!AH14/IncomeStatement!$AF$7</f>
        <v>202164261.37241906</v>
      </c>
      <c r="D14" s="514"/>
      <c r="E14" s="516"/>
      <c r="F14" s="516"/>
      <c r="G14" s="516"/>
      <c r="H14" s="516"/>
      <c r="I14" s="516"/>
      <c r="J14" s="516"/>
      <c r="K14" s="516"/>
      <c r="L14" s="523" t="s">
        <v>912</v>
      </c>
      <c r="M14" s="521">
        <f t="shared" si="2"/>
        <v>101257925.69609858</v>
      </c>
      <c r="N14" s="522">
        <f t="shared" si="0"/>
        <v>2.8542815199710825</v>
      </c>
      <c r="P14" s="523" t="s">
        <v>912</v>
      </c>
      <c r="Q14" s="521">
        <f t="shared" si="3"/>
        <v>101257925.69609858</v>
      </c>
      <c r="R14" s="522">
        <f t="shared" si="1"/>
        <v>2.2588049421411038</v>
      </c>
    </row>
    <row r="15" spans="1:18" x14ac:dyDescent="0.2">
      <c r="A15" s="510"/>
      <c r="B15" s="559" t="s">
        <v>1018</v>
      </c>
      <c r="C15" s="513">
        <f>IncomeStatement!AH16/IncomeStatement!$AF$7</f>
        <v>162272316.82067087</v>
      </c>
      <c r="D15" s="514"/>
      <c r="E15" s="516"/>
      <c r="F15" s="516"/>
      <c r="G15" s="516"/>
      <c r="H15" s="516"/>
      <c r="I15" s="516"/>
      <c r="J15" s="516"/>
      <c r="K15" s="516"/>
      <c r="L15" s="520" t="s">
        <v>957</v>
      </c>
      <c r="M15" s="521">
        <f t="shared" si="2"/>
        <v>168763209.49349773</v>
      </c>
      <c r="N15" s="522">
        <f t="shared" si="0"/>
        <v>4.7571358666184738</v>
      </c>
      <c r="P15" s="520" t="s">
        <v>957</v>
      </c>
      <c r="Q15" s="521">
        <f t="shared" si="3"/>
        <v>168763209.49349773</v>
      </c>
      <c r="R15" s="522">
        <f t="shared" si="1"/>
        <v>3.7646749035685079</v>
      </c>
    </row>
    <row r="16" spans="1:18" x14ac:dyDescent="0.2">
      <c r="A16" s="510"/>
      <c r="B16" s="512" t="s">
        <v>775</v>
      </c>
      <c r="C16" s="513">
        <f>IncomeStatement!AH17/IncomeStatement!$AF$7</f>
        <v>1088935961.310668</v>
      </c>
      <c r="D16" s="514"/>
      <c r="E16" s="516"/>
      <c r="F16" s="516"/>
      <c r="G16" s="516"/>
      <c r="H16" s="516"/>
      <c r="I16" s="516"/>
      <c r="J16" s="516"/>
      <c r="K16" s="516"/>
      <c r="L16" s="691" t="s">
        <v>1127</v>
      </c>
      <c r="M16" s="693">
        <f>C14</f>
        <v>202164261.37241906</v>
      </c>
      <c r="N16" s="503">
        <f t="shared" si="0"/>
        <v>5.6986523402200433</v>
      </c>
      <c r="P16" s="520" t="s">
        <v>956</v>
      </c>
      <c r="Q16" s="521">
        <f>M17</f>
        <v>93241673.245157436</v>
      </c>
      <c r="R16" s="522">
        <f t="shared" si="1"/>
        <v>2.0799828842215993</v>
      </c>
    </row>
    <row r="17" spans="1:18" x14ac:dyDescent="0.2">
      <c r="A17" s="510"/>
      <c r="B17" s="512" t="s">
        <v>839</v>
      </c>
      <c r="C17" s="513">
        <f>IncomeStatement!AH18/IncomeStatement!$AF$7</f>
        <v>80000000</v>
      </c>
      <c r="D17" s="513"/>
      <c r="E17" s="516"/>
      <c r="F17" s="516"/>
      <c r="G17" s="516"/>
      <c r="H17" s="516"/>
      <c r="I17" s="516"/>
      <c r="J17" s="516"/>
      <c r="K17" s="516"/>
      <c r="L17" s="520" t="s">
        <v>956</v>
      </c>
      <c r="M17" s="521">
        <f>C13</f>
        <v>93241673.245157436</v>
      </c>
      <c r="N17" s="522">
        <f t="shared" si="0"/>
        <v>2.6283175663067047</v>
      </c>
      <c r="P17" s="691" t="s">
        <v>1127</v>
      </c>
      <c r="Q17" s="504">
        <f>M16</f>
        <v>202164261.37241906</v>
      </c>
      <c r="R17" s="522">
        <f t="shared" si="1"/>
        <v>4.5097668115664398</v>
      </c>
    </row>
    <row r="18" spans="1:18" x14ac:dyDescent="0.2">
      <c r="B18" s="534" t="s">
        <v>972</v>
      </c>
      <c r="C18" s="513">
        <f>IncomeStatement!AH19/IncomeStatement!$L$7</f>
        <v>60000000</v>
      </c>
      <c r="E18" s="516"/>
      <c r="F18" s="516"/>
      <c r="I18" s="516"/>
      <c r="J18" s="516"/>
      <c r="K18" s="516"/>
      <c r="L18" s="560" t="s">
        <v>1019</v>
      </c>
      <c r="M18" s="521">
        <f>C15</f>
        <v>162272316.82067087</v>
      </c>
      <c r="N18" s="522">
        <f t="shared" si="0"/>
        <v>4.5741691025177627</v>
      </c>
      <c r="P18" s="560" t="s">
        <v>1019</v>
      </c>
      <c r="Q18" s="521">
        <f>M18</f>
        <v>162272316.82067087</v>
      </c>
      <c r="R18" s="522">
        <f t="shared" si="1"/>
        <v>3.6198797149697191</v>
      </c>
    </row>
    <row r="19" spans="1:18" x14ac:dyDescent="0.2">
      <c r="A19" s="502" t="s">
        <v>799</v>
      </c>
      <c r="B19" s="510"/>
      <c r="C19" s="513"/>
      <c r="D19" s="511">
        <f>SUM(C20:C24)</f>
        <v>935229452.60979939</v>
      </c>
      <c r="E19" s="516"/>
      <c r="F19" s="516"/>
      <c r="I19" s="516"/>
      <c r="J19" s="516"/>
      <c r="K19" s="516"/>
      <c r="L19" s="520" t="s">
        <v>775</v>
      </c>
      <c r="M19" s="521">
        <f>C16</f>
        <v>1088935961.310668</v>
      </c>
      <c r="N19" s="522">
        <f t="shared" si="0"/>
        <v>30.695175409076548</v>
      </c>
      <c r="P19" s="520" t="s">
        <v>775</v>
      </c>
      <c r="Q19" s="521">
        <f>M19</f>
        <v>1088935961.310668</v>
      </c>
      <c r="R19" s="522">
        <f t="shared" si="1"/>
        <v>24.291371901750118</v>
      </c>
    </row>
    <row r="20" spans="1:18" ht="10.5" customHeight="1" x14ac:dyDescent="0.2">
      <c r="A20" s="510"/>
      <c r="B20" s="524" t="s">
        <v>765</v>
      </c>
      <c r="C20" s="513">
        <f>IncomeStatement!AH23/IncomeStatement!$AF$7</f>
        <v>711969790.05069304</v>
      </c>
      <c r="E20" s="516"/>
      <c r="F20" s="516"/>
      <c r="G20" s="516"/>
      <c r="H20" s="516"/>
      <c r="I20" s="516"/>
      <c r="J20" s="516"/>
      <c r="K20" s="516"/>
      <c r="L20" s="520" t="s">
        <v>839</v>
      </c>
      <c r="M20" s="521">
        <f>C17</f>
        <v>80000000</v>
      </c>
      <c r="N20" s="522">
        <f t="shared" si="0"/>
        <v>2.2550582586789503</v>
      </c>
      <c r="P20" s="520" t="s">
        <v>839</v>
      </c>
      <c r="Q20" s="521">
        <f>M20</f>
        <v>80000000</v>
      </c>
      <c r="R20" s="522">
        <f t="shared" si="1"/>
        <v>1.7845950737093834</v>
      </c>
    </row>
    <row r="21" spans="1:18" x14ac:dyDescent="0.2">
      <c r="A21" s="510"/>
      <c r="B21" s="524" t="s">
        <v>767</v>
      </c>
      <c r="C21" s="513">
        <f>IncomeStatement!AH24/IncomeStatement!$AF$7</f>
        <v>195132460.97685665</v>
      </c>
      <c r="E21" s="516"/>
      <c r="F21" s="516"/>
      <c r="G21" s="516"/>
      <c r="H21" s="516"/>
      <c r="I21" s="516"/>
      <c r="J21" s="516"/>
      <c r="K21" s="516"/>
      <c r="L21" s="535" t="s">
        <v>972</v>
      </c>
      <c r="M21" s="521">
        <f>C18</f>
        <v>60000000</v>
      </c>
      <c r="N21" s="522">
        <f t="shared" si="0"/>
        <v>1.6912936940092125</v>
      </c>
      <c r="P21" s="523" t="s">
        <v>767</v>
      </c>
      <c r="Q21" s="521">
        <f>M27</f>
        <v>195132460.97685665</v>
      </c>
      <c r="R21" s="522">
        <f t="shared" si="1"/>
        <v>4.3529053572510854</v>
      </c>
    </row>
    <row r="22" spans="1:18" x14ac:dyDescent="0.2">
      <c r="A22" s="510"/>
      <c r="B22" s="524" t="s">
        <v>696</v>
      </c>
      <c r="C22" s="513">
        <f>IncomeStatement!AH25/IncomeStatement!$AF$7</f>
        <v>6490892.6728268312</v>
      </c>
      <c r="E22" s="516"/>
      <c r="F22" s="516"/>
      <c r="G22" s="516"/>
      <c r="H22" s="516"/>
      <c r="I22" s="516"/>
      <c r="J22" s="516"/>
      <c r="K22" s="516"/>
      <c r="L22" s="525" t="s">
        <v>953</v>
      </c>
      <c r="M22" s="526">
        <f>SUM(M12:M21)</f>
        <v>3547580187.4345055</v>
      </c>
      <c r="N22" s="527">
        <f t="shared" si="0"/>
        <v>100</v>
      </c>
      <c r="P22" s="523" t="s">
        <v>696</v>
      </c>
      <c r="Q22" s="521">
        <f>M28</f>
        <v>6490892.6728268312</v>
      </c>
      <c r="R22" s="522">
        <f t="shared" si="1"/>
        <v>0.14479518859878868</v>
      </c>
    </row>
    <row r="23" spans="1:18" x14ac:dyDescent="0.2">
      <c r="A23" s="510"/>
      <c r="B23" s="524" t="s">
        <v>766</v>
      </c>
      <c r="C23" s="513">
        <f>IncomeStatement!AH26/IncomeStatement!$AF$7</f>
        <v>8113615.8410335388</v>
      </c>
      <c r="E23" s="516"/>
      <c r="F23" s="516"/>
      <c r="G23" s="516"/>
      <c r="H23" s="516"/>
      <c r="I23" s="516"/>
      <c r="J23" s="516"/>
      <c r="K23" s="516"/>
      <c r="L23" s="745" t="s">
        <v>613</v>
      </c>
      <c r="M23" s="745"/>
      <c r="N23" s="745"/>
      <c r="P23" s="520" t="s">
        <v>959</v>
      </c>
      <c r="Q23" s="521">
        <f>M29</f>
        <v>8113615.8410335388</v>
      </c>
      <c r="R23" s="522">
        <f t="shared" si="1"/>
        <v>0.18099398574848585</v>
      </c>
    </row>
    <row r="24" spans="1:18" x14ac:dyDescent="0.2">
      <c r="A24" s="510"/>
      <c r="B24" s="524" t="s">
        <v>920</v>
      </c>
      <c r="C24" s="513">
        <f>IncomeStatement!AH27/IncomeStatement!$AF$7</f>
        <v>13522693.068389229</v>
      </c>
      <c r="L24" s="745"/>
      <c r="M24" s="745"/>
      <c r="N24" s="745"/>
      <c r="P24" s="558" t="s">
        <v>920</v>
      </c>
      <c r="Q24" s="504">
        <f>C24</f>
        <v>13522693.068389229</v>
      </c>
      <c r="R24" s="522">
        <f t="shared" si="1"/>
        <v>0.30165664291414301</v>
      </c>
    </row>
    <row r="25" spans="1:18" x14ac:dyDescent="0.25">
      <c r="A25" s="528" t="s">
        <v>951</v>
      </c>
      <c r="D25" s="511">
        <f>D8+D19</f>
        <v>4482809640.0443048</v>
      </c>
      <c r="L25" s="518" t="s">
        <v>958</v>
      </c>
      <c r="M25" s="518" t="s">
        <v>614</v>
      </c>
      <c r="N25" s="518" t="s">
        <v>954</v>
      </c>
      <c r="P25" s="535" t="s">
        <v>972</v>
      </c>
      <c r="Q25" s="521">
        <f>M21</f>
        <v>60000000</v>
      </c>
      <c r="R25" s="522">
        <f t="shared" si="1"/>
        <v>1.3384463052820375</v>
      </c>
    </row>
    <row r="26" spans="1:18" x14ac:dyDescent="0.25">
      <c r="A26" s="508"/>
      <c r="B26" s="508"/>
      <c r="C26" s="508"/>
      <c r="D26" s="509"/>
      <c r="L26" s="520" t="s">
        <v>765</v>
      </c>
      <c r="M26" s="521">
        <f>C20</f>
        <v>711969790.05069304</v>
      </c>
      <c r="N26" s="522">
        <f>M26/$M$31*100</f>
        <v>76.127819548872168</v>
      </c>
      <c r="P26" s="525" t="s">
        <v>953</v>
      </c>
      <c r="Q26" s="526">
        <f>SUM(Q12:Q25)</f>
        <v>4482809640.0443048</v>
      </c>
      <c r="R26" s="527">
        <f>SUM(R12:R25)</f>
        <v>99.999999999999986</v>
      </c>
    </row>
    <row r="27" spans="1:18" x14ac:dyDescent="0.25">
      <c r="L27" s="523" t="s">
        <v>767</v>
      </c>
      <c r="M27" s="521">
        <f>C21</f>
        <v>195132460.97685665</v>
      </c>
      <c r="N27" s="522">
        <f>M27/$M$31*100</f>
        <v>20.86466165413534</v>
      </c>
    </row>
    <row r="28" spans="1:18" x14ac:dyDescent="0.25">
      <c r="L28" s="523" t="s">
        <v>696</v>
      </c>
      <c r="M28" s="521">
        <f>C22</f>
        <v>6490892.6728268312</v>
      </c>
      <c r="N28" s="522">
        <f>M28/$M$31*100</f>
        <v>0.69404279930595714</v>
      </c>
    </row>
    <row r="29" spans="1:18" x14ac:dyDescent="0.25">
      <c r="L29" s="520" t="s">
        <v>959</v>
      </c>
      <c r="M29" s="521">
        <f>C23</f>
        <v>8113615.8410335388</v>
      </c>
      <c r="N29" s="522">
        <f>M29/$M$31*100</f>
        <v>0.86755349913244639</v>
      </c>
    </row>
    <row r="30" spans="1:18" x14ac:dyDescent="0.25">
      <c r="L30" s="558" t="s">
        <v>920</v>
      </c>
      <c r="M30" s="511">
        <f>C24</f>
        <v>13522693.068389229</v>
      </c>
      <c r="N30" s="503">
        <f>M30/$M$31*100</f>
        <v>1.4459224985540771</v>
      </c>
    </row>
    <row r="31" spans="1:18" x14ac:dyDescent="0.25">
      <c r="L31" s="525" t="s">
        <v>953</v>
      </c>
      <c r="M31" s="526">
        <f>SUM(M26:M30)</f>
        <v>935229452.60979939</v>
      </c>
      <c r="N31" s="527">
        <f>SUM(N26:N30)</f>
        <v>100</v>
      </c>
    </row>
  </sheetData>
  <mergeCells count="3">
    <mergeCell ref="L9:N10"/>
    <mergeCell ref="L23:N24"/>
    <mergeCell ref="P9:R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0"/>
  <sheetViews>
    <sheetView showGridLines="0" zoomScaleNormal="100" workbookViewId="0">
      <pane ySplit="7" topLeftCell="A8" activePane="bottomLeft" state="frozen"/>
      <selection pane="bottomLeft" activeCell="I17" sqref="I17"/>
    </sheetView>
  </sheetViews>
  <sheetFormatPr defaultColWidth="8.375" defaultRowHeight="10.5" x14ac:dyDescent="0.25"/>
  <cols>
    <col min="1" max="1" width="3" style="94" customWidth="1"/>
    <col min="2" max="2" width="18.125" style="94" customWidth="1"/>
    <col min="3" max="3" width="7.125" style="94" customWidth="1"/>
    <col min="4" max="4" width="2.625" style="94" customWidth="1"/>
    <col min="5" max="5" width="8.375" style="94"/>
    <col min="6" max="6" width="2.625" style="94" customWidth="1"/>
    <col min="7" max="7" width="4.875" style="94" customWidth="1"/>
    <col min="8" max="8" width="13.875" style="94" customWidth="1"/>
    <col min="9" max="9" width="8.375" style="94"/>
    <col min="10" max="10" width="9.375" style="87" customWidth="1"/>
    <col min="11" max="13" width="8.375" style="94"/>
    <col min="14" max="15" width="10.25" style="94" bestFit="1" customWidth="1"/>
    <col min="16" max="17" width="11" style="94" bestFit="1" customWidth="1"/>
    <col min="18" max="21" width="8.375" style="94"/>
    <col min="22" max="22" width="3.25" style="94" customWidth="1"/>
    <col min="23" max="23" width="17.5" style="94" customWidth="1"/>
    <col min="24" max="24" width="16.125" style="94" bestFit="1" customWidth="1"/>
    <col min="25" max="25" width="10.75" style="109" customWidth="1"/>
    <col min="26" max="16384" width="8.375" style="94"/>
  </cols>
  <sheetData>
    <row r="1" spans="1:25" x14ac:dyDescent="0.25">
      <c r="A1" s="88" t="str">
        <f>'SG&amp;A'!A1</f>
        <v>Bisnis Penyewaan INTEGRATED COLD STORAGE - Revitalitation</v>
      </c>
    </row>
    <row r="2" spans="1:25" x14ac:dyDescent="0.25">
      <c r="A2" s="88" t="str">
        <f>'SG&amp;A'!A2</f>
        <v>Financial Pre-Feasibility Study</v>
      </c>
    </row>
    <row r="3" spans="1:25" x14ac:dyDescent="0.25">
      <c r="A3" s="110" t="s">
        <v>510</v>
      </c>
    </row>
    <row r="6" spans="1:25" ht="21" x14ac:dyDescent="0.25">
      <c r="A6" s="86" t="s">
        <v>67</v>
      </c>
      <c r="B6" s="86"/>
      <c r="C6" s="86"/>
      <c r="D6" s="86"/>
      <c r="E6" s="86"/>
      <c r="F6" s="86"/>
      <c r="G6" s="86"/>
      <c r="H6" s="86"/>
      <c r="J6" s="746" t="s">
        <v>77</v>
      </c>
      <c r="K6" s="746" t="s">
        <v>468</v>
      </c>
      <c r="L6" s="746"/>
      <c r="M6" s="746"/>
      <c r="N6" s="746" t="s">
        <v>511</v>
      </c>
      <c r="O6" s="746"/>
      <c r="P6" s="746"/>
      <c r="Q6" s="746"/>
      <c r="V6" s="95" t="s">
        <v>58</v>
      </c>
      <c r="W6" s="95" t="s">
        <v>477</v>
      </c>
      <c r="X6" s="95" t="s">
        <v>478</v>
      </c>
      <c r="Y6" s="95" t="s">
        <v>482</v>
      </c>
    </row>
    <row r="7" spans="1:25" ht="21" x14ac:dyDescent="0.15">
      <c r="A7" s="128"/>
      <c r="B7" s="128"/>
      <c r="C7" s="128"/>
      <c r="D7" s="128"/>
      <c r="E7" s="128"/>
      <c r="F7" s="128"/>
      <c r="G7" s="128"/>
      <c r="H7" s="128"/>
      <c r="J7" s="746"/>
      <c r="K7" s="131" t="s">
        <v>453</v>
      </c>
      <c r="L7" s="131" t="s">
        <v>454</v>
      </c>
      <c r="M7" s="131" t="s">
        <v>455</v>
      </c>
      <c r="N7" s="131" t="s">
        <v>453</v>
      </c>
      <c r="O7" s="131" t="s">
        <v>454</v>
      </c>
      <c r="P7" s="131" t="s">
        <v>455</v>
      </c>
      <c r="Q7" s="131" t="s">
        <v>23</v>
      </c>
      <c r="V7" s="114"/>
      <c r="W7" s="114"/>
      <c r="X7" s="114"/>
      <c r="Y7" s="115"/>
    </row>
    <row r="8" spans="1:25" x14ac:dyDescent="0.15">
      <c r="A8" s="130" t="s">
        <v>148</v>
      </c>
      <c r="B8" s="141" t="s">
        <v>512</v>
      </c>
      <c r="C8" s="147">
        <v>0</v>
      </c>
      <c r="D8" s="141" t="s">
        <v>514</v>
      </c>
      <c r="E8" s="133"/>
      <c r="F8" s="129" t="s">
        <v>470</v>
      </c>
      <c r="H8" s="129"/>
      <c r="J8" s="89">
        <v>-1</v>
      </c>
      <c r="V8" s="96">
        <v>1</v>
      </c>
      <c r="W8" s="97" t="s">
        <v>469</v>
      </c>
      <c r="X8" s="98" t="s">
        <v>443</v>
      </c>
      <c r="Y8" s="108">
        <v>27.5</v>
      </c>
    </row>
    <row r="9" spans="1:25" x14ac:dyDescent="0.15">
      <c r="A9" s="130" t="s">
        <v>149</v>
      </c>
      <c r="B9" s="129" t="s">
        <v>467</v>
      </c>
      <c r="C9" s="148" t="s">
        <v>479</v>
      </c>
      <c r="J9" s="89">
        <v>0</v>
      </c>
      <c r="V9" s="104">
        <v>2</v>
      </c>
      <c r="W9" s="97" t="s">
        <v>469</v>
      </c>
      <c r="X9" s="98" t="s">
        <v>444</v>
      </c>
      <c r="Y9" s="108">
        <v>162.5</v>
      </c>
    </row>
    <row r="10" spans="1:25" x14ac:dyDescent="0.15">
      <c r="B10" s="130" t="s">
        <v>475</v>
      </c>
      <c r="C10" s="149">
        <f>Y18</f>
        <v>160.5</v>
      </c>
      <c r="D10" s="141" t="s">
        <v>515</v>
      </c>
      <c r="E10" s="149">
        <f>$C$8*C10</f>
        <v>0</v>
      </c>
      <c r="F10" s="141" t="s">
        <v>371</v>
      </c>
      <c r="J10" s="89">
        <v>1</v>
      </c>
      <c r="K10" s="132" t="e">
        <f>#REF!</f>
        <v>#REF!</v>
      </c>
      <c r="L10" s="132" t="e">
        <f>#REF!</f>
        <v>#REF!</v>
      </c>
      <c r="M10" s="132" t="e">
        <f>#REF!</f>
        <v>#REF!</v>
      </c>
      <c r="N10" s="134" t="e">
        <f>$C$8*K10*$C$10*1000</f>
        <v>#REF!</v>
      </c>
      <c r="O10" s="134" t="e">
        <f>$C$8*L10*$C$11*1000</f>
        <v>#REF!</v>
      </c>
      <c r="P10" s="134" t="e">
        <f>$C$8*M10*$C$12*1000</f>
        <v>#REF!</v>
      </c>
      <c r="Q10" s="134" t="e">
        <f>N10+O10+P10</f>
        <v>#REF!</v>
      </c>
      <c r="V10" s="96">
        <v>3</v>
      </c>
      <c r="W10" s="97" t="s">
        <v>469</v>
      </c>
      <c r="X10" s="98" t="s">
        <v>445</v>
      </c>
      <c r="Y10" s="108">
        <v>171.5</v>
      </c>
    </row>
    <row r="11" spans="1:25" x14ac:dyDescent="0.15">
      <c r="B11" s="130" t="s">
        <v>474</v>
      </c>
      <c r="C11" s="149">
        <f>Y19</f>
        <v>239.6</v>
      </c>
      <c r="D11" s="141" t="s">
        <v>515</v>
      </c>
      <c r="E11" s="149">
        <f>$C$8*C11</f>
        <v>0</v>
      </c>
      <c r="F11" s="141" t="s">
        <v>371</v>
      </c>
      <c r="J11" s="89">
        <f>J10+1</f>
        <v>2</v>
      </c>
      <c r="K11" s="132" t="e">
        <f>#REF!</f>
        <v>#REF!</v>
      </c>
      <c r="L11" s="132" t="e">
        <f>#REF!</f>
        <v>#REF!</v>
      </c>
      <c r="M11" s="132" t="e">
        <f>#REF!</f>
        <v>#REF!</v>
      </c>
      <c r="N11" s="134" t="e">
        <f t="shared" ref="N11:N24" si="0">$C$8*K11*$C$10*1000</f>
        <v>#REF!</v>
      </c>
      <c r="O11" s="134" t="e">
        <f t="shared" ref="O11:O24" si="1">$C$8*L11*$C$11*1000</f>
        <v>#REF!</v>
      </c>
      <c r="P11" s="134" t="e">
        <f t="shared" ref="P11:P24" si="2">$C$8*M11*$C$12*1000</f>
        <v>#REF!</v>
      </c>
      <c r="Q11" s="134" t="e">
        <f t="shared" ref="Q11:Q24" si="3">N11+O11+P11</f>
        <v>#REF!</v>
      </c>
      <c r="V11" s="104">
        <v>4</v>
      </c>
      <c r="W11" s="97" t="s">
        <v>469</v>
      </c>
      <c r="X11" s="98" t="s">
        <v>446</v>
      </c>
      <c r="Y11" s="108">
        <v>219.3</v>
      </c>
    </row>
    <row r="12" spans="1:25" x14ac:dyDescent="0.15">
      <c r="B12" s="130" t="s">
        <v>476</v>
      </c>
      <c r="C12" s="149">
        <f>Y20</f>
        <v>296.60000000000002</v>
      </c>
      <c r="D12" s="141" t="s">
        <v>515</v>
      </c>
      <c r="E12" s="149">
        <f>$C$8*C12</f>
        <v>0</v>
      </c>
      <c r="F12" s="141" t="s">
        <v>371</v>
      </c>
      <c r="J12" s="89">
        <f t="shared" ref="J12:J24" si="4">J11+1</f>
        <v>3</v>
      </c>
      <c r="K12" s="132" t="e">
        <f>#REF!</f>
        <v>#REF!</v>
      </c>
      <c r="L12" s="132" t="e">
        <f>#REF!</f>
        <v>#REF!</v>
      </c>
      <c r="M12" s="132" t="e">
        <f>#REF!</f>
        <v>#REF!</v>
      </c>
      <c r="N12" s="134" t="e">
        <f t="shared" si="0"/>
        <v>#REF!</v>
      </c>
      <c r="O12" s="134" t="e">
        <f t="shared" si="1"/>
        <v>#REF!</v>
      </c>
      <c r="P12" s="134" t="e">
        <f t="shared" si="2"/>
        <v>#REF!</v>
      </c>
      <c r="Q12" s="134" t="e">
        <f t="shared" si="3"/>
        <v>#REF!</v>
      </c>
      <c r="V12" s="96">
        <v>5</v>
      </c>
      <c r="W12" s="97" t="s">
        <v>469</v>
      </c>
      <c r="X12" s="98" t="s">
        <v>447</v>
      </c>
      <c r="Y12" s="108">
        <v>273.8</v>
      </c>
    </row>
    <row r="13" spans="1:25" x14ac:dyDescent="0.15">
      <c r="A13" s="138" t="s">
        <v>150</v>
      </c>
      <c r="B13" s="133" t="s">
        <v>483</v>
      </c>
      <c r="J13" s="89">
        <f t="shared" si="4"/>
        <v>4</v>
      </c>
      <c r="K13" s="132" t="e">
        <f>#REF!</f>
        <v>#REF!</v>
      </c>
      <c r="L13" s="132" t="e">
        <f>#REF!</f>
        <v>#REF!</v>
      </c>
      <c r="M13" s="132" t="e">
        <f>#REF!</f>
        <v>#REF!</v>
      </c>
      <c r="N13" s="134" t="e">
        <f t="shared" si="0"/>
        <v>#REF!</v>
      </c>
      <c r="O13" s="134" t="e">
        <f t="shared" si="1"/>
        <v>#REF!</v>
      </c>
      <c r="P13" s="134" t="e">
        <f t="shared" si="2"/>
        <v>#REF!</v>
      </c>
      <c r="Q13" s="134" t="e">
        <f t="shared" si="3"/>
        <v>#REF!</v>
      </c>
      <c r="V13" s="104">
        <v>6</v>
      </c>
      <c r="W13" s="97" t="s">
        <v>469</v>
      </c>
      <c r="X13" s="98" t="s">
        <v>448</v>
      </c>
      <c r="Y13" s="108">
        <v>304.39999999999998</v>
      </c>
    </row>
    <row r="14" spans="1:25" x14ac:dyDescent="0.15">
      <c r="B14" s="133" t="s">
        <v>484</v>
      </c>
      <c r="C14" s="144" t="s">
        <v>469</v>
      </c>
      <c r="D14" s="144"/>
      <c r="E14" s="144"/>
      <c r="J14" s="89">
        <f t="shared" si="4"/>
        <v>5</v>
      </c>
      <c r="K14" s="132" t="e">
        <f>#REF!</f>
        <v>#REF!</v>
      </c>
      <c r="L14" s="132" t="e">
        <f>#REF!</f>
        <v>#REF!</v>
      </c>
      <c r="M14" s="132" t="e">
        <f>#REF!</f>
        <v>#REF!</v>
      </c>
      <c r="N14" s="134" t="e">
        <f t="shared" si="0"/>
        <v>#REF!</v>
      </c>
      <c r="O14" s="134" t="e">
        <f t="shared" si="1"/>
        <v>#REF!</v>
      </c>
      <c r="P14" s="134" t="e">
        <f t="shared" si="2"/>
        <v>#REF!</v>
      </c>
      <c r="Q14" s="134" t="e">
        <f t="shared" si="3"/>
        <v>#REF!</v>
      </c>
      <c r="V14" s="96">
        <v>7</v>
      </c>
      <c r="W14" s="97" t="s">
        <v>469</v>
      </c>
      <c r="X14" s="98" t="s">
        <v>449</v>
      </c>
      <c r="Y14" s="108">
        <v>424.1</v>
      </c>
    </row>
    <row r="15" spans="1:25" x14ac:dyDescent="0.15">
      <c r="B15" s="133" t="s">
        <v>485</v>
      </c>
      <c r="C15" s="142" t="s">
        <v>513</v>
      </c>
      <c r="D15" s="143"/>
      <c r="E15" s="142" t="s">
        <v>514</v>
      </c>
      <c r="F15" s="145"/>
      <c r="G15" s="142" t="s">
        <v>371</v>
      </c>
      <c r="J15" s="89">
        <f t="shared" si="4"/>
        <v>6</v>
      </c>
      <c r="K15" s="132" t="e">
        <f>#REF!</f>
        <v>#REF!</v>
      </c>
      <c r="L15" s="132" t="e">
        <f>#REF!</f>
        <v>#REF!</v>
      </c>
      <c r="M15" s="132" t="e">
        <f>#REF!</f>
        <v>#REF!</v>
      </c>
      <c r="N15" s="134" t="e">
        <f t="shared" si="0"/>
        <v>#REF!</v>
      </c>
      <c r="O15" s="134" t="e">
        <f t="shared" si="1"/>
        <v>#REF!</v>
      </c>
      <c r="P15" s="134" t="e">
        <f t="shared" si="2"/>
        <v>#REF!</v>
      </c>
      <c r="Q15" s="134" t="e">
        <f t="shared" si="3"/>
        <v>#REF!</v>
      </c>
      <c r="V15" s="104">
        <v>8</v>
      </c>
      <c r="W15" s="97" t="s">
        <v>469</v>
      </c>
      <c r="X15" s="98" t="s">
        <v>450</v>
      </c>
      <c r="Y15" s="108">
        <v>470.2</v>
      </c>
    </row>
    <row r="16" spans="1:25" x14ac:dyDescent="0.15">
      <c r="A16" s="133"/>
      <c r="B16" s="139" t="s">
        <v>486</v>
      </c>
      <c r="C16" s="150">
        <v>27.5</v>
      </c>
      <c r="D16" s="151"/>
      <c r="E16" s="153" t="e">
        <f>Assumption!#REF!</f>
        <v>#REF!</v>
      </c>
      <c r="F16" s="151"/>
      <c r="G16" s="149" t="e">
        <f>E16*C16</f>
        <v>#REF!</v>
      </c>
      <c r="J16" s="89">
        <f t="shared" si="4"/>
        <v>7</v>
      </c>
      <c r="K16" s="132" t="e">
        <f>#REF!</f>
        <v>#REF!</v>
      </c>
      <c r="L16" s="132" t="e">
        <f>#REF!</f>
        <v>#REF!</v>
      </c>
      <c r="M16" s="132" t="e">
        <f>#REF!</f>
        <v>#REF!</v>
      </c>
      <c r="N16" s="134" t="e">
        <f t="shared" si="0"/>
        <v>#REF!</v>
      </c>
      <c r="O16" s="134" t="e">
        <f t="shared" si="1"/>
        <v>#REF!</v>
      </c>
      <c r="P16" s="134" t="e">
        <f t="shared" si="2"/>
        <v>#REF!</v>
      </c>
      <c r="Q16" s="134" t="e">
        <f t="shared" si="3"/>
        <v>#REF!</v>
      </c>
      <c r="V16" s="96">
        <v>9</v>
      </c>
      <c r="W16" s="97" t="s">
        <v>469</v>
      </c>
      <c r="X16" s="98" t="s">
        <v>451</v>
      </c>
      <c r="Y16" s="108">
        <v>353.6</v>
      </c>
    </row>
    <row r="17" spans="1:25" x14ac:dyDescent="0.15">
      <c r="A17" s="135"/>
      <c r="B17" s="139" t="s">
        <v>487</v>
      </c>
      <c r="C17" s="152">
        <v>162.5</v>
      </c>
      <c r="D17" s="151"/>
      <c r="E17" s="154" t="e">
        <f>E16</f>
        <v>#REF!</v>
      </c>
      <c r="F17" s="151"/>
      <c r="G17" s="149" t="e">
        <f>E16*C17</f>
        <v>#REF!</v>
      </c>
      <c r="J17" s="89">
        <f t="shared" si="4"/>
        <v>8</v>
      </c>
      <c r="K17" s="132" t="e">
        <f>#REF!</f>
        <v>#REF!</v>
      </c>
      <c r="L17" s="132" t="e">
        <f>#REF!</f>
        <v>#REF!</v>
      </c>
      <c r="M17" s="132" t="e">
        <f>#REF!</f>
        <v>#REF!</v>
      </c>
      <c r="N17" s="134" t="e">
        <f t="shared" si="0"/>
        <v>#REF!</v>
      </c>
      <c r="O17" s="134" t="e">
        <f t="shared" si="1"/>
        <v>#REF!</v>
      </c>
      <c r="P17" s="134" t="e">
        <f t="shared" si="2"/>
        <v>#REF!</v>
      </c>
      <c r="Q17" s="134" t="e">
        <f t="shared" si="3"/>
        <v>#REF!</v>
      </c>
      <c r="V17" s="104">
        <v>10</v>
      </c>
      <c r="W17" s="97" t="s">
        <v>469</v>
      </c>
      <c r="X17" s="98" t="s">
        <v>452</v>
      </c>
      <c r="Y17" s="108">
        <v>322.2</v>
      </c>
    </row>
    <row r="18" spans="1:25" x14ac:dyDescent="0.15">
      <c r="A18" s="137"/>
      <c r="B18" s="139" t="s">
        <v>488</v>
      </c>
      <c r="C18" s="152">
        <v>171.5</v>
      </c>
      <c r="D18" s="151"/>
      <c r="E18" s="154" t="e">
        <f t="shared" ref="E18:E38" si="5">E17</f>
        <v>#REF!</v>
      </c>
      <c r="F18" s="151"/>
      <c r="G18" s="149" t="e">
        <f t="shared" ref="G18:G38" si="6">E17*C18</f>
        <v>#REF!</v>
      </c>
      <c r="J18" s="89">
        <f t="shared" si="4"/>
        <v>9</v>
      </c>
      <c r="K18" s="132" t="e">
        <f>#REF!</f>
        <v>#REF!</v>
      </c>
      <c r="L18" s="132" t="e">
        <f>#REF!</f>
        <v>#REF!</v>
      </c>
      <c r="M18" s="132" t="e">
        <f>#REF!</f>
        <v>#REF!</v>
      </c>
      <c r="N18" s="134" t="e">
        <f t="shared" si="0"/>
        <v>#REF!</v>
      </c>
      <c r="O18" s="134" t="e">
        <f t="shared" si="1"/>
        <v>#REF!</v>
      </c>
      <c r="P18" s="134" t="e">
        <f t="shared" si="2"/>
        <v>#REF!</v>
      </c>
      <c r="Q18" s="134" t="e">
        <f t="shared" si="3"/>
        <v>#REF!</v>
      </c>
      <c r="V18" s="96">
        <v>11</v>
      </c>
      <c r="W18" s="97" t="s">
        <v>469</v>
      </c>
      <c r="X18" s="125" t="s">
        <v>453</v>
      </c>
      <c r="Y18" s="108">
        <v>160.5</v>
      </c>
    </row>
    <row r="19" spans="1:25" x14ac:dyDescent="0.15">
      <c r="A19" s="135"/>
      <c r="B19" s="139" t="s">
        <v>489</v>
      </c>
      <c r="C19" s="152">
        <v>219.3</v>
      </c>
      <c r="D19" s="151"/>
      <c r="E19" s="154" t="e">
        <f t="shared" si="5"/>
        <v>#REF!</v>
      </c>
      <c r="F19" s="151"/>
      <c r="G19" s="149" t="e">
        <f t="shared" si="6"/>
        <v>#REF!</v>
      </c>
      <c r="J19" s="89">
        <f t="shared" si="4"/>
        <v>10</v>
      </c>
      <c r="K19" s="132" t="e">
        <f>#REF!</f>
        <v>#REF!</v>
      </c>
      <c r="L19" s="132" t="e">
        <f>#REF!</f>
        <v>#REF!</v>
      </c>
      <c r="M19" s="132" t="e">
        <f>#REF!</f>
        <v>#REF!</v>
      </c>
      <c r="N19" s="134" t="e">
        <f t="shared" si="0"/>
        <v>#REF!</v>
      </c>
      <c r="O19" s="134" t="e">
        <f t="shared" si="1"/>
        <v>#REF!</v>
      </c>
      <c r="P19" s="134" t="e">
        <f t="shared" si="2"/>
        <v>#REF!</v>
      </c>
      <c r="Q19" s="134" t="e">
        <f t="shared" si="3"/>
        <v>#REF!</v>
      </c>
      <c r="V19" s="104">
        <v>12</v>
      </c>
      <c r="W19" s="97" t="s">
        <v>469</v>
      </c>
      <c r="X19" s="125" t="s">
        <v>454</v>
      </c>
      <c r="Y19" s="108">
        <v>239.6</v>
      </c>
    </row>
    <row r="20" spans="1:25" x14ac:dyDescent="0.15">
      <c r="A20" s="137"/>
      <c r="B20" s="139" t="s">
        <v>490</v>
      </c>
      <c r="C20" s="152">
        <v>273.8</v>
      </c>
      <c r="D20" s="151"/>
      <c r="E20" s="154" t="e">
        <f t="shared" si="5"/>
        <v>#REF!</v>
      </c>
      <c r="F20" s="151"/>
      <c r="G20" s="149" t="e">
        <f t="shared" si="6"/>
        <v>#REF!</v>
      </c>
      <c r="J20" s="89">
        <f t="shared" si="4"/>
        <v>11</v>
      </c>
      <c r="K20" s="132" t="e">
        <f>#REF!</f>
        <v>#REF!</v>
      </c>
      <c r="L20" s="132" t="e">
        <f>#REF!</f>
        <v>#REF!</v>
      </c>
      <c r="M20" s="132" t="e">
        <f>#REF!</f>
        <v>#REF!</v>
      </c>
      <c r="N20" s="134" t="e">
        <f t="shared" si="0"/>
        <v>#REF!</v>
      </c>
      <c r="O20" s="134" t="e">
        <f t="shared" si="1"/>
        <v>#REF!</v>
      </c>
      <c r="P20" s="134" t="e">
        <f t="shared" si="2"/>
        <v>#REF!</v>
      </c>
      <c r="Q20" s="134" t="e">
        <f t="shared" si="3"/>
        <v>#REF!</v>
      </c>
      <c r="V20" s="96">
        <v>13</v>
      </c>
      <c r="W20" s="97" t="s">
        <v>469</v>
      </c>
      <c r="X20" s="125" t="s">
        <v>455</v>
      </c>
      <c r="Y20" s="108">
        <v>296.60000000000002</v>
      </c>
    </row>
    <row r="21" spans="1:25" x14ac:dyDescent="0.15">
      <c r="A21" s="135"/>
      <c r="B21" s="139" t="s">
        <v>491</v>
      </c>
      <c r="C21" s="152">
        <v>304.39999999999998</v>
      </c>
      <c r="D21" s="151"/>
      <c r="E21" s="154" t="e">
        <f t="shared" si="5"/>
        <v>#REF!</v>
      </c>
      <c r="F21" s="151"/>
      <c r="G21" s="149" t="e">
        <f t="shared" si="6"/>
        <v>#REF!</v>
      </c>
      <c r="J21" s="89">
        <f t="shared" si="4"/>
        <v>12</v>
      </c>
      <c r="K21" s="132" t="e">
        <f>#REF!</f>
        <v>#REF!</v>
      </c>
      <c r="L21" s="132" t="e">
        <f>#REF!</f>
        <v>#REF!</v>
      </c>
      <c r="M21" s="132" t="e">
        <f>#REF!</f>
        <v>#REF!</v>
      </c>
      <c r="N21" s="134" t="e">
        <f t="shared" si="0"/>
        <v>#REF!</v>
      </c>
      <c r="O21" s="134" t="e">
        <f t="shared" si="1"/>
        <v>#REF!</v>
      </c>
      <c r="P21" s="134" t="e">
        <f t="shared" si="2"/>
        <v>#REF!</v>
      </c>
      <c r="Q21" s="134" t="e">
        <f t="shared" si="3"/>
        <v>#REF!</v>
      </c>
      <c r="V21" s="104">
        <v>14</v>
      </c>
      <c r="W21" s="97" t="s">
        <v>469</v>
      </c>
      <c r="X21" s="98" t="s">
        <v>456</v>
      </c>
      <c r="Y21" s="108">
        <v>364.7</v>
      </c>
    </row>
    <row r="22" spans="1:25" x14ac:dyDescent="0.15">
      <c r="A22" s="137"/>
      <c r="B22" s="139" t="s">
        <v>492</v>
      </c>
      <c r="C22" s="152">
        <v>424.1</v>
      </c>
      <c r="D22" s="151"/>
      <c r="E22" s="154" t="e">
        <f t="shared" si="5"/>
        <v>#REF!</v>
      </c>
      <c r="F22" s="151"/>
      <c r="G22" s="149" t="e">
        <f t="shared" si="6"/>
        <v>#REF!</v>
      </c>
      <c r="J22" s="89">
        <f t="shared" si="4"/>
        <v>13</v>
      </c>
      <c r="K22" s="132" t="e">
        <f>#REF!</f>
        <v>#REF!</v>
      </c>
      <c r="L22" s="132" t="e">
        <f>#REF!</f>
        <v>#REF!</v>
      </c>
      <c r="M22" s="132" t="e">
        <f>#REF!</f>
        <v>#REF!</v>
      </c>
      <c r="N22" s="134" t="e">
        <f t="shared" si="0"/>
        <v>#REF!</v>
      </c>
      <c r="O22" s="134" t="e">
        <f t="shared" si="1"/>
        <v>#REF!</v>
      </c>
      <c r="P22" s="134" t="e">
        <f t="shared" si="2"/>
        <v>#REF!</v>
      </c>
      <c r="Q22" s="134" t="e">
        <f t="shared" si="3"/>
        <v>#REF!</v>
      </c>
      <c r="V22" s="96">
        <v>15</v>
      </c>
      <c r="W22" s="97" t="s">
        <v>469</v>
      </c>
      <c r="X22" s="98" t="s">
        <v>457</v>
      </c>
      <c r="Y22" s="108">
        <v>421</v>
      </c>
    </row>
    <row r="23" spans="1:25" x14ac:dyDescent="0.15">
      <c r="A23" s="135"/>
      <c r="B23" s="139" t="s">
        <v>493</v>
      </c>
      <c r="C23" s="152">
        <v>470.2</v>
      </c>
      <c r="D23" s="151"/>
      <c r="E23" s="154" t="e">
        <f t="shared" si="5"/>
        <v>#REF!</v>
      </c>
      <c r="F23" s="151"/>
      <c r="G23" s="149" t="e">
        <f t="shared" si="6"/>
        <v>#REF!</v>
      </c>
      <c r="J23" s="89">
        <f t="shared" si="4"/>
        <v>14</v>
      </c>
      <c r="K23" s="132" t="e">
        <f>#REF!</f>
        <v>#REF!</v>
      </c>
      <c r="L23" s="132" t="e">
        <f>#REF!</f>
        <v>#REF!</v>
      </c>
      <c r="M23" s="132" t="e">
        <f>#REF!</f>
        <v>#REF!</v>
      </c>
      <c r="N23" s="134" t="e">
        <f t="shared" si="0"/>
        <v>#REF!</v>
      </c>
      <c r="O23" s="134" t="e">
        <f t="shared" si="1"/>
        <v>#REF!</v>
      </c>
      <c r="P23" s="134" t="e">
        <f t="shared" si="2"/>
        <v>#REF!</v>
      </c>
      <c r="Q23" s="134" t="e">
        <f t="shared" si="3"/>
        <v>#REF!</v>
      </c>
      <c r="V23" s="104">
        <v>16</v>
      </c>
      <c r="W23" s="97" t="s">
        <v>469</v>
      </c>
      <c r="X23" s="98" t="s">
        <v>458</v>
      </c>
      <c r="Y23" s="108">
        <v>579.5</v>
      </c>
    </row>
    <row r="24" spans="1:25" x14ac:dyDescent="0.15">
      <c r="A24" s="137"/>
      <c r="B24" s="139" t="s">
        <v>494</v>
      </c>
      <c r="C24" s="152">
        <v>353.6</v>
      </c>
      <c r="D24" s="151"/>
      <c r="E24" s="154" t="e">
        <f t="shared" si="5"/>
        <v>#REF!</v>
      </c>
      <c r="F24" s="151"/>
      <c r="G24" s="149" t="e">
        <f t="shared" si="6"/>
        <v>#REF!</v>
      </c>
      <c r="J24" s="89">
        <f t="shared" si="4"/>
        <v>15</v>
      </c>
      <c r="K24" s="132" t="e">
        <f>#REF!</f>
        <v>#REF!</v>
      </c>
      <c r="L24" s="132" t="e">
        <f>#REF!</f>
        <v>#REF!</v>
      </c>
      <c r="M24" s="132" t="e">
        <f>#REF!</f>
        <v>#REF!</v>
      </c>
      <c r="N24" s="134" t="e">
        <f t="shared" si="0"/>
        <v>#REF!</v>
      </c>
      <c r="O24" s="134" t="e">
        <f t="shared" si="1"/>
        <v>#REF!</v>
      </c>
      <c r="P24" s="134" t="e">
        <f t="shared" si="2"/>
        <v>#REF!</v>
      </c>
      <c r="Q24" s="134" t="e">
        <f t="shared" si="3"/>
        <v>#REF!</v>
      </c>
      <c r="V24" s="96">
        <v>17</v>
      </c>
      <c r="W24" s="97" t="s">
        <v>469</v>
      </c>
      <c r="X24" s="98" t="s">
        <v>459</v>
      </c>
      <c r="Y24" s="108">
        <v>639.4</v>
      </c>
    </row>
    <row r="25" spans="1:25" x14ac:dyDescent="0.15">
      <c r="A25" s="135"/>
      <c r="B25" s="139" t="s">
        <v>495</v>
      </c>
      <c r="C25" s="152">
        <v>322.2</v>
      </c>
      <c r="D25" s="151"/>
      <c r="E25" s="154" t="e">
        <f t="shared" si="5"/>
        <v>#REF!</v>
      </c>
      <c r="F25" s="151"/>
      <c r="G25" s="149" t="e">
        <f t="shared" si="6"/>
        <v>#REF!</v>
      </c>
      <c r="V25" s="104">
        <v>18</v>
      </c>
      <c r="W25" s="97" t="s">
        <v>469</v>
      </c>
      <c r="X25" s="98" t="s">
        <v>460</v>
      </c>
      <c r="Y25" s="108">
        <v>296.60000000000002</v>
      </c>
    </row>
    <row r="26" spans="1:25" x14ac:dyDescent="0.15">
      <c r="A26" s="137"/>
      <c r="B26" s="140" t="s">
        <v>471</v>
      </c>
      <c r="C26" s="152">
        <v>160.5</v>
      </c>
      <c r="D26" s="151"/>
      <c r="E26" s="154" t="e">
        <f t="shared" si="5"/>
        <v>#REF!</v>
      </c>
      <c r="F26" s="151"/>
      <c r="G26" s="149" t="e">
        <f t="shared" si="6"/>
        <v>#REF!</v>
      </c>
      <c r="J26" s="90"/>
      <c r="K26" s="90"/>
      <c r="L26" s="90"/>
      <c r="M26" s="90"/>
      <c r="N26" s="90"/>
      <c r="O26" s="90"/>
      <c r="P26" s="90"/>
      <c r="Q26" s="90"/>
      <c r="V26" s="96">
        <v>19</v>
      </c>
      <c r="W26" s="97" t="s">
        <v>469</v>
      </c>
      <c r="X26" s="98" t="s">
        <v>461</v>
      </c>
      <c r="Y26" s="108">
        <v>451.7</v>
      </c>
    </row>
    <row r="27" spans="1:25" x14ac:dyDescent="0.15">
      <c r="A27" s="135"/>
      <c r="B27" s="140" t="s">
        <v>472</v>
      </c>
      <c r="C27" s="152">
        <v>239.6</v>
      </c>
      <c r="D27" s="151"/>
      <c r="E27" s="154" t="e">
        <f t="shared" si="5"/>
        <v>#REF!</v>
      </c>
      <c r="F27" s="151"/>
      <c r="G27" s="149" t="e">
        <f t="shared" si="6"/>
        <v>#REF!</v>
      </c>
      <c r="V27" s="104">
        <v>20</v>
      </c>
      <c r="W27" s="97" t="s">
        <v>469</v>
      </c>
      <c r="X27" s="98" t="s">
        <v>462</v>
      </c>
      <c r="Y27" s="108"/>
    </row>
    <row r="28" spans="1:25" x14ac:dyDescent="0.15">
      <c r="A28" s="137"/>
      <c r="B28" s="140" t="s">
        <v>473</v>
      </c>
      <c r="C28" s="152">
        <v>296.60000000000002</v>
      </c>
      <c r="D28" s="151"/>
      <c r="E28" s="154" t="e">
        <f t="shared" si="5"/>
        <v>#REF!</v>
      </c>
      <c r="F28" s="151"/>
      <c r="G28" s="149" t="e">
        <f t="shared" si="6"/>
        <v>#REF!</v>
      </c>
      <c r="V28" s="96">
        <v>21</v>
      </c>
      <c r="W28" s="97" t="s">
        <v>469</v>
      </c>
      <c r="X28" s="98" t="s">
        <v>463</v>
      </c>
      <c r="Y28" s="108"/>
    </row>
    <row r="29" spans="1:25" x14ac:dyDescent="0.15">
      <c r="A29" s="135"/>
      <c r="B29" s="139" t="s">
        <v>496</v>
      </c>
      <c r="C29" s="152">
        <v>364.7</v>
      </c>
      <c r="D29" s="151"/>
      <c r="E29" s="154" t="e">
        <f t="shared" si="5"/>
        <v>#REF!</v>
      </c>
      <c r="F29" s="151"/>
      <c r="G29" s="149" t="e">
        <f t="shared" si="6"/>
        <v>#REF!</v>
      </c>
      <c r="V29" s="104">
        <v>22</v>
      </c>
      <c r="W29" s="97" t="s">
        <v>469</v>
      </c>
      <c r="X29" s="98" t="s">
        <v>464</v>
      </c>
      <c r="Y29" s="108">
        <v>1233.2</v>
      </c>
    </row>
    <row r="30" spans="1:25" x14ac:dyDescent="0.15">
      <c r="A30" s="137"/>
      <c r="B30" s="139" t="s">
        <v>497</v>
      </c>
      <c r="C30" s="152">
        <v>421</v>
      </c>
      <c r="D30" s="151"/>
      <c r="E30" s="154" t="e">
        <f t="shared" si="5"/>
        <v>#REF!</v>
      </c>
      <c r="F30" s="151"/>
      <c r="G30" s="149" t="e">
        <f t="shared" si="6"/>
        <v>#REF!</v>
      </c>
      <c r="V30" s="96">
        <v>23</v>
      </c>
      <c r="W30" s="97" t="s">
        <v>469</v>
      </c>
      <c r="X30" s="98" t="s">
        <v>465</v>
      </c>
      <c r="Y30" s="108">
        <v>1256.0999999999999</v>
      </c>
    </row>
    <row r="31" spans="1:25" x14ac:dyDescent="0.15">
      <c r="A31" s="135"/>
      <c r="B31" s="139" t="s">
        <v>498</v>
      </c>
      <c r="C31" s="152">
        <v>579.5</v>
      </c>
      <c r="D31" s="151"/>
      <c r="E31" s="154" t="e">
        <f t="shared" si="5"/>
        <v>#REF!</v>
      </c>
      <c r="F31" s="151"/>
      <c r="G31" s="149" t="e">
        <f t="shared" si="6"/>
        <v>#REF!</v>
      </c>
      <c r="V31" s="104"/>
      <c r="W31" s="105"/>
      <c r="X31" s="98"/>
      <c r="Y31" s="108"/>
    </row>
    <row r="32" spans="1:25" x14ac:dyDescent="0.15">
      <c r="A32" s="137"/>
      <c r="B32" s="139" t="s">
        <v>499</v>
      </c>
      <c r="C32" s="152">
        <v>639.4</v>
      </c>
      <c r="D32" s="151"/>
      <c r="E32" s="154" t="e">
        <f t="shared" si="5"/>
        <v>#REF!</v>
      </c>
      <c r="F32" s="151"/>
      <c r="G32" s="149" t="e">
        <f t="shared" si="6"/>
        <v>#REF!</v>
      </c>
      <c r="V32" s="121"/>
      <c r="W32" s="114"/>
      <c r="X32" s="114"/>
      <c r="Y32" s="115"/>
    </row>
    <row r="33" spans="1:8" x14ac:dyDescent="0.15">
      <c r="A33" s="135"/>
      <c r="B33" s="139" t="s">
        <v>500</v>
      </c>
      <c r="C33" s="152">
        <v>296.60000000000002</v>
      </c>
      <c r="D33" s="151"/>
      <c r="E33" s="154" t="e">
        <f t="shared" si="5"/>
        <v>#REF!</v>
      </c>
      <c r="F33" s="151"/>
      <c r="G33" s="149" t="e">
        <f t="shared" si="6"/>
        <v>#REF!</v>
      </c>
    </row>
    <row r="34" spans="1:8" x14ac:dyDescent="0.15">
      <c r="A34" s="137"/>
      <c r="B34" s="139" t="s">
        <v>501</v>
      </c>
      <c r="C34" s="152">
        <v>451.7</v>
      </c>
      <c r="D34" s="151"/>
      <c r="E34" s="154" t="e">
        <f t="shared" si="5"/>
        <v>#REF!</v>
      </c>
      <c r="F34" s="151"/>
      <c r="G34" s="149" t="e">
        <f t="shared" si="6"/>
        <v>#REF!</v>
      </c>
    </row>
    <row r="35" spans="1:8" x14ac:dyDescent="0.15">
      <c r="A35" s="135"/>
      <c r="B35" s="139" t="s">
        <v>502</v>
      </c>
      <c r="C35" s="152"/>
      <c r="D35" s="151"/>
      <c r="E35" s="154" t="e">
        <f t="shared" si="5"/>
        <v>#REF!</v>
      </c>
      <c r="F35" s="151"/>
      <c r="G35" s="149" t="e">
        <f t="shared" si="6"/>
        <v>#REF!</v>
      </c>
    </row>
    <row r="36" spans="1:8" x14ac:dyDescent="0.15">
      <c r="A36" s="137"/>
      <c r="B36" s="139" t="s">
        <v>503</v>
      </c>
      <c r="C36" s="152"/>
      <c r="D36" s="151"/>
      <c r="E36" s="154" t="e">
        <f t="shared" si="5"/>
        <v>#REF!</v>
      </c>
      <c r="F36" s="151"/>
      <c r="G36" s="149" t="e">
        <f t="shared" si="6"/>
        <v>#REF!</v>
      </c>
    </row>
    <row r="37" spans="1:8" x14ac:dyDescent="0.15">
      <c r="A37" s="135"/>
      <c r="B37" s="139" t="s">
        <v>504</v>
      </c>
      <c r="C37" s="152">
        <v>1233.2</v>
      </c>
      <c r="D37" s="151"/>
      <c r="E37" s="154" t="e">
        <f t="shared" si="5"/>
        <v>#REF!</v>
      </c>
      <c r="F37" s="151"/>
      <c r="G37" s="149" t="e">
        <f t="shared" si="6"/>
        <v>#REF!</v>
      </c>
    </row>
    <row r="38" spans="1:8" x14ac:dyDescent="0.15">
      <c r="A38" s="137"/>
      <c r="B38" s="139" t="s">
        <v>505</v>
      </c>
      <c r="C38" s="152">
        <v>1256.0999999999999</v>
      </c>
      <c r="D38" s="151"/>
      <c r="E38" s="154" t="e">
        <f t="shared" si="5"/>
        <v>#REF!</v>
      </c>
      <c r="F38" s="151"/>
      <c r="G38" s="149" t="e">
        <f t="shared" si="6"/>
        <v>#REF!</v>
      </c>
    </row>
    <row r="39" spans="1:8" x14ac:dyDescent="0.15">
      <c r="A39" s="135"/>
      <c r="B39" s="136"/>
    </row>
    <row r="40" spans="1:8" x14ac:dyDescent="0.25">
      <c r="A40" s="90"/>
      <c r="B40" s="90"/>
      <c r="C40" s="90"/>
      <c r="D40" s="90"/>
      <c r="E40" s="90"/>
      <c r="F40" s="90"/>
      <c r="G40" s="90"/>
      <c r="H40" s="90"/>
    </row>
  </sheetData>
  <mergeCells count="3">
    <mergeCell ref="K6:M6"/>
    <mergeCell ref="N6:Q6"/>
    <mergeCell ref="J6:J7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1"/>
  <sheetViews>
    <sheetView showGridLines="0" zoomScaleNormal="100" workbookViewId="0">
      <pane xSplit="5" ySplit="7" topLeftCell="G8" activePane="bottomRight" state="frozen"/>
      <selection pane="topRight" activeCell="F1" sqref="F1"/>
      <selection pane="bottomLeft" activeCell="A9" sqref="A9"/>
      <selection pane="bottomRight" activeCell="O25" sqref="O25"/>
    </sheetView>
  </sheetViews>
  <sheetFormatPr defaultColWidth="9" defaultRowHeight="11.25" x14ac:dyDescent="0.25"/>
  <cols>
    <col min="1" max="1" width="2.75" style="271" customWidth="1"/>
    <col min="2" max="2" width="12.875" style="271" customWidth="1"/>
    <col min="3" max="3" width="8" style="271" customWidth="1"/>
    <col min="4" max="4" width="10.25" style="271" bestFit="1" customWidth="1"/>
    <col min="5" max="5" width="26" style="271" customWidth="1"/>
    <col min="6" max="6" width="9" style="271"/>
    <col min="7" max="7" width="8.875" style="271" customWidth="1"/>
    <col min="8" max="8" width="7.875" style="271" customWidth="1"/>
    <col min="9" max="9" width="10.625" style="271" customWidth="1"/>
    <col min="10" max="10" width="10.875" style="271" customWidth="1"/>
    <col min="11" max="12" width="10.125" style="271" bestFit="1" customWidth="1"/>
    <col min="13" max="14" width="8.875" style="271" bestFit="1" customWidth="1"/>
    <col min="15" max="15" width="5.625" style="271" customWidth="1"/>
    <col min="16" max="16384" width="9" style="271"/>
  </cols>
  <sheetData>
    <row r="1" spans="1:14" x14ac:dyDescent="0.2">
      <c r="A1" s="279" t="str">
        <f>Assumption!A1</f>
        <v>Bisnis Penyewaan INTEGRATED COLD STORAGE - Revitalitation</v>
      </c>
      <c r="J1" s="282"/>
      <c r="K1" s="282"/>
      <c r="L1" s="282"/>
    </row>
    <row r="2" spans="1:14" x14ac:dyDescent="0.2">
      <c r="A2" s="279" t="str">
        <f>Assumption!A2</f>
        <v>Financial Pre-Feasibility Study</v>
      </c>
      <c r="I2" s="322"/>
      <c r="J2" s="282"/>
      <c r="K2" s="282"/>
      <c r="L2" s="282"/>
      <c r="M2" s="322"/>
    </row>
    <row r="3" spans="1:14" x14ac:dyDescent="0.25">
      <c r="A3" s="281" t="s">
        <v>616</v>
      </c>
    </row>
    <row r="5" spans="1:14" x14ac:dyDescent="0.25">
      <c r="G5" s="282"/>
      <c r="H5" s="282"/>
      <c r="I5" s="282"/>
      <c r="J5" s="287"/>
      <c r="K5" s="341"/>
      <c r="L5" s="287"/>
      <c r="M5" s="342"/>
      <c r="N5" s="166" t="s">
        <v>610</v>
      </c>
    </row>
    <row r="6" spans="1:14" ht="43.5" customHeight="1" x14ac:dyDescent="0.25">
      <c r="A6" s="260" t="s">
        <v>68</v>
      </c>
      <c r="B6" s="261"/>
      <c r="C6" s="261"/>
      <c r="D6" s="261"/>
      <c r="E6" s="261"/>
      <c r="G6" s="270" t="s">
        <v>542</v>
      </c>
      <c r="H6" s="270" t="s">
        <v>372</v>
      </c>
      <c r="I6" s="747" t="s">
        <v>623</v>
      </c>
      <c r="J6" s="270" t="s">
        <v>624</v>
      </c>
      <c r="K6" s="270" t="s">
        <v>625</v>
      </c>
      <c r="L6" s="270" t="s">
        <v>626</v>
      </c>
      <c r="M6" s="270" t="s">
        <v>627</v>
      </c>
      <c r="N6" s="270" t="s">
        <v>628</v>
      </c>
    </row>
    <row r="7" spans="1:14" x14ac:dyDescent="0.25">
      <c r="A7" s="260"/>
      <c r="B7" s="261"/>
      <c r="C7" s="261"/>
      <c r="D7" s="261"/>
      <c r="E7" s="261"/>
      <c r="G7" s="270"/>
      <c r="H7" s="270"/>
      <c r="I7" s="747"/>
      <c r="J7" s="270"/>
      <c r="K7" s="270"/>
      <c r="L7" s="270"/>
      <c r="M7" s="270"/>
      <c r="N7" s="270"/>
    </row>
    <row r="8" spans="1:14" x14ac:dyDescent="0.25">
      <c r="A8" s="271" t="s">
        <v>148</v>
      </c>
      <c r="B8" s="271" t="s">
        <v>617</v>
      </c>
      <c r="G8" s="287">
        <v>-1</v>
      </c>
      <c r="H8" s="287"/>
      <c r="I8" s="165"/>
      <c r="J8" s="165"/>
      <c r="K8" s="343"/>
      <c r="L8" s="165"/>
      <c r="M8" s="165"/>
      <c r="N8" s="344"/>
    </row>
    <row r="9" spans="1:14" x14ac:dyDescent="0.25">
      <c r="B9" s="271" t="s">
        <v>520</v>
      </c>
      <c r="C9" s="271" t="s">
        <v>373</v>
      </c>
      <c r="D9" s="345"/>
      <c r="E9" s="271" t="s">
        <v>523</v>
      </c>
      <c r="G9" s="287">
        <v>1</v>
      </c>
      <c r="H9" s="287" t="s">
        <v>521</v>
      </c>
      <c r="I9" s="166">
        <f>D9</f>
        <v>0</v>
      </c>
      <c r="J9" s="165">
        <f>L8+M8+I9</f>
        <v>0</v>
      </c>
      <c r="K9" s="271">
        <v>0</v>
      </c>
      <c r="L9" s="165">
        <f>J9-K9</f>
        <v>0</v>
      </c>
      <c r="M9" s="165">
        <f>((J9+L9)/2)*$D$11%</f>
        <v>0</v>
      </c>
      <c r="N9" s="346">
        <f>M9</f>
        <v>0</v>
      </c>
    </row>
    <row r="10" spans="1:14" x14ac:dyDescent="0.25">
      <c r="A10" s="266" t="s">
        <v>149</v>
      </c>
      <c r="B10" s="271" t="s">
        <v>158</v>
      </c>
      <c r="G10" s="287">
        <f>G9+1</f>
        <v>2</v>
      </c>
      <c r="H10" s="287"/>
      <c r="I10" s="166"/>
      <c r="J10" s="165">
        <f>L9+M9-N9+I10</f>
        <v>0</v>
      </c>
      <c r="K10" s="165">
        <f>$K$9</f>
        <v>0</v>
      </c>
      <c r="L10" s="165">
        <f>J10-K10</f>
        <v>0</v>
      </c>
      <c r="M10" s="165">
        <f>((J10+L10)/2)*$D$11%</f>
        <v>0</v>
      </c>
      <c r="N10" s="346">
        <f>M10</f>
        <v>0</v>
      </c>
    </row>
    <row r="11" spans="1:14" x14ac:dyDescent="0.25">
      <c r="B11" s="271" t="s">
        <v>618</v>
      </c>
      <c r="D11" s="347"/>
      <c r="E11" s="271" t="s">
        <v>62</v>
      </c>
      <c r="G11" s="287">
        <f t="shared" ref="G11:G18" si="0">G10+1</f>
        <v>3</v>
      </c>
      <c r="H11" s="287"/>
      <c r="I11" s="166"/>
      <c r="J11" s="165">
        <f>L10+M10-N10+I11</f>
        <v>0</v>
      </c>
      <c r="K11" s="165">
        <f>$K$9</f>
        <v>0</v>
      </c>
      <c r="L11" s="165">
        <f>J11-K11</f>
        <v>0</v>
      </c>
      <c r="M11" s="165">
        <f>((J11+L11)/2)*$D$11%</f>
        <v>0</v>
      </c>
      <c r="N11" s="346">
        <f>M11</f>
        <v>0</v>
      </c>
    </row>
    <row r="12" spans="1:14" x14ac:dyDescent="0.25">
      <c r="B12" s="271" t="s">
        <v>619</v>
      </c>
      <c r="D12" s="347"/>
      <c r="E12" s="271" t="str">
        <f>Assumption!C26</f>
        <v>years</v>
      </c>
      <c r="G12" s="287">
        <f t="shared" si="0"/>
        <v>4</v>
      </c>
      <c r="H12" s="287"/>
      <c r="I12" s="166"/>
      <c r="J12" s="165">
        <f>L11+M11-N11</f>
        <v>0</v>
      </c>
      <c r="K12" s="165">
        <f>$K$9</f>
        <v>0</v>
      </c>
      <c r="L12" s="165">
        <f>J12-K12</f>
        <v>0</v>
      </c>
      <c r="M12" s="165">
        <f>((J12+L12)/2)*$D$11%</f>
        <v>0</v>
      </c>
      <c r="N12" s="346">
        <f>M12</f>
        <v>0</v>
      </c>
    </row>
    <row r="13" spans="1:14" x14ac:dyDescent="0.25">
      <c r="B13" s="271" t="s">
        <v>620</v>
      </c>
      <c r="D13" s="348"/>
      <c r="E13" s="271" t="str">
        <f>Assumption!C27</f>
        <v>Months (during initial production stage)</v>
      </c>
      <c r="G13" s="287">
        <f t="shared" si="0"/>
        <v>5</v>
      </c>
      <c r="H13" s="287"/>
      <c r="I13" s="166"/>
      <c r="J13" s="165">
        <f>L12+M12-N12+I13</f>
        <v>0</v>
      </c>
      <c r="K13" s="165">
        <f>$K$9</f>
        <v>0</v>
      </c>
      <c r="L13" s="165">
        <f>J13-K13</f>
        <v>0</v>
      </c>
      <c r="M13" s="165">
        <f>((J13+L13)/2)*$D$11%</f>
        <v>0</v>
      </c>
      <c r="N13" s="346">
        <f>M13</f>
        <v>0</v>
      </c>
    </row>
    <row r="14" spans="1:14" x14ac:dyDescent="0.25">
      <c r="B14" s="271" t="s">
        <v>621</v>
      </c>
      <c r="D14" s="349"/>
      <c r="E14" s="271" t="s">
        <v>61</v>
      </c>
      <c r="G14" s="287">
        <f t="shared" si="0"/>
        <v>6</v>
      </c>
      <c r="H14" s="287"/>
      <c r="I14" s="166"/>
      <c r="J14" s="165"/>
      <c r="K14" s="165"/>
      <c r="L14" s="165"/>
      <c r="M14" s="165"/>
      <c r="N14" s="346"/>
    </row>
    <row r="15" spans="1:14" x14ac:dyDescent="0.25">
      <c r="A15" s="266" t="s">
        <v>150</v>
      </c>
      <c r="B15" s="271" t="s">
        <v>159</v>
      </c>
      <c r="D15" s="319"/>
      <c r="G15" s="287">
        <f t="shared" si="0"/>
        <v>7</v>
      </c>
      <c r="H15" s="287"/>
      <c r="I15" s="166"/>
      <c r="J15" s="165"/>
      <c r="K15" s="165"/>
      <c r="L15" s="165"/>
      <c r="M15" s="165"/>
      <c r="N15" s="346"/>
    </row>
    <row r="16" spans="1:14" x14ac:dyDescent="0.25">
      <c r="A16" s="266" t="s">
        <v>151</v>
      </c>
      <c r="B16" s="271" t="s">
        <v>518</v>
      </c>
      <c r="G16" s="287">
        <f t="shared" si="0"/>
        <v>8</v>
      </c>
      <c r="H16" s="287"/>
      <c r="I16" s="166"/>
      <c r="J16" s="165"/>
      <c r="K16" s="165"/>
      <c r="L16" s="165"/>
      <c r="M16" s="165"/>
      <c r="N16" s="346"/>
    </row>
    <row r="17" spans="1:14" x14ac:dyDescent="0.25">
      <c r="B17" s="271" t="s">
        <v>364</v>
      </c>
      <c r="G17" s="287">
        <f t="shared" si="0"/>
        <v>9</v>
      </c>
      <c r="H17" s="287"/>
      <c r="I17" s="166"/>
      <c r="J17" s="165"/>
      <c r="K17" s="165"/>
      <c r="L17" s="165"/>
      <c r="M17" s="165"/>
      <c r="N17" s="346"/>
    </row>
    <row r="18" spans="1:14" x14ac:dyDescent="0.25">
      <c r="A18" s="266" t="s">
        <v>152</v>
      </c>
      <c r="B18" s="271" t="s">
        <v>160</v>
      </c>
      <c r="G18" s="287">
        <f t="shared" si="0"/>
        <v>10</v>
      </c>
      <c r="H18" s="287"/>
      <c r="I18" s="166"/>
      <c r="J18" s="165"/>
      <c r="K18" s="165"/>
      <c r="L18" s="165"/>
      <c r="M18" s="165"/>
      <c r="N18" s="346"/>
    </row>
    <row r="19" spans="1:14" x14ac:dyDescent="0.25">
      <c r="A19" s="266" t="s">
        <v>153</v>
      </c>
      <c r="B19" s="271" t="s">
        <v>622</v>
      </c>
      <c r="G19" s="287"/>
      <c r="H19" s="287"/>
      <c r="I19" s="166"/>
      <c r="J19" s="165"/>
      <c r="K19" s="165"/>
      <c r="L19" s="165"/>
      <c r="M19" s="165"/>
      <c r="N19" s="346"/>
    </row>
    <row r="20" spans="1:14" x14ac:dyDescent="0.25">
      <c r="B20" s="271" t="s">
        <v>506</v>
      </c>
      <c r="D20" s="345"/>
      <c r="E20" s="271" t="s">
        <v>387</v>
      </c>
      <c r="G20" s="287"/>
      <c r="H20" s="287"/>
      <c r="I20" s="166"/>
      <c r="J20" s="165"/>
      <c r="K20" s="165"/>
      <c r="L20" s="165"/>
      <c r="M20" s="165"/>
      <c r="N20" s="346"/>
    </row>
    <row r="21" spans="1:14" x14ac:dyDescent="0.25">
      <c r="G21" s="287"/>
      <c r="H21" s="287"/>
      <c r="I21" s="166"/>
      <c r="J21" s="165"/>
      <c r="K21" s="165"/>
      <c r="L21" s="165"/>
      <c r="M21" s="165"/>
      <c r="N21" s="346"/>
    </row>
    <row r="22" spans="1:14" x14ac:dyDescent="0.25">
      <c r="G22" s="287"/>
      <c r="H22" s="287"/>
      <c r="I22" s="166"/>
      <c r="J22" s="165"/>
      <c r="K22" s="165"/>
      <c r="L22" s="165"/>
      <c r="M22" s="165"/>
      <c r="N22" s="346"/>
    </row>
    <row r="23" spans="1:14" x14ac:dyDescent="0.25">
      <c r="G23" s="287"/>
      <c r="H23" s="287"/>
      <c r="I23" s="166"/>
      <c r="K23" s="165"/>
      <c r="N23" s="290"/>
    </row>
    <row r="24" spans="1:14" x14ac:dyDescent="0.25">
      <c r="G24" s="290"/>
      <c r="H24" s="290"/>
      <c r="I24" s="290"/>
      <c r="J24" s="290"/>
      <c r="K24" s="290"/>
      <c r="L24" s="290"/>
      <c r="M24" s="290"/>
      <c r="N24" s="290"/>
    </row>
    <row r="25" spans="1:14" x14ac:dyDescent="0.25">
      <c r="I25" s="350">
        <f>J9</f>
        <v>0</v>
      </c>
      <c r="K25" s="350">
        <f>SUM(K9:K23)</f>
        <v>0</v>
      </c>
      <c r="L25" s="351" t="s">
        <v>365</v>
      </c>
      <c r="M25" s="351"/>
    </row>
    <row r="31" spans="1:14" x14ac:dyDescent="0.25">
      <c r="J31" s="294"/>
      <c r="L31" s="351"/>
    </row>
  </sheetData>
  <mergeCells count="1">
    <mergeCell ref="I6:I7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7"/>
  <sheetViews>
    <sheetView showGridLines="0" zoomScaleNormal="100" workbookViewId="0">
      <pane ySplit="7" topLeftCell="A8" activePane="bottomLeft" state="frozen"/>
      <selection pane="bottomLeft" activeCell="H28" sqref="H28"/>
    </sheetView>
  </sheetViews>
  <sheetFormatPr defaultColWidth="9" defaultRowHeight="11.25" x14ac:dyDescent="0.25"/>
  <cols>
    <col min="1" max="1" width="19.25" style="271" customWidth="1"/>
    <col min="2" max="2" width="12.125" style="271" customWidth="1"/>
    <col min="3" max="3" width="8.5" style="271" bestFit="1" customWidth="1"/>
    <col min="4" max="4" width="9" style="271"/>
    <col min="5" max="5" width="8.375" style="271" customWidth="1"/>
    <col min="6" max="6" width="11.25" style="271" bestFit="1" customWidth="1"/>
    <col min="7" max="7" width="9" style="271"/>
    <col min="8" max="8" width="25.5" style="271" bestFit="1" customWidth="1"/>
    <col min="9" max="9" width="11.25" style="271" bestFit="1" customWidth="1"/>
    <col min="10" max="10" width="9" style="271"/>
    <col min="11" max="11" width="2.375" style="271" customWidth="1"/>
    <col min="12" max="12" width="5.375" style="271" customWidth="1"/>
    <col min="13" max="13" width="5.25" style="271" customWidth="1"/>
    <col min="14" max="14" width="9.75" style="271" bestFit="1" customWidth="1"/>
    <col min="15" max="16384" width="9" style="271"/>
  </cols>
  <sheetData>
    <row r="1" spans="1:14" x14ac:dyDescent="0.2">
      <c r="A1" s="279" t="str">
        <f>Assumption!A1</f>
        <v>Bisnis Penyewaan INTEGRATED COLD STORAGE - Revitalitation</v>
      </c>
    </row>
    <row r="2" spans="1:14" x14ac:dyDescent="0.2">
      <c r="A2" s="279" t="str">
        <f>Assumption!A2</f>
        <v>Financial Pre-Feasibility Study</v>
      </c>
    </row>
    <row r="3" spans="1:14" x14ac:dyDescent="0.25">
      <c r="A3" s="281" t="s">
        <v>630</v>
      </c>
    </row>
    <row r="5" spans="1:14" x14ac:dyDescent="0.25">
      <c r="F5" s="166" t="s">
        <v>610</v>
      </c>
    </row>
    <row r="6" spans="1:14" ht="10.5" customHeight="1" x14ac:dyDescent="0.25">
      <c r="A6" s="260" t="s">
        <v>68</v>
      </c>
      <c r="B6" s="261"/>
      <c r="C6" s="261"/>
      <c r="E6" s="695" t="s">
        <v>964</v>
      </c>
      <c r="F6" s="270" t="s">
        <v>629</v>
      </c>
    </row>
    <row r="7" spans="1:14" ht="18.75" customHeight="1" x14ac:dyDescent="0.25">
      <c r="A7" s="261"/>
      <c r="B7" s="261"/>
      <c r="C7" s="261"/>
      <c r="E7" s="695"/>
      <c r="F7" s="352"/>
    </row>
    <row r="8" spans="1:14" ht="10.5" customHeight="1" x14ac:dyDescent="0.25">
      <c r="A8" s="266" t="s">
        <v>576</v>
      </c>
      <c r="B8" s="319">
        <f>Assumption!B20</f>
        <v>600000000</v>
      </c>
      <c r="C8" s="271" t="s">
        <v>387</v>
      </c>
      <c r="D8" s="353"/>
      <c r="E8" s="287">
        <v>1</v>
      </c>
      <c r="F8" s="319">
        <f>B10</f>
        <v>60000000</v>
      </c>
    </row>
    <row r="9" spans="1:14" x14ac:dyDescent="0.25">
      <c r="A9" s="266" t="s">
        <v>632</v>
      </c>
      <c r="B9" s="354">
        <f>Assumption!B30</f>
        <v>10</v>
      </c>
      <c r="C9" s="271" t="s">
        <v>52</v>
      </c>
      <c r="D9" s="353"/>
      <c r="E9" s="287">
        <f>E8+1</f>
        <v>2</v>
      </c>
      <c r="F9" s="319">
        <f>F8</f>
        <v>60000000</v>
      </c>
      <c r="N9" s="355"/>
    </row>
    <row r="10" spans="1:14" x14ac:dyDescent="0.25">
      <c r="A10" s="266" t="s">
        <v>631</v>
      </c>
      <c r="B10" s="356">
        <f>B8/B9</f>
        <v>60000000</v>
      </c>
      <c r="C10" s="271" t="s">
        <v>387</v>
      </c>
      <c r="D10" s="357"/>
      <c r="E10" s="287">
        <f t="shared" ref="E10:E37" si="0">E9+1</f>
        <v>3</v>
      </c>
      <c r="F10" s="319">
        <f>F9</f>
        <v>60000000</v>
      </c>
    </row>
    <row r="11" spans="1:14" x14ac:dyDescent="0.25">
      <c r="D11" s="357"/>
      <c r="E11" s="287">
        <f t="shared" si="0"/>
        <v>4</v>
      </c>
      <c r="F11" s="319">
        <f>F10</f>
        <v>60000000</v>
      </c>
    </row>
    <row r="12" spans="1:14" x14ac:dyDescent="0.25">
      <c r="D12" s="357"/>
      <c r="E12" s="287">
        <f t="shared" si="0"/>
        <v>5</v>
      </c>
      <c r="F12" s="319">
        <f>F11</f>
        <v>60000000</v>
      </c>
    </row>
    <row r="13" spans="1:14" x14ac:dyDescent="0.25">
      <c r="D13" s="357"/>
      <c r="E13" s="287">
        <f t="shared" si="0"/>
        <v>6</v>
      </c>
      <c r="F13" s="319">
        <f t="shared" ref="F13:F17" si="1">F12</f>
        <v>60000000</v>
      </c>
    </row>
    <row r="14" spans="1:14" x14ac:dyDescent="0.25">
      <c r="E14" s="287">
        <f t="shared" si="0"/>
        <v>7</v>
      </c>
      <c r="F14" s="319">
        <f t="shared" si="1"/>
        <v>60000000</v>
      </c>
    </row>
    <row r="15" spans="1:14" x14ac:dyDescent="0.25">
      <c r="E15" s="287">
        <f t="shared" si="0"/>
        <v>8</v>
      </c>
      <c r="F15" s="319">
        <f t="shared" si="1"/>
        <v>60000000</v>
      </c>
    </row>
    <row r="16" spans="1:14" x14ac:dyDescent="0.25">
      <c r="A16" s="266"/>
      <c r="B16" s="355"/>
      <c r="E16" s="287">
        <f t="shared" si="0"/>
        <v>9</v>
      </c>
      <c r="F16" s="319">
        <f t="shared" si="1"/>
        <v>60000000</v>
      </c>
    </row>
    <row r="17" spans="1:6" x14ac:dyDescent="0.25">
      <c r="A17" s="266"/>
      <c r="B17" s="355"/>
      <c r="E17" s="287">
        <f t="shared" si="0"/>
        <v>10</v>
      </c>
      <c r="F17" s="319">
        <f t="shared" si="1"/>
        <v>60000000</v>
      </c>
    </row>
    <row r="18" spans="1:6" x14ac:dyDescent="0.25">
      <c r="A18" s="266"/>
      <c r="B18" s="355"/>
      <c r="E18" s="287">
        <f t="shared" si="0"/>
        <v>11</v>
      </c>
      <c r="F18" s="319">
        <v>0</v>
      </c>
    </row>
    <row r="19" spans="1:6" x14ac:dyDescent="0.25">
      <c r="A19" s="266"/>
      <c r="B19" s="355"/>
      <c r="E19" s="287">
        <f t="shared" si="0"/>
        <v>12</v>
      </c>
      <c r="F19" s="319">
        <v>0</v>
      </c>
    </row>
    <row r="20" spans="1:6" x14ac:dyDescent="0.25">
      <c r="E20" s="287">
        <f t="shared" si="0"/>
        <v>13</v>
      </c>
      <c r="F20" s="319">
        <v>0</v>
      </c>
    </row>
    <row r="21" spans="1:6" x14ac:dyDescent="0.25">
      <c r="E21" s="287">
        <f t="shared" si="0"/>
        <v>14</v>
      </c>
      <c r="F21" s="319">
        <v>0</v>
      </c>
    </row>
    <row r="22" spans="1:6" x14ac:dyDescent="0.25">
      <c r="E22" s="287">
        <f t="shared" si="0"/>
        <v>15</v>
      </c>
      <c r="F22" s="319">
        <v>0</v>
      </c>
    </row>
    <row r="23" spans="1:6" x14ac:dyDescent="0.25">
      <c r="E23" s="287">
        <f t="shared" si="0"/>
        <v>16</v>
      </c>
      <c r="F23" s="319">
        <v>0</v>
      </c>
    </row>
    <row r="24" spans="1:6" x14ac:dyDescent="0.25">
      <c r="E24" s="287">
        <f t="shared" si="0"/>
        <v>17</v>
      </c>
      <c r="F24" s="319">
        <v>0</v>
      </c>
    </row>
    <row r="25" spans="1:6" x14ac:dyDescent="0.25">
      <c r="E25" s="287">
        <f t="shared" si="0"/>
        <v>18</v>
      </c>
      <c r="F25" s="319">
        <v>0</v>
      </c>
    </row>
    <row r="26" spans="1:6" x14ac:dyDescent="0.25">
      <c r="E26" s="287">
        <f t="shared" si="0"/>
        <v>19</v>
      </c>
      <c r="F26" s="319">
        <v>0</v>
      </c>
    </row>
    <row r="27" spans="1:6" x14ac:dyDescent="0.25">
      <c r="E27" s="287">
        <f t="shared" si="0"/>
        <v>20</v>
      </c>
      <c r="F27" s="319">
        <v>0</v>
      </c>
    </row>
    <row r="28" spans="1:6" x14ac:dyDescent="0.25">
      <c r="E28" s="287">
        <f t="shared" si="0"/>
        <v>21</v>
      </c>
      <c r="F28" s="319">
        <v>0</v>
      </c>
    </row>
    <row r="29" spans="1:6" x14ac:dyDescent="0.25">
      <c r="E29" s="287">
        <f t="shared" si="0"/>
        <v>22</v>
      </c>
      <c r="F29" s="319">
        <v>0</v>
      </c>
    </row>
    <row r="30" spans="1:6" x14ac:dyDescent="0.25">
      <c r="E30" s="287">
        <f t="shared" si="0"/>
        <v>23</v>
      </c>
      <c r="F30" s="319">
        <v>0</v>
      </c>
    </row>
    <row r="31" spans="1:6" x14ac:dyDescent="0.25">
      <c r="E31" s="287">
        <f t="shared" si="0"/>
        <v>24</v>
      </c>
      <c r="F31" s="319">
        <v>0</v>
      </c>
    </row>
    <row r="32" spans="1:6" x14ac:dyDescent="0.25">
      <c r="E32" s="287">
        <f t="shared" si="0"/>
        <v>25</v>
      </c>
      <c r="F32" s="319">
        <v>0</v>
      </c>
    </row>
    <row r="33" spans="5:6" x14ac:dyDescent="0.25">
      <c r="E33" s="287">
        <f t="shared" si="0"/>
        <v>26</v>
      </c>
      <c r="F33" s="319">
        <v>0</v>
      </c>
    </row>
    <row r="34" spans="5:6" x14ac:dyDescent="0.25">
      <c r="E34" s="287">
        <f t="shared" si="0"/>
        <v>27</v>
      </c>
      <c r="F34" s="319">
        <v>0</v>
      </c>
    </row>
    <row r="35" spans="5:6" x14ac:dyDescent="0.25">
      <c r="E35" s="287">
        <f t="shared" si="0"/>
        <v>28</v>
      </c>
      <c r="F35" s="319">
        <v>0</v>
      </c>
    </row>
    <row r="36" spans="5:6" x14ac:dyDescent="0.25">
      <c r="E36" s="287">
        <f t="shared" si="0"/>
        <v>29</v>
      </c>
      <c r="F36" s="319">
        <v>0</v>
      </c>
    </row>
    <row r="37" spans="5:6" x14ac:dyDescent="0.25">
      <c r="E37" s="287">
        <f t="shared" si="0"/>
        <v>30</v>
      </c>
      <c r="F37" s="319">
        <v>0</v>
      </c>
    </row>
  </sheetData>
  <mergeCells count="1">
    <mergeCell ref="E6:E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2"/>
  <sheetViews>
    <sheetView topLeftCell="E1" workbookViewId="0">
      <selection activeCell="V32" sqref="V32"/>
    </sheetView>
  </sheetViews>
  <sheetFormatPr defaultColWidth="8.375" defaultRowHeight="10.5" x14ac:dyDescent="0.25"/>
  <cols>
    <col min="1" max="1" width="3.25" style="94" customWidth="1"/>
    <col min="2" max="2" width="17.5" style="94" customWidth="1"/>
    <col min="3" max="3" width="16.125" style="94" bestFit="1" customWidth="1"/>
    <col min="4" max="4" width="10.75" style="109" customWidth="1"/>
    <col min="5" max="5" width="7.375" style="94" customWidth="1"/>
    <col min="6" max="6" width="6.625" style="94" customWidth="1"/>
    <col min="7" max="7" width="8.125" style="94" customWidth="1"/>
    <col min="8" max="9" width="8.375" style="94" customWidth="1"/>
    <col min="10" max="10" width="10.75" style="94" customWidth="1"/>
    <col min="11" max="11" width="7.125" style="94" customWidth="1"/>
    <col min="12" max="12" width="10.75" style="94" customWidth="1"/>
    <col min="13" max="14" width="8.125" style="94" customWidth="1"/>
    <col min="15" max="15" width="8.25" style="94" bestFit="1" customWidth="1"/>
    <col min="16" max="16" width="8.25" style="94" customWidth="1"/>
    <col min="17" max="17" width="8.875" style="94" customWidth="1"/>
    <col min="18" max="18" width="7.625" style="94" customWidth="1"/>
    <col min="19" max="19" width="8.875" style="94" customWidth="1"/>
    <col min="20" max="20" width="5.625" style="94" customWidth="1"/>
    <col min="21" max="21" width="8.5" style="111" bestFit="1" customWidth="1"/>
    <col min="22" max="22" width="10.375" style="94" customWidth="1"/>
    <col min="23" max="16384" width="8.375" style="94"/>
  </cols>
  <sheetData>
    <row r="1" spans="1:22" x14ac:dyDescent="0.25">
      <c r="A1" s="88" t="str">
        <f>'SG&amp;A'!A1</f>
        <v>Bisnis Penyewaan INTEGRATED COLD STORAGE - Revitalitation</v>
      </c>
    </row>
    <row r="2" spans="1:22" x14ac:dyDescent="0.25">
      <c r="A2" s="88" t="str">
        <f>'SG&amp;A'!A2</f>
        <v>Financial Pre-Feasibility Study</v>
      </c>
    </row>
    <row r="3" spans="1:22" x14ac:dyDescent="0.25">
      <c r="A3" s="110" t="s">
        <v>519</v>
      </c>
    </row>
    <row r="6" spans="1:22" ht="21" x14ac:dyDescent="0.25">
      <c r="A6" s="95" t="s">
        <v>58</v>
      </c>
      <c r="B6" s="95" t="s">
        <v>426</v>
      </c>
      <c r="C6" s="95" t="s">
        <v>427</v>
      </c>
      <c r="D6" s="95" t="s">
        <v>466</v>
      </c>
      <c r="E6" s="95" t="s">
        <v>428</v>
      </c>
      <c r="F6" s="95" t="s">
        <v>429</v>
      </c>
      <c r="G6" s="95" t="s">
        <v>430</v>
      </c>
      <c r="H6" s="95" t="s">
        <v>431</v>
      </c>
      <c r="I6" s="95" t="s">
        <v>432</v>
      </c>
      <c r="J6" s="95" t="s">
        <v>433</v>
      </c>
      <c r="K6" s="95" t="s">
        <v>434</v>
      </c>
      <c r="L6" s="95" t="s">
        <v>435</v>
      </c>
      <c r="M6" s="95" t="s">
        <v>388</v>
      </c>
      <c r="N6" s="95" t="s">
        <v>436</v>
      </c>
      <c r="O6" s="95" t="s">
        <v>437</v>
      </c>
      <c r="P6" s="95" t="s">
        <v>438</v>
      </c>
      <c r="Q6" s="95" t="s">
        <v>439</v>
      </c>
      <c r="R6" s="95" t="s">
        <v>440</v>
      </c>
      <c r="S6" s="95" t="s">
        <v>441</v>
      </c>
      <c r="U6" s="113" t="s">
        <v>480</v>
      </c>
      <c r="V6" s="113" t="s">
        <v>481</v>
      </c>
    </row>
    <row r="7" spans="1:22" x14ac:dyDescent="0.15">
      <c r="A7" s="114"/>
      <c r="B7" s="114"/>
      <c r="C7" s="114"/>
      <c r="D7" s="115"/>
      <c r="E7" s="114"/>
      <c r="F7" s="114"/>
      <c r="G7" s="114"/>
      <c r="H7" s="114"/>
      <c r="I7" s="116"/>
      <c r="J7" s="114"/>
      <c r="K7" s="114"/>
      <c r="L7" s="114"/>
      <c r="M7" s="117">
        <v>0.03</v>
      </c>
      <c r="N7" s="117">
        <v>9.1999999999999998E-3</v>
      </c>
      <c r="O7" s="117"/>
      <c r="P7" s="118">
        <v>0.15</v>
      </c>
      <c r="Q7" s="118"/>
      <c r="R7" s="119">
        <v>0.01</v>
      </c>
      <c r="S7" s="119"/>
      <c r="U7" s="120"/>
      <c r="V7" s="120"/>
    </row>
    <row r="8" spans="1:22" x14ac:dyDescent="0.15">
      <c r="A8" s="96">
        <v>1</v>
      </c>
      <c r="B8" s="97" t="s">
        <v>442</v>
      </c>
      <c r="C8" s="98" t="s">
        <v>443</v>
      </c>
      <c r="D8" s="108">
        <v>258</v>
      </c>
      <c r="E8" s="99">
        <f t="shared" ref="E8:E30" si="0">G8/50</f>
        <v>400</v>
      </c>
      <c r="F8" s="99">
        <v>20</v>
      </c>
      <c r="G8" s="99">
        <f t="shared" ref="G8:G30" si="1">F8*1000</f>
        <v>20000</v>
      </c>
      <c r="H8" s="100">
        <v>3800000</v>
      </c>
      <c r="I8" s="100">
        <f t="shared" ref="I8:I30" si="2">F8*40000</f>
        <v>800000</v>
      </c>
      <c r="J8" s="101">
        <f t="shared" ref="J8:J30" si="3">E8*100</f>
        <v>40000</v>
      </c>
      <c r="K8" s="101"/>
      <c r="L8" s="101">
        <f t="shared" ref="L8:L30" si="4">SUM(H8:K8)</f>
        <v>4640000</v>
      </c>
      <c r="M8" s="101">
        <f t="shared" ref="M8:M30" si="5">L8*$M$7</f>
        <v>139200</v>
      </c>
      <c r="N8" s="101">
        <f t="shared" ref="N8:N30" si="6">L8*$N$7</f>
        <v>42688</v>
      </c>
      <c r="O8" s="101">
        <f t="shared" ref="O8:O30" si="7">SUM(L8:N8)</f>
        <v>4821888</v>
      </c>
      <c r="P8" s="102">
        <f t="shared" ref="P8:P30" si="8">+O8*$P$7</f>
        <v>723283.2</v>
      </c>
      <c r="Q8" s="102">
        <f t="shared" ref="Q8:Q30" si="9">SUM(O8:P8)</f>
        <v>5545171.2000000002</v>
      </c>
      <c r="R8" s="102">
        <f t="shared" ref="R8:R30" si="10">+Q8*$R$7</f>
        <v>55451.712</v>
      </c>
      <c r="S8" s="102">
        <f t="shared" ref="S8:S30" si="11">SUM(Q8:R8)</f>
        <v>5600622.9120000005</v>
      </c>
      <c r="T8" s="103"/>
      <c r="U8" s="111">
        <f t="shared" ref="U8:U30" si="12">S8/G8</f>
        <v>280.0311456</v>
      </c>
      <c r="V8" s="126">
        <f>U8/D8</f>
        <v>1.0853920372093024</v>
      </c>
    </row>
    <row r="9" spans="1:22" x14ac:dyDescent="0.15">
      <c r="A9" s="104">
        <v>2</v>
      </c>
      <c r="B9" s="97" t="s">
        <v>442</v>
      </c>
      <c r="C9" s="98" t="s">
        <v>444</v>
      </c>
      <c r="D9" s="108">
        <v>175</v>
      </c>
      <c r="E9" s="99">
        <f t="shared" si="0"/>
        <v>400</v>
      </c>
      <c r="F9" s="99">
        <v>20</v>
      </c>
      <c r="G9" s="99">
        <f t="shared" si="1"/>
        <v>20000</v>
      </c>
      <c r="H9" s="100">
        <v>2500000</v>
      </c>
      <c r="I9" s="100">
        <f t="shared" si="2"/>
        <v>800000</v>
      </c>
      <c r="J9" s="101">
        <f t="shared" si="3"/>
        <v>40000</v>
      </c>
      <c r="K9" s="101"/>
      <c r="L9" s="101">
        <f t="shared" si="4"/>
        <v>3340000</v>
      </c>
      <c r="M9" s="101">
        <f t="shared" si="5"/>
        <v>100200</v>
      </c>
      <c r="N9" s="101">
        <f t="shared" si="6"/>
        <v>30728</v>
      </c>
      <c r="O9" s="101">
        <f t="shared" si="7"/>
        <v>3470928</v>
      </c>
      <c r="P9" s="102">
        <f t="shared" si="8"/>
        <v>520639.19999999995</v>
      </c>
      <c r="Q9" s="102">
        <f t="shared" si="9"/>
        <v>3991567.2</v>
      </c>
      <c r="R9" s="102">
        <f t="shared" si="10"/>
        <v>39915.672000000006</v>
      </c>
      <c r="S9" s="102">
        <f t="shared" si="11"/>
        <v>4031482.872</v>
      </c>
      <c r="T9" s="103"/>
      <c r="U9" s="112">
        <f t="shared" si="12"/>
        <v>201.57414359999999</v>
      </c>
      <c r="V9" s="126">
        <f t="shared" ref="V9:V30" si="13">U9/D9</f>
        <v>1.1518522491428571</v>
      </c>
    </row>
    <row r="10" spans="1:22" x14ac:dyDescent="0.15">
      <c r="A10" s="96">
        <v>3</v>
      </c>
      <c r="B10" s="106" t="s">
        <v>442</v>
      </c>
      <c r="C10" s="98" t="s">
        <v>445</v>
      </c>
      <c r="D10" s="108">
        <v>113</v>
      </c>
      <c r="E10" s="99">
        <f t="shared" si="0"/>
        <v>400</v>
      </c>
      <c r="F10" s="99">
        <v>20</v>
      </c>
      <c r="G10" s="99">
        <f t="shared" si="1"/>
        <v>20000</v>
      </c>
      <c r="H10" s="100">
        <v>2400000</v>
      </c>
      <c r="I10" s="100">
        <f t="shared" si="2"/>
        <v>800000</v>
      </c>
      <c r="J10" s="101">
        <f t="shared" si="3"/>
        <v>40000</v>
      </c>
      <c r="K10" s="101"/>
      <c r="L10" s="101">
        <f t="shared" si="4"/>
        <v>3240000</v>
      </c>
      <c r="M10" s="101">
        <f t="shared" si="5"/>
        <v>97200</v>
      </c>
      <c r="N10" s="101">
        <f t="shared" si="6"/>
        <v>29808</v>
      </c>
      <c r="O10" s="101">
        <f t="shared" si="7"/>
        <v>3367008</v>
      </c>
      <c r="P10" s="102">
        <f t="shared" si="8"/>
        <v>505051.19999999995</v>
      </c>
      <c r="Q10" s="102">
        <f t="shared" si="9"/>
        <v>3872059.2</v>
      </c>
      <c r="R10" s="102">
        <f t="shared" si="10"/>
        <v>38720.592000000004</v>
      </c>
      <c r="S10" s="102">
        <f t="shared" si="11"/>
        <v>3910779.7920000004</v>
      </c>
      <c r="T10" s="103"/>
      <c r="U10" s="112">
        <f t="shared" si="12"/>
        <v>195.53898960000001</v>
      </c>
      <c r="V10" s="126">
        <f t="shared" si="13"/>
        <v>1.730433536283186</v>
      </c>
    </row>
    <row r="11" spans="1:22" x14ac:dyDescent="0.15">
      <c r="A11" s="104">
        <v>4</v>
      </c>
      <c r="B11" s="106" t="s">
        <v>442</v>
      </c>
      <c r="C11" s="98" t="s">
        <v>446</v>
      </c>
      <c r="D11" s="108">
        <v>41</v>
      </c>
      <c r="E11" s="99">
        <f t="shared" si="0"/>
        <v>400</v>
      </c>
      <c r="F11" s="99">
        <v>20</v>
      </c>
      <c r="G11" s="99">
        <f t="shared" si="1"/>
        <v>20000</v>
      </c>
      <c r="H11" s="100">
        <v>2200000</v>
      </c>
      <c r="I11" s="100">
        <f t="shared" si="2"/>
        <v>800000</v>
      </c>
      <c r="J11" s="101">
        <f t="shared" si="3"/>
        <v>40000</v>
      </c>
      <c r="K11" s="101"/>
      <c r="L11" s="101">
        <f t="shared" si="4"/>
        <v>3040000</v>
      </c>
      <c r="M11" s="101">
        <f t="shared" si="5"/>
        <v>91200</v>
      </c>
      <c r="N11" s="101">
        <f t="shared" si="6"/>
        <v>27968</v>
      </c>
      <c r="O11" s="101">
        <f t="shared" si="7"/>
        <v>3159168</v>
      </c>
      <c r="P11" s="102">
        <f t="shared" si="8"/>
        <v>473875.19999999995</v>
      </c>
      <c r="Q11" s="102">
        <f t="shared" si="9"/>
        <v>3633043.2</v>
      </c>
      <c r="R11" s="102">
        <f t="shared" si="10"/>
        <v>36330.432000000001</v>
      </c>
      <c r="S11" s="102">
        <f t="shared" si="11"/>
        <v>3669373.6320000002</v>
      </c>
      <c r="T11" s="103"/>
      <c r="U11" s="112">
        <f t="shared" si="12"/>
        <v>183.46868160000002</v>
      </c>
      <c r="V11" s="126">
        <f t="shared" si="13"/>
        <v>4.4748458926829278</v>
      </c>
    </row>
    <row r="12" spans="1:22" x14ac:dyDescent="0.15">
      <c r="A12" s="96">
        <v>5</v>
      </c>
      <c r="B12" s="106" t="s">
        <v>442</v>
      </c>
      <c r="C12" s="98" t="s">
        <v>447</v>
      </c>
      <c r="D12" s="108">
        <v>18.7</v>
      </c>
      <c r="E12" s="99">
        <f t="shared" si="0"/>
        <v>400</v>
      </c>
      <c r="F12" s="99">
        <v>20</v>
      </c>
      <c r="G12" s="99">
        <f t="shared" si="1"/>
        <v>20000</v>
      </c>
      <c r="H12" s="100">
        <v>2000000</v>
      </c>
      <c r="I12" s="100">
        <f t="shared" si="2"/>
        <v>800000</v>
      </c>
      <c r="J12" s="101">
        <f t="shared" si="3"/>
        <v>40000</v>
      </c>
      <c r="K12" s="101"/>
      <c r="L12" s="101">
        <f t="shared" si="4"/>
        <v>2840000</v>
      </c>
      <c r="M12" s="101">
        <f t="shared" si="5"/>
        <v>85200</v>
      </c>
      <c r="N12" s="101">
        <f t="shared" si="6"/>
        <v>26128</v>
      </c>
      <c r="O12" s="101">
        <f t="shared" si="7"/>
        <v>2951328</v>
      </c>
      <c r="P12" s="102">
        <f t="shared" si="8"/>
        <v>442699.2</v>
      </c>
      <c r="Q12" s="102">
        <f t="shared" si="9"/>
        <v>3394027.2</v>
      </c>
      <c r="R12" s="102">
        <f t="shared" si="10"/>
        <v>33940.272000000004</v>
      </c>
      <c r="S12" s="102">
        <f t="shared" si="11"/>
        <v>3427967.4720000001</v>
      </c>
      <c r="T12" s="103"/>
      <c r="U12" s="112">
        <f t="shared" si="12"/>
        <v>171.39837360000001</v>
      </c>
      <c r="V12" s="126">
        <f t="shared" si="13"/>
        <v>9.1656884278074884</v>
      </c>
    </row>
    <row r="13" spans="1:22" x14ac:dyDescent="0.15">
      <c r="A13" s="104">
        <v>6</v>
      </c>
      <c r="B13" s="106" t="s">
        <v>442</v>
      </c>
      <c r="C13" s="98" t="s">
        <v>448</v>
      </c>
      <c r="D13" s="108">
        <v>51.4</v>
      </c>
      <c r="E13" s="99">
        <f t="shared" si="0"/>
        <v>400</v>
      </c>
      <c r="F13" s="99">
        <v>20</v>
      </c>
      <c r="G13" s="99">
        <f t="shared" si="1"/>
        <v>20000</v>
      </c>
      <c r="H13" s="100">
        <v>2200000</v>
      </c>
      <c r="I13" s="100">
        <f t="shared" si="2"/>
        <v>800000</v>
      </c>
      <c r="J13" s="101">
        <f t="shared" si="3"/>
        <v>40000</v>
      </c>
      <c r="K13" s="101"/>
      <c r="L13" s="101">
        <f t="shared" si="4"/>
        <v>3040000</v>
      </c>
      <c r="M13" s="101">
        <f t="shared" si="5"/>
        <v>91200</v>
      </c>
      <c r="N13" s="101">
        <f t="shared" si="6"/>
        <v>27968</v>
      </c>
      <c r="O13" s="101">
        <f t="shared" si="7"/>
        <v>3159168</v>
      </c>
      <c r="P13" s="102">
        <f t="shared" si="8"/>
        <v>473875.19999999995</v>
      </c>
      <c r="Q13" s="102">
        <f t="shared" si="9"/>
        <v>3633043.2</v>
      </c>
      <c r="R13" s="102">
        <f t="shared" si="10"/>
        <v>36330.432000000001</v>
      </c>
      <c r="S13" s="102">
        <f t="shared" si="11"/>
        <v>3669373.6320000002</v>
      </c>
      <c r="T13" s="103"/>
      <c r="U13" s="112">
        <f t="shared" si="12"/>
        <v>183.46868160000002</v>
      </c>
      <c r="V13" s="126">
        <f t="shared" si="13"/>
        <v>3.569429603112841</v>
      </c>
    </row>
    <row r="14" spans="1:22" x14ac:dyDescent="0.15">
      <c r="A14" s="96">
        <v>7</v>
      </c>
      <c r="B14" s="106" t="s">
        <v>442</v>
      </c>
      <c r="C14" s="98" t="s">
        <v>449</v>
      </c>
      <c r="D14" s="108">
        <v>171</v>
      </c>
      <c r="E14" s="99">
        <f t="shared" si="0"/>
        <v>400</v>
      </c>
      <c r="F14" s="99">
        <v>20</v>
      </c>
      <c r="G14" s="99">
        <f t="shared" si="1"/>
        <v>20000</v>
      </c>
      <c r="H14" s="100">
        <v>2460000</v>
      </c>
      <c r="I14" s="100">
        <f t="shared" si="2"/>
        <v>800000</v>
      </c>
      <c r="J14" s="101">
        <f t="shared" si="3"/>
        <v>40000</v>
      </c>
      <c r="K14" s="101"/>
      <c r="L14" s="101">
        <f t="shared" si="4"/>
        <v>3300000</v>
      </c>
      <c r="M14" s="101">
        <f t="shared" si="5"/>
        <v>99000</v>
      </c>
      <c r="N14" s="101">
        <f t="shared" si="6"/>
        <v>30360</v>
      </c>
      <c r="O14" s="101">
        <f t="shared" si="7"/>
        <v>3429360</v>
      </c>
      <c r="P14" s="102">
        <f t="shared" si="8"/>
        <v>514404</v>
      </c>
      <c r="Q14" s="102">
        <f t="shared" si="9"/>
        <v>3943764</v>
      </c>
      <c r="R14" s="102">
        <f t="shared" si="10"/>
        <v>39437.64</v>
      </c>
      <c r="S14" s="102">
        <f t="shared" si="11"/>
        <v>3983201.64</v>
      </c>
      <c r="T14" s="103"/>
      <c r="U14" s="112">
        <f t="shared" si="12"/>
        <v>199.16008200000002</v>
      </c>
      <c r="V14" s="126">
        <f t="shared" si="13"/>
        <v>1.1646788421052632</v>
      </c>
    </row>
    <row r="15" spans="1:22" x14ac:dyDescent="0.15">
      <c r="A15" s="104">
        <v>8</v>
      </c>
      <c r="B15" s="106" t="s">
        <v>442</v>
      </c>
      <c r="C15" s="98" t="s">
        <v>450</v>
      </c>
      <c r="D15" s="108">
        <v>217</v>
      </c>
      <c r="E15" s="99">
        <f t="shared" si="0"/>
        <v>400</v>
      </c>
      <c r="F15" s="99">
        <v>20</v>
      </c>
      <c r="G15" s="99">
        <f t="shared" si="1"/>
        <v>20000</v>
      </c>
      <c r="H15" s="100">
        <v>2600000</v>
      </c>
      <c r="I15" s="100">
        <f t="shared" si="2"/>
        <v>800000</v>
      </c>
      <c r="J15" s="101">
        <f t="shared" si="3"/>
        <v>40000</v>
      </c>
      <c r="K15" s="101"/>
      <c r="L15" s="101">
        <f t="shared" si="4"/>
        <v>3440000</v>
      </c>
      <c r="M15" s="101">
        <f t="shared" si="5"/>
        <v>103200</v>
      </c>
      <c r="N15" s="101">
        <f t="shared" si="6"/>
        <v>31648</v>
      </c>
      <c r="O15" s="101">
        <f t="shared" si="7"/>
        <v>3574848</v>
      </c>
      <c r="P15" s="102">
        <f t="shared" si="8"/>
        <v>536227.19999999995</v>
      </c>
      <c r="Q15" s="102">
        <f t="shared" si="9"/>
        <v>4111075.2</v>
      </c>
      <c r="R15" s="102">
        <f t="shared" si="10"/>
        <v>41110.752</v>
      </c>
      <c r="S15" s="102">
        <f t="shared" si="11"/>
        <v>4152185.952</v>
      </c>
      <c r="T15" s="103"/>
      <c r="U15" s="112">
        <f t="shared" si="12"/>
        <v>207.60929759999999</v>
      </c>
      <c r="V15" s="126">
        <f t="shared" si="13"/>
        <v>0.95672487373271886</v>
      </c>
    </row>
    <row r="16" spans="1:22" x14ac:dyDescent="0.15">
      <c r="A16" s="96">
        <v>9</v>
      </c>
      <c r="B16" s="106" t="s">
        <v>442</v>
      </c>
      <c r="C16" s="98" t="s">
        <v>451</v>
      </c>
      <c r="D16" s="108">
        <v>142.69999999999999</v>
      </c>
      <c r="E16" s="99">
        <f t="shared" si="0"/>
        <v>400</v>
      </c>
      <c r="F16" s="99">
        <v>20</v>
      </c>
      <c r="G16" s="99">
        <f t="shared" si="1"/>
        <v>20000</v>
      </c>
      <c r="H16" s="100">
        <v>3500000</v>
      </c>
      <c r="I16" s="100">
        <f t="shared" si="2"/>
        <v>800000</v>
      </c>
      <c r="J16" s="101">
        <f t="shared" si="3"/>
        <v>40000</v>
      </c>
      <c r="K16" s="101"/>
      <c r="L16" s="101">
        <f t="shared" si="4"/>
        <v>4340000</v>
      </c>
      <c r="M16" s="101">
        <f t="shared" si="5"/>
        <v>130200</v>
      </c>
      <c r="N16" s="101">
        <f t="shared" si="6"/>
        <v>39928</v>
      </c>
      <c r="O16" s="101">
        <f t="shared" si="7"/>
        <v>4510128</v>
      </c>
      <c r="P16" s="102">
        <f t="shared" si="8"/>
        <v>676519.2</v>
      </c>
      <c r="Q16" s="102">
        <f t="shared" si="9"/>
        <v>5186647.2</v>
      </c>
      <c r="R16" s="102">
        <f t="shared" si="10"/>
        <v>51866.472000000002</v>
      </c>
      <c r="S16" s="102">
        <f t="shared" si="11"/>
        <v>5238513.6720000003</v>
      </c>
      <c r="T16" s="103"/>
      <c r="U16" s="112">
        <f t="shared" si="12"/>
        <v>261.92568360000001</v>
      </c>
      <c r="V16" s="126">
        <f t="shared" si="13"/>
        <v>1.8354988339173093</v>
      </c>
    </row>
    <row r="17" spans="1:22" x14ac:dyDescent="0.15">
      <c r="A17" s="104">
        <v>10</v>
      </c>
      <c r="B17" s="106" t="s">
        <v>442</v>
      </c>
      <c r="C17" s="98" t="s">
        <v>452</v>
      </c>
      <c r="D17" s="108">
        <v>84.3</v>
      </c>
      <c r="E17" s="99">
        <f t="shared" si="0"/>
        <v>400</v>
      </c>
      <c r="F17" s="99">
        <v>20</v>
      </c>
      <c r="G17" s="99">
        <f t="shared" si="1"/>
        <v>20000</v>
      </c>
      <c r="H17" s="100">
        <v>3200000</v>
      </c>
      <c r="I17" s="100">
        <f t="shared" si="2"/>
        <v>800000</v>
      </c>
      <c r="J17" s="101">
        <f t="shared" si="3"/>
        <v>40000</v>
      </c>
      <c r="K17" s="101"/>
      <c r="L17" s="101">
        <f t="shared" si="4"/>
        <v>4040000</v>
      </c>
      <c r="M17" s="101">
        <f t="shared" si="5"/>
        <v>121200</v>
      </c>
      <c r="N17" s="101">
        <f t="shared" si="6"/>
        <v>37168</v>
      </c>
      <c r="O17" s="101">
        <f t="shared" si="7"/>
        <v>4198368</v>
      </c>
      <c r="P17" s="102">
        <f t="shared" si="8"/>
        <v>629755.19999999995</v>
      </c>
      <c r="Q17" s="102">
        <f t="shared" si="9"/>
        <v>4828123.2</v>
      </c>
      <c r="R17" s="102">
        <f t="shared" si="10"/>
        <v>48281.232000000004</v>
      </c>
      <c r="S17" s="102">
        <f t="shared" si="11"/>
        <v>4876404.432</v>
      </c>
      <c r="T17" s="103"/>
      <c r="U17" s="112">
        <f t="shared" si="12"/>
        <v>243.8202216</v>
      </c>
      <c r="V17" s="126">
        <f t="shared" si="13"/>
        <v>2.8922920711743774</v>
      </c>
    </row>
    <row r="18" spans="1:22" x14ac:dyDescent="0.15">
      <c r="A18" s="96">
        <v>11</v>
      </c>
      <c r="B18" s="106" t="s">
        <v>442</v>
      </c>
      <c r="C18" s="98" t="s">
        <v>453</v>
      </c>
      <c r="D18" s="108">
        <v>413.3</v>
      </c>
      <c r="E18" s="99">
        <f t="shared" si="0"/>
        <v>400</v>
      </c>
      <c r="F18" s="99">
        <v>20</v>
      </c>
      <c r="G18" s="99">
        <f t="shared" si="1"/>
        <v>20000</v>
      </c>
      <c r="H18" s="100">
        <v>5000000</v>
      </c>
      <c r="I18" s="100">
        <f t="shared" si="2"/>
        <v>800000</v>
      </c>
      <c r="J18" s="101">
        <f t="shared" si="3"/>
        <v>40000</v>
      </c>
      <c r="K18" s="101"/>
      <c r="L18" s="101">
        <f t="shared" si="4"/>
        <v>5840000</v>
      </c>
      <c r="M18" s="101">
        <f t="shared" si="5"/>
        <v>175200</v>
      </c>
      <c r="N18" s="101">
        <f t="shared" si="6"/>
        <v>53728</v>
      </c>
      <c r="O18" s="101">
        <f t="shared" si="7"/>
        <v>6068928</v>
      </c>
      <c r="P18" s="102">
        <f t="shared" si="8"/>
        <v>910339.2</v>
      </c>
      <c r="Q18" s="102">
        <f t="shared" si="9"/>
        <v>6979267.2000000002</v>
      </c>
      <c r="R18" s="102">
        <f t="shared" si="10"/>
        <v>69792.672000000006</v>
      </c>
      <c r="S18" s="102">
        <f t="shared" si="11"/>
        <v>7049059.8720000004</v>
      </c>
      <c r="T18" s="103"/>
      <c r="U18" s="112">
        <f t="shared" si="12"/>
        <v>352.45299360000001</v>
      </c>
      <c r="V18" s="126">
        <f t="shared" si="13"/>
        <v>0.85277762787321554</v>
      </c>
    </row>
    <row r="19" spans="1:22" x14ac:dyDescent="0.15">
      <c r="A19" s="104">
        <v>12</v>
      </c>
      <c r="B19" s="106" t="s">
        <v>442</v>
      </c>
      <c r="C19" s="98" t="s">
        <v>454</v>
      </c>
      <c r="D19" s="108">
        <v>283.39999999999998</v>
      </c>
      <c r="E19" s="99">
        <f t="shared" si="0"/>
        <v>400</v>
      </c>
      <c r="F19" s="99">
        <v>20</v>
      </c>
      <c r="G19" s="99">
        <f t="shared" si="1"/>
        <v>20000</v>
      </c>
      <c r="H19" s="100">
        <v>5400000</v>
      </c>
      <c r="I19" s="100">
        <f t="shared" si="2"/>
        <v>800000</v>
      </c>
      <c r="J19" s="101">
        <f t="shared" si="3"/>
        <v>40000</v>
      </c>
      <c r="K19" s="101"/>
      <c r="L19" s="101">
        <f t="shared" si="4"/>
        <v>6240000</v>
      </c>
      <c r="M19" s="101">
        <f t="shared" si="5"/>
        <v>187200</v>
      </c>
      <c r="N19" s="101">
        <f t="shared" si="6"/>
        <v>57408</v>
      </c>
      <c r="O19" s="101">
        <f t="shared" si="7"/>
        <v>6484608</v>
      </c>
      <c r="P19" s="102">
        <f t="shared" si="8"/>
        <v>972691.2</v>
      </c>
      <c r="Q19" s="102">
        <f t="shared" si="9"/>
        <v>7457299.2000000002</v>
      </c>
      <c r="R19" s="102">
        <f t="shared" si="10"/>
        <v>74572.991999999998</v>
      </c>
      <c r="S19" s="102">
        <f t="shared" si="11"/>
        <v>7531872.1919999998</v>
      </c>
      <c r="T19" s="103"/>
      <c r="U19" s="112">
        <f t="shared" si="12"/>
        <v>376.59360959999998</v>
      </c>
      <c r="V19" s="126">
        <f t="shared" si="13"/>
        <v>1.328841247706422</v>
      </c>
    </row>
    <row r="20" spans="1:22" x14ac:dyDescent="0.15">
      <c r="A20" s="96">
        <v>13</v>
      </c>
      <c r="B20" s="106" t="s">
        <v>442</v>
      </c>
      <c r="C20" s="98" t="s">
        <v>455</v>
      </c>
      <c r="D20" s="108">
        <v>271.8</v>
      </c>
      <c r="E20" s="99">
        <f t="shared" si="0"/>
        <v>400</v>
      </c>
      <c r="F20" s="99">
        <v>20</v>
      </c>
      <c r="G20" s="99">
        <f t="shared" si="1"/>
        <v>20000</v>
      </c>
      <c r="H20" s="100">
        <v>5800000</v>
      </c>
      <c r="I20" s="100">
        <f t="shared" si="2"/>
        <v>800000</v>
      </c>
      <c r="J20" s="101">
        <f t="shared" si="3"/>
        <v>40000</v>
      </c>
      <c r="K20" s="101"/>
      <c r="L20" s="101">
        <f t="shared" si="4"/>
        <v>6640000</v>
      </c>
      <c r="M20" s="101">
        <f t="shared" si="5"/>
        <v>199200</v>
      </c>
      <c r="N20" s="101">
        <f t="shared" si="6"/>
        <v>61088</v>
      </c>
      <c r="O20" s="101">
        <f t="shared" si="7"/>
        <v>6900288</v>
      </c>
      <c r="P20" s="102">
        <f t="shared" si="8"/>
        <v>1035043.2</v>
      </c>
      <c r="Q20" s="102">
        <f t="shared" si="9"/>
        <v>7935331.2000000002</v>
      </c>
      <c r="R20" s="102">
        <f t="shared" si="10"/>
        <v>79353.312000000005</v>
      </c>
      <c r="S20" s="102">
        <f t="shared" si="11"/>
        <v>8014684.5120000001</v>
      </c>
      <c r="T20" s="103"/>
      <c r="U20" s="112">
        <f t="shared" si="12"/>
        <v>400.7342256</v>
      </c>
      <c r="V20" s="126">
        <f t="shared" si="13"/>
        <v>1.4743716909492273</v>
      </c>
    </row>
    <row r="21" spans="1:22" x14ac:dyDescent="0.15">
      <c r="A21" s="104">
        <v>14</v>
      </c>
      <c r="B21" s="106" t="s">
        <v>442</v>
      </c>
      <c r="C21" s="98" t="s">
        <v>456</v>
      </c>
      <c r="D21" s="108">
        <v>333</v>
      </c>
      <c r="E21" s="99">
        <f t="shared" si="0"/>
        <v>400</v>
      </c>
      <c r="F21" s="99">
        <v>20</v>
      </c>
      <c r="G21" s="99">
        <f t="shared" si="1"/>
        <v>20000</v>
      </c>
      <c r="H21" s="100">
        <v>6400000</v>
      </c>
      <c r="I21" s="100">
        <f t="shared" si="2"/>
        <v>800000</v>
      </c>
      <c r="J21" s="101">
        <f t="shared" si="3"/>
        <v>40000</v>
      </c>
      <c r="K21" s="101"/>
      <c r="L21" s="101">
        <f t="shared" si="4"/>
        <v>7240000</v>
      </c>
      <c r="M21" s="101">
        <f t="shared" si="5"/>
        <v>217200</v>
      </c>
      <c r="N21" s="101">
        <f t="shared" si="6"/>
        <v>66608</v>
      </c>
      <c r="O21" s="101">
        <f t="shared" si="7"/>
        <v>7523808</v>
      </c>
      <c r="P21" s="102">
        <f t="shared" si="8"/>
        <v>1128571.2</v>
      </c>
      <c r="Q21" s="102">
        <f t="shared" si="9"/>
        <v>8652379.1999999993</v>
      </c>
      <c r="R21" s="102">
        <f t="shared" si="10"/>
        <v>86523.792000000001</v>
      </c>
      <c r="S21" s="102">
        <f t="shared" si="11"/>
        <v>8738902.9919999987</v>
      </c>
      <c r="T21" s="103"/>
      <c r="U21" s="112">
        <f t="shared" si="12"/>
        <v>436.94514959999992</v>
      </c>
      <c r="V21" s="126">
        <f t="shared" si="13"/>
        <v>1.3121475963963962</v>
      </c>
    </row>
    <row r="22" spans="1:22" x14ac:dyDescent="0.15">
      <c r="A22" s="96">
        <v>15</v>
      </c>
      <c r="B22" s="106" t="s">
        <v>442</v>
      </c>
      <c r="C22" s="98" t="s">
        <v>457</v>
      </c>
      <c r="D22" s="108">
        <v>399.1</v>
      </c>
      <c r="E22" s="99">
        <f t="shared" si="0"/>
        <v>400</v>
      </c>
      <c r="F22" s="99">
        <v>20</v>
      </c>
      <c r="G22" s="99">
        <f t="shared" si="1"/>
        <v>20000</v>
      </c>
      <c r="H22" s="100">
        <v>7000000</v>
      </c>
      <c r="I22" s="100">
        <f t="shared" si="2"/>
        <v>800000</v>
      </c>
      <c r="J22" s="101">
        <f t="shared" si="3"/>
        <v>40000</v>
      </c>
      <c r="K22" s="101"/>
      <c r="L22" s="101">
        <f t="shared" si="4"/>
        <v>7840000</v>
      </c>
      <c r="M22" s="101">
        <f t="shared" si="5"/>
        <v>235200</v>
      </c>
      <c r="N22" s="101">
        <f t="shared" si="6"/>
        <v>72128</v>
      </c>
      <c r="O22" s="101">
        <f t="shared" si="7"/>
        <v>8147328</v>
      </c>
      <c r="P22" s="102">
        <f t="shared" si="8"/>
        <v>1222099.2</v>
      </c>
      <c r="Q22" s="102">
        <f t="shared" si="9"/>
        <v>9369427.1999999993</v>
      </c>
      <c r="R22" s="102">
        <f t="shared" si="10"/>
        <v>93694.271999999997</v>
      </c>
      <c r="S22" s="102">
        <f t="shared" si="11"/>
        <v>9463121.4719999991</v>
      </c>
      <c r="T22" s="103"/>
      <c r="U22" s="112">
        <f t="shared" si="12"/>
        <v>473.15607359999996</v>
      </c>
      <c r="V22" s="126">
        <f t="shared" si="13"/>
        <v>1.1855576887997994</v>
      </c>
    </row>
    <row r="23" spans="1:22" x14ac:dyDescent="0.15">
      <c r="A23" s="104">
        <v>16</v>
      </c>
      <c r="B23" s="106" t="s">
        <v>442</v>
      </c>
      <c r="C23" s="98" t="s">
        <v>458</v>
      </c>
      <c r="D23" s="108">
        <v>554.70000000000005</v>
      </c>
      <c r="E23" s="99">
        <f t="shared" si="0"/>
        <v>400</v>
      </c>
      <c r="F23" s="99">
        <v>20</v>
      </c>
      <c r="G23" s="99">
        <f t="shared" si="1"/>
        <v>20000</v>
      </c>
      <c r="H23" s="100">
        <v>8200000</v>
      </c>
      <c r="I23" s="100">
        <f t="shared" si="2"/>
        <v>800000</v>
      </c>
      <c r="J23" s="101">
        <f t="shared" si="3"/>
        <v>40000</v>
      </c>
      <c r="K23" s="101"/>
      <c r="L23" s="101">
        <f t="shared" si="4"/>
        <v>9040000</v>
      </c>
      <c r="M23" s="101">
        <f t="shared" si="5"/>
        <v>271200</v>
      </c>
      <c r="N23" s="101">
        <f t="shared" si="6"/>
        <v>83168</v>
      </c>
      <c r="O23" s="101">
        <f t="shared" si="7"/>
        <v>9394368</v>
      </c>
      <c r="P23" s="102">
        <f t="shared" si="8"/>
        <v>1409155.2</v>
      </c>
      <c r="Q23" s="102">
        <f t="shared" si="9"/>
        <v>10803523.199999999</v>
      </c>
      <c r="R23" s="102">
        <f t="shared" si="10"/>
        <v>108035.23199999999</v>
      </c>
      <c r="S23" s="102">
        <f t="shared" si="11"/>
        <v>10911558.432</v>
      </c>
      <c r="T23" s="103"/>
      <c r="U23" s="112">
        <f t="shared" si="12"/>
        <v>545.57792159999997</v>
      </c>
      <c r="V23" s="126">
        <f t="shared" si="13"/>
        <v>0.98355493347755529</v>
      </c>
    </row>
    <row r="24" spans="1:22" x14ac:dyDescent="0.15">
      <c r="A24" s="96">
        <v>17</v>
      </c>
      <c r="B24" s="106" t="s">
        <v>442</v>
      </c>
      <c r="C24" s="98" t="s">
        <v>459</v>
      </c>
      <c r="D24" s="108">
        <v>615.9</v>
      </c>
      <c r="E24" s="99">
        <f t="shared" si="0"/>
        <v>300</v>
      </c>
      <c r="F24" s="99">
        <v>15</v>
      </c>
      <c r="G24" s="99">
        <f t="shared" si="1"/>
        <v>15000</v>
      </c>
      <c r="H24" s="100">
        <v>7650000</v>
      </c>
      <c r="I24" s="100">
        <f t="shared" si="2"/>
        <v>600000</v>
      </c>
      <c r="J24" s="101">
        <f t="shared" si="3"/>
        <v>30000</v>
      </c>
      <c r="K24" s="101"/>
      <c r="L24" s="101">
        <f t="shared" si="4"/>
        <v>8280000</v>
      </c>
      <c r="M24" s="101">
        <f t="shared" si="5"/>
        <v>248400</v>
      </c>
      <c r="N24" s="101">
        <f t="shared" si="6"/>
        <v>76176</v>
      </c>
      <c r="O24" s="101">
        <f t="shared" si="7"/>
        <v>8604576</v>
      </c>
      <c r="P24" s="102">
        <f t="shared" si="8"/>
        <v>1290686.3999999999</v>
      </c>
      <c r="Q24" s="102">
        <f t="shared" si="9"/>
        <v>9895262.4000000004</v>
      </c>
      <c r="R24" s="102">
        <f t="shared" si="10"/>
        <v>98952.624000000011</v>
      </c>
      <c r="S24" s="102">
        <f t="shared" si="11"/>
        <v>9994215.0240000002</v>
      </c>
      <c r="T24" s="103"/>
      <c r="U24" s="112">
        <f t="shared" si="12"/>
        <v>666.28100159999997</v>
      </c>
      <c r="V24" s="126">
        <f t="shared" si="13"/>
        <v>1.0818006195811007</v>
      </c>
    </row>
    <row r="25" spans="1:22" x14ac:dyDescent="0.15">
      <c r="A25" s="104">
        <v>18</v>
      </c>
      <c r="B25" s="106" t="s">
        <v>442</v>
      </c>
      <c r="C25" s="98" t="s">
        <v>460</v>
      </c>
      <c r="D25" s="108">
        <v>101</v>
      </c>
      <c r="E25" s="99">
        <f t="shared" si="0"/>
        <v>400</v>
      </c>
      <c r="F25" s="99">
        <v>20</v>
      </c>
      <c r="G25" s="99">
        <f t="shared" si="1"/>
        <v>20000</v>
      </c>
      <c r="H25" s="100">
        <v>8000000</v>
      </c>
      <c r="I25" s="100">
        <f t="shared" si="2"/>
        <v>800000</v>
      </c>
      <c r="J25" s="101">
        <f t="shared" si="3"/>
        <v>40000</v>
      </c>
      <c r="K25" s="101"/>
      <c r="L25" s="101">
        <f t="shared" si="4"/>
        <v>8840000</v>
      </c>
      <c r="M25" s="101">
        <f t="shared" si="5"/>
        <v>265200</v>
      </c>
      <c r="N25" s="101">
        <f t="shared" si="6"/>
        <v>81328</v>
      </c>
      <c r="O25" s="101">
        <f t="shared" si="7"/>
        <v>9186528</v>
      </c>
      <c r="P25" s="102">
        <f t="shared" si="8"/>
        <v>1377979.2</v>
      </c>
      <c r="Q25" s="102">
        <f t="shared" si="9"/>
        <v>10564507.199999999</v>
      </c>
      <c r="R25" s="102">
        <f t="shared" si="10"/>
        <v>105645.072</v>
      </c>
      <c r="S25" s="102">
        <f t="shared" si="11"/>
        <v>10670152.272</v>
      </c>
      <c r="T25" s="103"/>
      <c r="U25" s="112">
        <f t="shared" si="12"/>
        <v>533.50761360000001</v>
      </c>
      <c r="V25" s="126">
        <f t="shared" si="13"/>
        <v>5.2822535999999998</v>
      </c>
    </row>
    <row r="26" spans="1:22" x14ac:dyDescent="0.15">
      <c r="A26" s="96">
        <v>19</v>
      </c>
      <c r="B26" s="106" t="s">
        <v>442</v>
      </c>
      <c r="C26" s="98" t="s">
        <v>461</v>
      </c>
      <c r="D26" s="108">
        <v>247.1</v>
      </c>
      <c r="E26" s="99">
        <f t="shared" si="0"/>
        <v>400</v>
      </c>
      <c r="F26" s="99">
        <v>20</v>
      </c>
      <c r="G26" s="99">
        <f t="shared" si="1"/>
        <v>20000</v>
      </c>
      <c r="H26" s="100">
        <v>9000000</v>
      </c>
      <c r="I26" s="100">
        <f t="shared" si="2"/>
        <v>800000</v>
      </c>
      <c r="J26" s="101">
        <f t="shared" si="3"/>
        <v>40000</v>
      </c>
      <c r="K26" s="101"/>
      <c r="L26" s="101">
        <f t="shared" si="4"/>
        <v>9840000</v>
      </c>
      <c r="M26" s="101">
        <f t="shared" si="5"/>
        <v>295200</v>
      </c>
      <c r="N26" s="101">
        <f t="shared" si="6"/>
        <v>90528</v>
      </c>
      <c r="O26" s="101">
        <f t="shared" si="7"/>
        <v>10225728</v>
      </c>
      <c r="P26" s="102">
        <f t="shared" si="8"/>
        <v>1533859.2</v>
      </c>
      <c r="Q26" s="102">
        <f t="shared" si="9"/>
        <v>11759587.199999999</v>
      </c>
      <c r="R26" s="102">
        <f t="shared" si="10"/>
        <v>117595.87199999999</v>
      </c>
      <c r="S26" s="102">
        <f t="shared" si="11"/>
        <v>11877183.071999999</v>
      </c>
      <c r="T26" s="103"/>
      <c r="U26" s="112">
        <f t="shared" si="12"/>
        <v>593.8591535999999</v>
      </c>
      <c r="V26" s="126">
        <f t="shared" si="13"/>
        <v>2.4033150692027516</v>
      </c>
    </row>
    <row r="27" spans="1:22" x14ac:dyDescent="0.15">
      <c r="A27" s="104">
        <v>20</v>
      </c>
      <c r="B27" s="106" t="s">
        <v>442</v>
      </c>
      <c r="C27" s="98" t="s">
        <v>462</v>
      </c>
      <c r="D27" s="108"/>
      <c r="E27" s="99">
        <f t="shared" si="0"/>
        <v>300</v>
      </c>
      <c r="F27" s="99">
        <v>15</v>
      </c>
      <c r="G27" s="99">
        <f t="shared" si="1"/>
        <v>15000</v>
      </c>
      <c r="H27" s="100">
        <v>6000000</v>
      </c>
      <c r="I27" s="100">
        <f t="shared" si="2"/>
        <v>600000</v>
      </c>
      <c r="J27" s="101">
        <f t="shared" si="3"/>
        <v>30000</v>
      </c>
      <c r="K27" s="101"/>
      <c r="L27" s="101">
        <f t="shared" si="4"/>
        <v>6630000</v>
      </c>
      <c r="M27" s="101">
        <f t="shared" si="5"/>
        <v>198900</v>
      </c>
      <c r="N27" s="101">
        <f t="shared" si="6"/>
        <v>60996</v>
      </c>
      <c r="O27" s="101">
        <f t="shared" si="7"/>
        <v>6889896</v>
      </c>
      <c r="P27" s="102">
        <f t="shared" si="8"/>
        <v>1033484.3999999999</v>
      </c>
      <c r="Q27" s="102">
        <f t="shared" si="9"/>
        <v>7923380.4000000004</v>
      </c>
      <c r="R27" s="102">
        <f t="shared" si="10"/>
        <v>79233.804000000004</v>
      </c>
      <c r="S27" s="102">
        <f t="shared" si="11"/>
        <v>8002614.2039999999</v>
      </c>
      <c r="T27" s="103"/>
      <c r="U27" s="112">
        <f t="shared" si="12"/>
        <v>533.50761360000001</v>
      </c>
      <c r="V27" s="126"/>
    </row>
    <row r="28" spans="1:22" x14ac:dyDescent="0.15">
      <c r="A28" s="96">
        <v>21</v>
      </c>
      <c r="B28" s="106" t="s">
        <v>442</v>
      </c>
      <c r="C28" s="98" t="s">
        <v>463</v>
      </c>
      <c r="D28" s="108"/>
      <c r="E28" s="99">
        <f t="shared" si="0"/>
        <v>160</v>
      </c>
      <c r="F28" s="99">
        <v>8</v>
      </c>
      <c r="G28" s="99">
        <f t="shared" si="1"/>
        <v>8000</v>
      </c>
      <c r="H28" s="100">
        <v>10400000</v>
      </c>
      <c r="I28" s="100">
        <f t="shared" si="2"/>
        <v>320000</v>
      </c>
      <c r="J28" s="101">
        <f t="shared" si="3"/>
        <v>16000</v>
      </c>
      <c r="K28" s="101"/>
      <c r="L28" s="101">
        <f t="shared" si="4"/>
        <v>10736000</v>
      </c>
      <c r="M28" s="101">
        <f t="shared" si="5"/>
        <v>322080</v>
      </c>
      <c r="N28" s="101">
        <f t="shared" si="6"/>
        <v>98771.199999999997</v>
      </c>
      <c r="O28" s="101">
        <f t="shared" si="7"/>
        <v>11156851.199999999</v>
      </c>
      <c r="P28" s="102">
        <f t="shared" si="8"/>
        <v>1673527.68</v>
      </c>
      <c r="Q28" s="102">
        <f t="shared" si="9"/>
        <v>12830378.879999999</v>
      </c>
      <c r="R28" s="102">
        <f t="shared" si="10"/>
        <v>128303.78879999999</v>
      </c>
      <c r="S28" s="102">
        <f t="shared" si="11"/>
        <v>12958682.668799998</v>
      </c>
      <c r="T28" s="103"/>
      <c r="U28" s="112">
        <f t="shared" si="12"/>
        <v>1619.8353335999998</v>
      </c>
      <c r="V28" s="126"/>
    </row>
    <row r="29" spans="1:22" x14ac:dyDescent="0.15">
      <c r="A29" s="104">
        <v>22</v>
      </c>
      <c r="B29" s="106" t="s">
        <v>442</v>
      </c>
      <c r="C29" s="98" t="s">
        <v>464</v>
      </c>
      <c r="D29" s="108">
        <v>980.2</v>
      </c>
      <c r="E29" s="99">
        <f t="shared" si="0"/>
        <v>400</v>
      </c>
      <c r="F29" s="99">
        <v>20</v>
      </c>
      <c r="G29" s="99">
        <f t="shared" si="1"/>
        <v>20000</v>
      </c>
      <c r="H29" s="100">
        <v>13000000</v>
      </c>
      <c r="I29" s="100">
        <f t="shared" si="2"/>
        <v>800000</v>
      </c>
      <c r="J29" s="101">
        <f t="shared" si="3"/>
        <v>40000</v>
      </c>
      <c r="K29" s="101"/>
      <c r="L29" s="101">
        <f t="shared" si="4"/>
        <v>13840000</v>
      </c>
      <c r="M29" s="101">
        <f t="shared" si="5"/>
        <v>415200</v>
      </c>
      <c r="N29" s="101">
        <f t="shared" si="6"/>
        <v>127328</v>
      </c>
      <c r="O29" s="101">
        <f t="shared" si="7"/>
        <v>14382528</v>
      </c>
      <c r="P29" s="102">
        <f t="shared" si="8"/>
        <v>2157379.1999999997</v>
      </c>
      <c r="Q29" s="102">
        <f t="shared" si="9"/>
        <v>16539907.199999999</v>
      </c>
      <c r="R29" s="102">
        <f t="shared" si="10"/>
        <v>165399.07199999999</v>
      </c>
      <c r="S29" s="102">
        <f t="shared" si="11"/>
        <v>16705306.272</v>
      </c>
      <c r="T29" s="103"/>
      <c r="U29" s="112">
        <f t="shared" si="12"/>
        <v>835.26531360000001</v>
      </c>
      <c r="V29" s="126">
        <f t="shared" si="13"/>
        <v>0.85213763884921445</v>
      </c>
    </row>
    <row r="30" spans="1:22" x14ac:dyDescent="0.15">
      <c r="A30" s="96">
        <v>23</v>
      </c>
      <c r="B30" s="106" t="s">
        <v>442</v>
      </c>
      <c r="C30" s="98" t="s">
        <v>465</v>
      </c>
      <c r="D30" s="108">
        <v>1112.8</v>
      </c>
      <c r="E30" s="99">
        <f t="shared" si="0"/>
        <v>400</v>
      </c>
      <c r="F30" s="99">
        <v>20</v>
      </c>
      <c r="G30" s="99">
        <f t="shared" si="1"/>
        <v>20000</v>
      </c>
      <c r="H30" s="100">
        <v>14000000</v>
      </c>
      <c r="I30" s="100">
        <f t="shared" si="2"/>
        <v>800000</v>
      </c>
      <c r="J30" s="101">
        <f t="shared" si="3"/>
        <v>40000</v>
      </c>
      <c r="K30" s="101"/>
      <c r="L30" s="101">
        <f t="shared" si="4"/>
        <v>14840000</v>
      </c>
      <c r="M30" s="101">
        <f t="shared" si="5"/>
        <v>445200</v>
      </c>
      <c r="N30" s="101">
        <f t="shared" si="6"/>
        <v>136528</v>
      </c>
      <c r="O30" s="101">
        <f t="shared" si="7"/>
        <v>15421728</v>
      </c>
      <c r="P30" s="102">
        <f t="shared" si="8"/>
        <v>2313259.1999999997</v>
      </c>
      <c r="Q30" s="102">
        <f t="shared" si="9"/>
        <v>17734987.199999999</v>
      </c>
      <c r="R30" s="102">
        <f t="shared" si="10"/>
        <v>177349.872</v>
      </c>
      <c r="S30" s="102">
        <f t="shared" si="11"/>
        <v>17912337.072000001</v>
      </c>
      <c r="T30" s="103"/>
      <c r="U30" s="112">
        <f t="shared" si="12"/>
        <v>895.61685360000001</v>
      </c>
      <c r="V30" s="126">
        <f t="shared" si="13"/>
        <v>0.80483182386772112</v>
      </c>
    </row>
    <row r="31" spans="1:22" x14ac:dyDescent="0.15">
      <c r="A31" s="104"/>
      <c r="B31" s="105"/>
      <c r="C31" s="98"/>
      <c r="D31" s="108"/>
      <c r="E31" s="107"/>
      <c r="F31" s="107"/>
      <c r="G31" s="107"/>
      <c r="H31" s="100"/>
      <c r="I31" s="100"/>
      <c r="J31" s="101"/>
      <c r="K31" s="101"/>
      <c r="L31" s="101"/>
      <c r="M31" s="101"/>
      <c r="N31" s="101"/>
      <c r="O31" s="101"/>
      <c r="P31" s="102"/>
      <c r="Q31" s="102"/>
      <c r="R31" s="102"/>
      <c r="S31" s="102"/>
      <c r="U31" s="112"/>
      <c r="V31" s="112"/>
    </row>
    <row r="32" spans="1:22" x14ac:dyDescent="0.15">
      <c r="A32" s="121"/>
      <c r="B32" s="114"/>
      <c r="C32" s="114"/>
      <c r="D32" s="115"/>
      <c r="E32" s="122"/>
      <c r="F32" s="122"/>
      <c r="G32" s="122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U32" s="124">
        <f>AVERAGE(U8:U31)</f>
        <v>451.79687640000009</v>
      </c>
      <c r="V32" s="127">
        <f>AVERAGE(V8:V31)</f>
        <v>2.1708774239938893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7"/>
  <sheetViews>
    <sheetView showGridLines="0" workbookViewId="0">
      <selection activeCell="V32" sqref="V32"/>
    </sheetView>
  </sheetViews>
  <sheetFormatPr defaultColWidth="9" defaultRowHeight="10.5" x14ac:dyDescent="0.15"/>
  <cols>
    <col min="1" max="1" width="20.125" style="68" bestFit="1" customWidth="1"/>
    <col min="2" max="16" width="6" style="68" bestFit="1" customWidth="1"/>
    <col min="17" max="17" width="2.75" style="68" customWidth="1"/>
    <col min="18" max="18" width="10.5" style="68" bestFit="1" customWidth="1"/>
    <col min="19" max="16384" width="9" style="68"/>
  </cols>
  <sheetData>
    <row r="1" spans="1:18" x14ac:dyDescent="0.15">
      <c r="A1" s="71" t="str">
        <f>'ProjectValuation(JO)'!A1</f>
        <v>Bisnis Penyewaan INTEGRATED COLD STORAGE - Revitalitation</v>
      </c>
    </row>
    <row r="2" spans="1:18" x14ac:dyDescent="0.15">
      <c r="A2" s="71" t="str">
        <f>'ProjectValuation(JO)'!A2</f>
        <v>Financial Pre-Feasibility Study</v>
      </c>
    </row>
    <row r="3" spans="1:18" x14ac:dyDescent="0.15">
      <c r="A3" s="69" t="s">
        <v>267</v>
      </c>
    </row>
    <row r="6" spans="1:18" x14ac:dyDescent="0.15">
      <c r="A6" s="68" t="s">
        <v>394</v>
      </c>
    </row>
    <row r="7" spans="1:18" ht="20.100000000000001" customHeight="1" x14ac:dyDescent="0.15">
      <c r="A7" s="74" t="s">
        <v>162</v>
      </c>
      <c r="B7" s="75">
        <v>1</v>
      </c>
      <c r="C7" s="75">
        <f>B7+1</f>
        <v>2</v>
      </c>
      <c r="D7" s="75">
        <f t="shared" ref="D7:P7" si="0">C7+1</f>
        <v>3</v>
      </c>
      <c r="E7" s="75">
        <f t="shared" si="0"/>
        <v>4</v>
      </c>
      <c r="F7" s="75">
        <f t="shared" si="0"/>
        <v>5</v>
      </c>
      <c r="G7" s="75">
        <f t="shared" si="0"/>
        <v>6</v>
      </c>
      <c r="H7" s="75">
        <f t="shared" si="0"/>
        <v>7</v>
      </c>
      <c r="I7" s="75">
        <f t="shared" si="0"/>
        <v>8</v>
      </c>
      <c r="J7" s="75">
        <f t="shared" si="0"/>
        <v>9</v>
      </c>
      <c r="K7" s="75">
        <f t="shared" si="0"/>
        <v>10</v>
      </c>
      <c r="L7" s="75">
        <f t="shared" si="0"/>
        <v>11</v>
      </c>
      <c r="M7" s="75">
        <f>L7+1</f>
        <v>12</v>
      </c>
      <c r="N7" s="75">
        <f t="shared" si="0"/>
        <v>13</v>
      </c>
      <c r="O7" s="75">
        <f t="shared" si="0"/>
        <v>14</v>
      </c>
      <c r="P7" s="75">
        <f t="shared" si="0"/>
        <v>15</v>
      </c>
      <c r="Q7" s="70"/>
      <c r="R7" s="76" t="s">
        <v>264</v>
      </c>
    </row>
    <row r="8" spans="1:18" x14ac:dyDescent="0.15">
      <c r="A8" s="68" t="s">
        <v>161</v>
      </c>
      <c r="B8" s="67">
        <f>IncomeStatement!C8</f>
        <v>4056000000</v>
      </c>
      <c r="C8" s="67">
        <f>IncomeStatement!D8</f>
        <v>4455678240</v>
      </c>
      <c r="D8" s="67">
        <f>IncomeStatement!E8</f>
        <v>4894740773.7695999</v>
      </c>
      <c r="E8" s="67">
        <f>IncomeStatement!F8</f>
        <v>5377068529.6168566</v>
      </c>
      <c r="F8" s="67">
        <f>IncomeStatement!G8</f>
        <v>5906924862.5253019</v>
      </c>
      <c r="G8" s="67">
        <f>IncomeStatement!H8</f>
        <v>6488993238.4785452</v>
      </c>
      <c r="H8" s="67">
        <f>IncomeStatement!I8</f>
        <v>7128418632.1982203</v>
      </c>
      <c r="I8" s="67">
        <f>IncomeStatement!J8</f>
        <v>7270987004.8421841</v>
      </c>
      <c r="J8" s="67">
        <f>IncomeStatement!K8</f>
        <v>7416406744.9390268</v>
      </c>
      <c r="K8" s="67">
        <f>IncomeStatement!L8</f>
        <v>7564734879.8378086</v>
      </c>
      <c r="L8" s="67" t="e">
        <f>IncomeStatement!#REF!</f>
        <v>#REF!</v>
      </c>
      <c r="M8" s="67" t="e">
        <f>IncomeStatement!#REF!</f>
        <v>#REF!</v>
      </c>
      <c r="N8" s="67" t="e">
        <f>IncomeStatement!#REF!</f>
        <v>#REF!</v>
      </c>
      <c r="O8" s="67" t="e">
        <f>IncomeStatement!#REF!</f>
        <v>#REF!</v>
      </c>
      <c r="P8" s="67" t="e">
        <f>IncomeStatement!#REF!</f>
        <v>#REF!</v>
      </c>
      <c r="Q8" s="70"/>
      <c r="R8" s="67" t="e">
        <f>SUM(B8:P8)</f>
        <v>#REF!</v>
      </c>
    </row>
    <row r="9" spans="1:18" ht="12.75" x14ac:dyDescent="0.3">
      <c r="A9" s="68" t="s">
        <v>163</v>
      </c>
      <c r="B9" s="91" t="e">
        <f>IncomeStatement!#REF!</f>
        <v>#REF!</v>
      </c>
      <c r="C9" s="91" t="e">
        <f>IncomeStatement!#REF!</f>
        <v>#REF!</v>
      </c>
      <c r="D9" s="91" t="e">
        <f>IncomeStatement!#REF!</f>
        <v>#REF!</v>
      </c>
      <c r="E9" s="91" t="e">
        <f>IncomeStatement!#REF!</f>
        <v>#REF!</v>
      </c>
      <c r="F9" s="91" t="e">
        <f>IncomeStatement!#REF!</f>
        <v>#REF!</v>
      </c>
      <c r="G9" s="91" t="e">
        <f>IncomeStatement!#REF!</f>
        <v>#REF!</v>
      </c>
      <c r="H9" s="91" t="e">
        <f>IncomeStatement!#REF!</f>
        <v>#REF!</v>
      </c>
      <c r="I9" s="91" t="e">
        <f>IncomeStatement!#REF!</f>
        <v>#REF!</v>
      </c>
      <c r="J9" s="91" t="e">
        <f>IncomeStatement!#REF!</f>
        <v>#REF!</v>
      </c>
      <c r="K9" s="91" t="e">
        <f>IncomeStatement!#REF!</f>
        <v>#REF!</v>
      </c>
      <c r="L9" s="91" t="e">
        <f>IncomeStatement!#REF!</f>
        <v>#REF!</v>
      </c>
      <c r="M9" s="91" t="e">
        <f>IncomeStatement!#REF!</f>
        <v>#REF!</v>
      </c>
      <c r="N9" s="91" t="e">
        <f>IncomeStatement!#REF!</f>
        <v>#REF!</v>
      </c>
      <c r="O9" s="91" t="e">
        <f>IncomeStatement!#REF!</f>
        <v>#REF!</v>
      </c>
      <c r="P9" s="91" t="e">
        <f>IncomeStatement!#REF!</f>
        <v>#REF!</v>
      </c>
      <c r="Q9" s="70"/>
      <c r="R9" s="91" t="e">
        <f>SUM(B9:P9)</f>
        <v>#REF!</v>
      </c>
    </row>
    <row r="10" spans="1:18" x14ac:dyDescent="0.15">
      <c r="A10" s="68" t="s">
        <v>164</v>
      </c>
      <c r="B10" s="67" t="e">
        <f>B8+B9</f>
        <v>#REF!</v>
      </c>
      <c r="C10" s="67" t="e">
        <f t="shared" ref="C10:P10" si="1">C8+C9</f>
        <v>#REF!</v>
      </c>
      <c r="D10" s="67" t="e">
        <f t="shared" si="1"/>
        <v>#REF!</v>
      </c>
      <c r="E10" s="67" t="e">
        <f t="shared" si="1"/>
        <v>#REF!</v>
      </c>
      <c r="F10" s="67" t="e">
        <f t="shared" si="1"/>
        <v>#REF!</v>
      </c>
      <c r="G10" s="67" t="e">
        <f t="shared" si="1"/>
        <v>#REF!</v>
      </c>
      <c r="H10" s="67" t="e">
        <f t="shared" si="1"/>
        <v>#REF!</v>
      </c>
      <c r="I10" s="67" t="e">
        <f t="shared" si="1"/>
        <v>#REF!</v>
      </c>
      <c r="J10" s="67" t="e">
        <f t="shared" si="1"/>
        <v>#REF!</v>
      </c>
      <c r="K10" s="67" t="e">
        <f t="shared" si="1"/>
        <v>#REF!</v>
      </c>
      <c r="L10" s="67" t="e">
        <f t="shared" si="1"/>
        <v>#REF!</v>
      </c>
      <c r="M10" s="67" t="e">
        <f t="shared" si="1"/>
        <v>#REF!</v>
      </c>
      <c r="N10" s="67" t="e">
        <f t="shared" si="1"/>
        <v>#REF!</v>
      </c>
      <c r="O10" s="67" t="e">
        <f t="shared" si="1"/>
        <v>#REF!</v>
      </c>
      <c r="P10" s="67" t="e">
        <f t="shared" si="1"/>
        <v>#REF!</v>
      </c>
      <c r="Q10" s="70"/>
      <c r="R10" s="67" t="e">
        <f>SUM(B10:P10)</f>
        <v>#REF!</v>
      </c>
    </row>
    <row r="11" spans="1:18" x14ac:dyDescent="0.15">
      <c r="A11" s="68" t="s">
        <v>366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70"/>
      <c r="R11" s="67"/>
    </row>
    <row r="12" spans="1:18" x14ac:dyDescent="0.15">
      <c r="A12" s="68" t="s">
        <v>368</v>
      </c>
      <c r="B12" s="67" t="e">
        <f>IncomeStatement!#REF!</f>
        <v>#REF!</v>
      </c>
      <c r="C12" s="67" t="e">
        <f>IncomeStatement!#REF!</f>
        <v>#REF!</v>
      </c>
      <c r="D12" s="67" t="e">
        <f>IncomeStatement!#REF!</f>
        <v>#REF!</v>
      </c>
      <c r="E12" s="67" t="e">
        <f>IncomeStatement!#REF!</f>
        <v>#REF!</v>
      </c>
      <c r="F12" s="67" t="e">
        <f>IncomeStatement!#REF!</f>
        <v>#REF!</v>
      </c>
      <c r="G12" s="67" t="e">
        <f>IncomeStatement!#REF!</f>
        <v>#REF!</v>
      </c>
      <c r="H12" s="67" t="e">
        <f>IncomeStatement!#REF!</f>
        <v>#REF!</v>
      </c>
      <c r="I12" s="67" t="e">
        <f>IncomeStatement!#REF!</f>
        <v>#REF!</v>
      </c>
      <c r="J12" s="67" t="e">
        <f>IncomeStatement!#REF!</f>
        <v>#REF!</v>
      </c>
      <c r="K12" s="67" t="e">
        <f>IncomeStatement!#REF!</f>
        <v>#REF!</v>
      </c>
      <c r="L12" s="67" t="e">
        <f>IncomeStatement!#REF!</f>
        <v>#REF!</v>
      </c>
      <c r="M12" s="67" t="e">
        <f>IncomeStatement!#REF!</f>
        <v>#REF!</v>
      </c>
      <c r="N12" s="67" t="e">
        <f>IncomeStatement!#REF!</f>
        <v>#REF!</v>
      </c>
      <c r="O12" s="67" t="e">
        <f>IncomeStatement!#REF!</f>
        <v>#REF!</v>
      </c>
      <c r="P12" s="67" t="e">
        <f>IncomeStatement!#REF!</f>
        <v>#REF!</v>
      </c>
      <c r="Q12" s="70"/>
      <c r="R12" s="67" t="e">
        <f>SUM(B12:P12)</f>
        <v>#REF!</v>
      </c>
    </row>
    <row r="13" spans="1:18" ht="12.75" x14ac:dyDescent="0.3">
      <c r="A13" s="68" t="s">
        <v>367</v>
      </c>
      <c r="B13" s="91" t="e">
        <f>IncomeStatement!#REF!</f>
        <v>#REF!</v>
      </c>
      <c r="C13" s="91" t="e">
        <f>IncomeStatement!#REF!</f>
        <v>#REF!</v>
      </c>
      <c r="D13" s="91" t="e">
        <f>IncomeStatement!#REF!</f>
        <v>#REF!</v>
      </c>
      <c r="E13" s="91" t="e">
        <f>IncomeStatement!#REF!</f>
        <v>#REF!</v>
      </c>
      <c r="F13" s="91" t="e">
        <f>IncomeStatement!#REF!</f>
        <v>#REF!</v>
      </c>
      <c r="G13" s="91" t="e">
        <f>IncomeStatement!#REF!</f>
        <v>#REF!</v>
      </c>
      <c r="H13" s="91" t="e">
        <f>IncomeStatement!#REF!</f>
        <v>#REF!</v>
      </c>
      <c r="I13" s="91" t="e">
        <f>IncomeStatement!#REF!</f>
        <v>#REF!</v>
      </c>
      <c r="J13" s="91" t="e">
        <f>IncomeStatement!#REF!</f>
        <v>#REF!</v>
      </c>
      <c r="K13" s="91" t="e">
        <f>IncomeStatement!#REF!</f>
        <v>#REF!</v>
      </c>
      <c r="L13" s="91" t="e">
        <f>IncomeStatement!#REF!</f>
        <v>#REF!</v>
      </c>
      <c r="M13" s="91" t="e">
        <f>IncomeStatement!#REF!</f>
        <v>#REF!</v>
      </c>
      <c r="N13" s="91" t="e">
        <f>IncomeStatement!#REF!</f>
        <v>#REF!</v>
      </c>
      <c r="O13" s="91" t="e">
        <f>IncomeStatement!#REF!</f>
        <v>#REF!</v>
      </c>
      <c r="P13" s="91" t="e">
        <f>IncomeStatement!#REF!</f>
        <v>#REF!</v>
      </c>
      <c r="Q13" s="70"/>
      <c r="R13" s="67" t="e">
        <f>SUM(B13:P13)</f>
        <v>#REF!</v>
      </c>
    </row>
    <row r="14" spans="1:18" x14ac:dyDescent="0.15">
      <c r="B14" s="67" t="e">
        <f>SUM(B12:B13)</f>
        <v>#REF!</v>
      </c>
      <c r="C14" s="67" t="e">
        <f t="shared" ref="C14:P14" si="2">SUM(C12:C13)</f>
        <v>#REF!</v>
      </c>
      <c r="D14" s="67" t="e">
        <f t="shared" si="2"/>
        <v>#REF!</v>
      </c>
      <c r="E14" s="67" t="e">
        <f t="shared" si="2"/>
        <v>#REF!</v>
      </c>
      <c r="F14" s="67" t="e">
        <f t="shared" si="2"/>
        <v>#REF!</v>
      </c>
      <c r="G14" s="67" t="e">
        <f t="shared" si="2"/>
        <v>#REF!</v>
      </c>
      <c r="H14" s="67" t="e">
        <f t="shared" si="2"/>
        <v>#REF!</v>
      </c>
      <c r="I14" s="67" t="e">
        <f t="shared" si="2"/>
        <v>#REF!</v>
      </c>
      <c r="J14" s="67" t="e">
        <f t="shared" si="2"/>
        <v>#REF!</v>
      </c>
      <c r="K14" s="67" t="e">
        <f t="shared" si="2"/>
        <v>#REF!</v>
      </c>
      <c r="L14" s="67" t="e">
        <f t="shared" si="2"/>
        <v>#REF!</v>
      </c>
      <c r="M14" s="67" t="e">
        <f t="shared" si="2"/>
        <v>#REF!</v>
      </c>
      <c r="N14" s="67" t="e">
        <f t="shared" si="2"/>
        <v>#REF!</v>
      </c>
      <c r="O14" s="67" t="e">
        <f t="shared" si="2"/>
        <v>#REF!</v>
      </c>
      <c r="P14" s="67" t="e">
        <f t="shared" si="2"/>
        <v>#REF!</v>
      </c>
      <c r="Q14" s="70"/>
      <c r="R14" s="67" t="e">
        <f>SUM(B14:P14)</f>
        <v>#REF!</v>
      </c>
    </row>
    <row r="15" spans="1:18" x14ac:dyDescent="0.15">
      <c r="A15" s="68" t="s">
        <v>165</v>
      </c>
      <c r="B15" s="67" t="e">
        <f>B10+B14</f>
        <v>#REF!</v>
      </c>
      <c r="C15" s="67" t="e">
        <f t="shared" ref="C15:P15" si="3">C10+C14</f>
        <v>#REF!</v>
      </c>
      <c r="D15" s="67" t="e">
        <f t="shared" si="3"/>
        <v>#REF!</v>
      </c>
      <c r="E15" s="67" t="e">
        <f t="shared" si="3"/>
        <v>#REF!</v>
      </c>
      <c r="F15" s="67" t="e">
        <f t="shared" si="3"/>
        <v>#REF!</v>
      </c>
      <c r="G15" s="67" t="e">
        <f t="shared" si="3"/>
        <v>#REF!</v>
      </c>
      <c r="H15" s="67" t="e">
        <f t="shared" si="3"/>
        <v>#REF!</v>
      </c>
      <c r="I15" s="67" t="e">
        <f t="shared" si="3"/>
        <v>#REF!</v>
      </c>
      <c r="J15" s="67" t="e">
        <f t="shared" si="3"/>
        <v>#REF!</v>
      </c>
      <c r="K15" s="67" t="e">
        <f t="shared" si="3"/>
        <v>#REF!</v>
      </c>
      <c r="L15" s="67" t="e">
        <f t="shared" si="3"/>
        <v>#REF!</v>
      </c>
      <c r="M15" s="67" t="e">
        <f t="shared" si="3"/>
        <v>#REF!</v>
      </c>
      <c r="N15" s="67" t="e">
        <f t="shared" si="3"/>
        <v>#REF!</v>
      </c>
      <c r="O15" s="67" t="e">
        <f t="shared" si="3"/>
        <v>#REF!</v>
      </c>
      <c r="P15" s="67" t="e">
        <f t="shared" si="3"/>
        <v>#REF!</v>
      </c>
      <c r="Q15" s="70"/>
      <c r="R15" s="67" t="e">
        <f>SUM(B15:P15)</f>
        <v>#REF!</v>
      </c>
    </row>
    <row r="16" spans="1:18" x14ac:dyDescent="0.15">
      <c r="A16" s="146" t="s">
        <v>509</v>
      </c>
      <c r="B16" s="67" t="e">
        <f>IncomeStatement!#REF!</f>
        <v>#REF!</v>
      </c>
      <c r="C16" s="67" t="e">
        <f>IncomeStatement!#REF!</f>
        <v>#REF!</v>
      </c>
      <c r="D16" s="67" t="e">
        <f>IncomeStatement!#REF!</f>
        <v>#REF!</v>
      </c>
      <c r="E16" s="67" t="e">
        <f>IncomeStatement!#REF!</f>
        <v>#REF!</v>
      </c>
      <c r="F16" s="67" t="e">
        <f>IncomeStatement!#REF!</f>
        <v>#REF!</v>
      </c>
      <c r="G16" s="67" t="e">
        <f>IncomeStatement!#REF!</f>
        <v>#REF!</v>
      </c>
      <c r="H16" s="67" t="e">
        <f>IncomeStatement!#REF!</f>
        <v>#REF!</v>
      </c>
      <c r="I16" s="67" t="e">
        <f>IncomeStatement!#REF!</f>
        <v>#REF!</v>
      </c>
      <c r="J16" s="67" t="e">
        <f>IncomeStatement!#REF!</f>
        <v>#REF!</v>
      </c>
      <c r="K16" s="67" t="e">
        <f>IncomeStatement!#REF!</f>
        <v>#REF!</v>
      </c>
      <c r="L16" s="67" t="e">
        <f>IncomeStatement!#REF!</f>
        <v>#REF!</v>
      </c>
      <c r="M16" s="67" t="e">
        <f>IncomeStatement!#REF!</f>
        <v>#REF!</v>
      </c>
      <c r="N16" s="67" t="e">
        <f>IncomeStatement!#REF!</f>
        <v>#REF!</v>
      </c>
      <c r="O16" s="67" t="e">
        <f>IncomeStatement!#REF!</f>
        <v>#REF!</v>
      </c>
      <c r="P16" s="67" t="e">
        <f>IncomeStatement!#REF!</f>
        <v>#REF!</v>
      </c>
      <c r="Q16" s="70"/>
      <c r="R16" s="67"/>
    </row>
    <row r="17" spans="1:18" x14ac:dyDescent="0.15">
      <c r="A17" s="68" t="s">
        <v>166</v>
      </c>
      <c r="B17" s="67" t="e">
        <f>IncomeStatement!#REF!</f>
        <v>#REF!</v>
      </c>
      <c r="C17" s="67" t="e">
        <f>IncomeStatement!#REF!</f>
        <v>#REF!</v>
      </c>
      <c r="D17" s="67" t="e">
        <f>IncomeStatement!#REF!</f>
        <v>#REF!</v>
      </c>
      <c r="E17" s="67" t="e">
        <f>IncomeStatement!#REF!</f>
        <v>#REF!</v>
      </c>
      <c r="F17" s="67" t="e">
        <f>IncomeStatement!#REF!</f>
        <v>#REF!</v>
      </c>
      <c r="G17" s="67" t="e">
        <f>IncomeStatement!#REF!</f>
        <v>#REF!</v>
      </c>
      <c r="H17" s="67" t="e">
        <f>IncomeStatement!#REF!</f>
        <v>#REF!</v>
      </c>
      <c r="I17" s="67" t="e">
        <f>IncomeStatement!#REF!</f>
        <v>#REF!</v>
      </c>
      <c r="J17" s="67" t="e">
        <f>IncomeStatement!#REF!</f>
        <v>#REF!</v>
      </c>
      <c r="K17" s="67" t="e">
        <f>IncomeStatement!#REF!</f>
        <v>#REF!</v>
      </c>
      <c r="L17" s="67" t="e">
        <f>IncomeStatement!#REF!</f>
        <v>#REF!</v>
      </c>
      <c r="M17" s="67" t="e">
        <f>IncomeStatement!#REF!</f>
        <v>#REF!</v>
      </c>
      <c r="N17" s="67" t="e">
        <f>IncomeStatement!#REF!</f>
        <v>#REF!</v>
      </c>
      <c r="O17" s="67" t="e">
        <f>IncomeStatement!#REF!</f>
        <v>#REF!</v>
      </c>
      <c r="P17" s="67" t="e">
        <f>IncomeStatement!#REF!</f>
        <v>#REF!</v>
      </c>
      <c r="Q17" s="70"/>
      <c r="R17" s="67" t="e">
        <f>SUM(B17:P17)</f>
        <v>#REF!</v>
      </c>
    </row>
    <row r="18" spans="1:18" x14ac:dyDescent="0.15">
      <c r="A18" s="68" t="s">
        <v>167</v>
      </c>
      <c r="B18" s="67" t="e">
        <f>B15+B17</f>
        <v>#REF!</v>
      </c>
      <c r="C18" s="67" t="e">
        <f t="shared" ref="C18:P18" si="4">C15+C17</f>
        <v>#REF!</v>
      </c>
      <c r="D18" s="67" t="e">
        <f t="shared" si="4"/>
        <v>#REF!</v>
      </c>
      <c r="E18" s="67" t="e">
        <f t="shared" si="4"/>
        <v>#REF!</v>
      </c>
      <c r="F18" s="67" t="e">
        <f t="shared" si="4"/>
        <v>#REF!</v>
      </c>
      <c r="G18" s="67" t="e">
        <f t="shared" si="4"/>
        <v>#REF!</v>
      </c>
      <c r="H18" s="67" t="e">
        <f t="shared" si="4"/>
        <v>#REF!</v>
      </c>
      <c r="I18" s="67" t="e">
        <f t="shared" si="4"/>
        <v>#REF!</v>
      </c>
      <c r="J18" s="67" t="e">
        <f t="shared" si="4"/>
        <v>#REF!</v>
      </c>
      <c r="K18" s="67" t="e">
        <f t="shared" si="4"/>
        <v>#REF!</v>
      </c>
      <c r="L18" s="67" t="e">
        <f t="shared" si="4"/>
        <v>#REF!</v>
      </c>
      <c r="M18" s="67" t="e">
        <f t="shared" si="4"/>
        <v>#REF!</v>
      </c>
      <c r="N18" s="67" t="e">
        <f t="shared" si="4"/>
        <v>#REF!</v>
      </c>
      <c r="O18" s="67" t="e">
        <f t="shared" si="4"/>
        <v>#REF!</v>
      </c>
      <c r="P18" s="67" t="e">
        <f t="shared" si="4"/>
        <v>#REF!</v>
      </c>
      <c r="Q18" s="70"/>
      <c r="R18" s="67" t="e">
        <f>SUM(B18:P18)</f>
        <v>#REF!</v>
      </c>
    </row>
    <row r="19" spans="1:18" x14ac:dyDescent="0.15">
      <c r="A19" s="68" t="s">
        <v>168</v>
      </c>
      <c r="B19" s="67" t="e">
        <f>IncomeStatement!#REF!</f>
        <v>#REF!</v>
      </c>
      <c r="C19" s="67" t="e">
        <f>IncomeStatement!#REF!</f>
        <v>#REF!</v>
      </c>
      <c r="D19" s="67" t="e">
        <f>IncomeStatement!#REF!</f>
        <v>#REF!</v>
      </c>
      <c r="E19" s="67" t="e">
        <f>IncomeStatement!#REF!</f>
        <v>#REF!</v>
      </c>
      <c r="F19" s="67" t="e">
        <f>IncomeStatement!#REF!</f>
        <v>#REF!</v>
      </c>
      <c r="G19" s="67" t="e">
        <f>IncomeStatement!#REF!</f>
        <v>#REF!</v>
      </c>
      <c r="H19" s="67" t="e">
        <f>IncomeStatement!#REF!</f>
        <v>#REF!</v>
      </c>
      <c r="I19" s="67" t="e">
        <f>IncomeStatement!#REF!</f>
        <v>#REF!</v>
      </c>
      <c r="J19" s="67" t="e">
        <f>IncomeStatement!#REF!</f>
        <v>#REF!</v>
      </c>
      <c r="K19" s="67" t="e">
        <f>IncomeStatement!#REF!</f>
        <v>#REF!</v>
      </c>
      <c r="L19" s="67" t="e">
        <f>IncomeStatement!#REF!</f>
        <v>#REF!</v>
      </c>
      <c r="M19" s="67" t="e">
        <f>IncomeStatement!#REF!</f>
        <v>#REF!</v>
      </c>
      <c r="N19" s="67" t="e">
        <f>IncomeStatement!#REF!</f>
        <v>#REF!</v>
      </c>
      <c r="O19" s="67" t="e">
        <f>IncomeStatement!#REF!</f>
        <v>#REF!</v>
      </c>
      <c r="P19" s="67" t="e">
        <f>IncomeStatement!#REF!</f>
        <v>#REF!</v>
      </c>
      <c r="Q19" s="70"/>
      <c r="R19" s="67" t="e">
        <f>SUM(B19:P19)</f>
        <v>#REF!</v>
      </c>
    </row>
    <row r="20" spans="1:18" x14ac:dyDescent="0.15">
      <c r="A20" s="68" t="s">
        <v>169</v>
      </c>
      <c r="B20" s="67" t="e">
        <f>B18+B19</f>
        <v>#REF!</v>
      </c>
      <c r="C20" s="67" t="e">
        <f t="shared" ref="C20:P20" si="5">C18+C19</f>
        <v>#REF!</v>
      </c>
      <c r="D20" s="67" t="e">
        <f t="shared" si="5"/>
        <v>#REF!</v>
      </c>
      <c r="E20" s="67" t="e">
        <f t="shared" si="5"/>
        <v>#REF!</v>
      </c>
      <c r="F20" s="67" t="e">
        <f t="shared" si="5"/>
        <v>#REF!</v>
      </c>
      <c r="G20" s="67" t="e">
        <f t="shared" si="5"/>
        <v>#REF!</v>
      </c>
      <c r="H20" s="67" t="e">
        <f t="shared" si="5"/>
        <v>#REF!</v>
      </c>
      <c r="I20" s="67" t="e">
        <f t="shared" si="5"/>
        <v>#REF!</v>
      </c>
      <c r="J20" s="67" t="e">
        <f t="shared" si="5"/>
        <v>#REF!</v>
      </c>
      <c r="K20" s="67" t="e">
        <f t="shared" si="5"/>
        <v>#REF!</v>
      </c>
      <c r="L20" s="67" t="e">
        <f t="shared" si="5"/>
        <v>#REF!</v>
      </c>
      <c r="M20" s="67" t="e">
        <f t="shared" si="5"/>
        <v>#REF!</v>
      </c>
      <c r="N20" s="67" t="e">
        <f t="shared" si="5"/>
        <v>#REF!</v>
      </c>
      <c r="O20" s="67" t="e">
        <f t="shared" si="5"/>
        <v>#REF!</v>
      </c>
      <c r="P20" s="67" t="e">
        <f t="shared" si="5"/>
        <v>#REF!</v>
      </c>
      <c r="Q20" s="70"/>
      <c r="R20" s="67" t="e">
        <f>SUM(B20:P20)</f>
        <v>#REF!</v>
      </c>
    </row>
    <row r="21" spans="1:18" x14ac:dyDescent="0.15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7"/>
      <c r="M21" s="77"/>
      <c r="N21" s="70"/>
      <c r="O21" s="77"/>
      <c r="P21" s="77"/>
      <c r="Q21" s="70"/>
      <c r="R21" s="77"/>
    </row>
    <row r="22" spans="1:18" x14ac:dyDescent="0.15">
      <c r="L22" s="67"/>
      <c r="O22" s="67"/>
      <c r="P22" s="67"/>
    </row>
    <row r="23" spans="1:18" x14ac:dyDescent="0.15">
      <c r="C23" s="67"/>
      <c r="L23" s="67"/>
      <c r="M23" s="67"/>
      <c r="O23" s="67"/>
      <c r="P23" s="67"/>
    </row>
    <row r="24" spans="1:18" x14ac:dyDescent="0.15">
      <c r="L24" s="67"/>
      <c r="M24" s="67"/>
      <c r="O24" s="67"/>
      <c r="P24" s="67"/>
    </row>
    <row r="25" spans="1:18" x14ac:dyDescent="0.15">
      <c r="L25" s="67"/>
      <c r="M25" s="67"/>
      <c r="N25" s="67"/>
      <c r="O25" s="67"/>
      <c r="P25" s="67"/>
    </row>
    <row r="26" spans="1:18" x14ac:dyDescent="0.15">
      <c r="L26" s="67"/>
    </row>
    <row r="27" spans="1:18" x14ac:dyDescent="0.15">
      <c r="L27" s="6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2"/>
  <sheetViews>
    <sheetView showGridLines="0" workbookViewId="0">
      <selection activeCell="V32" sqref="V32"/>
    </sheetView>
  </sheetViews>
  <sheetFormatPr defaultColWidth="9" defaultRowHeight="10.5" customHeight="1" x14ac:dyDescent="0.25"/>
  <cols>
    <col min="1" max="1" width="24.375" style="72" customWidth="1"/>
    <col min="2" max="3" width="5.25" style="72" bestFit="1" customWidth="1"/>
    <col min="4" max="18" width="6" style="72" bestFit="1" customWidth="1"/>
    <col min="19" max="16384" width="9" style="72"/>
  </cols>
  <sheetData>
    <row r="1" spans="1:18" x14ac:dyDescent="0.25">
      <c r="A1" s="85" t="str">
        <f>'ProjectValuation(JO)'!A1</f>
        <v>Bisnis Penyewaan INTEGRATED COLD STORAGE - Revitalitation</v>
      </c>
    </row>
    <row r="2" spans="1:18" x14ac:dyDescent="0.25">
      <c r="A2" s="85" t="str">
        <f>'ProjectValuation(JO)'!A2</f>
        <v>Financial Pre-Feasibility Study</v>
      </c>
    </row>
    <row r="3" spans="1:18" x14ac:dyDescent="0.25">
      <c r="A3" s="79" t="s">
        <v>268</v>
      </c>
    </row>
    <row r="6" spans="1:18" ht="10.5" customHeight="1" x14ac:dyDescent="0.15">
      <c r="A6" s="68" t="s">
        <v>394</v>
      </c>
    </row>
    <row r="7" spans="1:18" ht="20.100000000000001" customHeight="1" x14ac:dyDescent="0.25">
      <c r="A7" s="74" t="s">
        <v>237</v>
      </c>
      <c r="B7" s="75">
        <v>-1</v>
      </c>
      <c r="C7" s="75">
        <v>0</v>
      </c>
      <c r="D7" s="75">
        <v>1</v>
      </c>
      <c r="E7" s="75">
        <f>D7+1</f>
        <v>2</v>
      </c>
      <c r="F7" s="75">
        <f t="shared" ref="F7:R7" si="0">E7+1</f>
        <v>3</v>
      </c>
      <c r="G7" s="75">
        <f t="shared" si="0"/>
        <v>4</v>
      </c>
      <c r="H7" s="75">
        <f t="shared" si="0"/>
        <v>5</v>
      </c>
      <c r="I7" s="75">
        <f t="shared" si="0"/>
        <v>6</v>
      </c>
      <c r="J7" s="75">
        <f t="shared" si="0"/>
        <v>7</v>
      </c>
      <c r="K7" s="75">
        <f t="shared" si="0"/>
        <v>8</v>
      </c>
      <c r="L7" s="75">
        <f t="shared" si="0"/>
        <v>9</v>
      </c>
      <c r="M7" s="75">
        <f t="shared" si="0"/>
        <v>10</v>
      </c>
      <c r="N7" s="75">
        <f t="shared" si="0"/>
        <v>11</v>
      </c>
      <c r="O7" s="75">
        <f>N7+1</f>
        <v>12</v>
      </c>
      <c r="P7" s="75">
        <f t="shared" si="0"/>
        <v>13</v>
      </c>
      <c r="Q7" s="75">
        <f t="shared" si="0"/>
        <v>14</v>
      </c>
      <c r="R7" s="75">
        <f t="shared" si="0"/>
        <v>15</v>
      </c>
    </row>
    <row r="8" spans="1:18" ht="10.5" customHeight="1" x14ac:dyDescent="0.25">
      <c r="A8" s="72" t="s">
        <v>239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</row>
    <row r="9" spans="1:18" ht="10.5" customHeight="1" x14ac:dyDescent="0.25">
      <c r="A9" s="80" t="s">
        <v>245</v>
      </c>
      <c r="B9" s="73"/>
      <c r="C9" s="73"/>
      <c r="D9" s="73">
        <f>CashFlow!C10/10^6</f>
        <v>4056</v>
      </c>
      <c r="E9" s="73">
        <f>CashFlow!D10/10^6</f>
        <v>4455.6782400000002</v>
      </c>
      <c r="F9" s="73">
        <f>CashFlow!E10/10^6</f>
        <v>4894.7407737696003</v>
      </c>
      <c r="G9" s="73">
        <f>CashFlow!F10/10^6</f>
        <v>5377.0685296168567</v>
      </c>
      <c r="H9" s="73" t="e">
        <f>CashFlow!#REF!/10^6</f>
        <v>#REF!</v>
      </c>
      <c r="I9" s="73" t="e">
        <f>CashFlow!#REF!/10^6</f>
        <v>#REF!</v>
      </c>
      <c r="J9" s="73" t="e">
        <f>CashFlow!#REF!/10^6</f>
        <v>#REF!</v>
      </c>
      <c r="K9" s="73" t="e">
        <f>CashFlow!#REF!/10^6</f>
        <v>#REF!</v>
      </c>
      <c r="L9" s="73" t="e">
        <f>CashFlow!#REF!/10^6</f>
        <v>#REF!</v>
      </c>
      <c r="M9" s="73" t="e">
        <f>CashFlow!#REF!/10^6</f>
        <v>#REF!</v>
      </c>
      <c r="N9" s="73" t="e">
        <f>CashFlow!#REF!/10^6</f>
        <v>#REF!</v>
      </c>
      <c r="O9" s="73" t="e">
        <f>CashFlow!#REF!/10^6</f>
        <v>#REF!</v>
      </c>
      <c r="P9" s="73" t="e">
        <f>CashFlow!#REF!/10^6</f>
        <v>#REF!</v>
      </c>
      <c r="Q9" s="73" t="e">
        <f>CashFlow!#REF!/10^6</f>
        <v>#REF!</v>
      </c>
      <c r="R9" s="73" t="e">
        <f>CashFlow!#REF!/10^6</f>
        <v>#REF!</v>
      </c>
    </row>
    <row r="10" spans="1:18" ht="10.5" customHeight="1" x14ac:dyDescent="0.25">
      <c r="A10" s="155" t="s">
        <v>508</v>
      </c>
      <c r="B10" s="73"/>
      <c r="C10" s="73"/>
      <c r="D10" s="73" t="e">
        <f>CashFlow!#REF!/10^6</f>
        <v>#REF!</v>
      </c>
      <c r="E10" s="73" t="e">
        <f>CashFlow!#REF!/10^6</f>
        <v>#REF!</v>
      </c>
      <c r="F10" s="73" t="e">
        <f>CashFlow!#REF!/10^6</f>
        <v>#REF!</v>
      </c>
      <c r="G10" s="73" t="e">
        <f>CashFlow!#REF!/10^6</f>
        <v>#REF!</v>
      </c>
      <c r="H10" s="73" t="e">
        <f>CashFlow!#REF!/10^6</f>
        <v>#REF!</v>
      </c>
      <c r="I10" s="73" t="e">
        <f>CashFlow!#REF!/10^6</f>
        <v>#REF!</v>
      </c>
      <c r="J10" s="73" t="e">
        <f>CashFlow!#REF!/10^6</f>
        <v>#REF!</v>
      </c>
      <c r="K10" s="73" t="e">
        <f>CashFlow!#REF!/10^6</f>
        <v>#REF!</v>
      </c>
      <c r="L10" s="73" t="e">
        <f>CashFlow!#REF!/10^6</f>
        <v>#REF!</v>
      </c>
      <c r="M10" s="73" t="e">
        <f>CashFlow!#REF!/10^6</f>
        <v>#REF!</v>
      </c>
      <c r="N10" s="73" t="e">
        <f>CashFlow!#REF!/10^6</f>
        <v>#REF!</v>
      </c>
      <c r="O10" s="73" t="e">
        <f>CashFlow!#REF!/10^6</f>
        <v>#REF!</v>
      </c>
      <c r="P10" s="73" t="e">
        <f>CashFlow!#REF!/10^6</f>
        <v>#REF!</v>
      </c>
      <c r="Q10" s="73" t="e">
        <f>CashFlow!#REF!/10^6</f>
        <v>#REF!</v>
      </c>
      <c r="R10" s="73" t="e">
        <f>CashFlow!#REF!/10^6</f>
        <v>#REF!</v>
      </c>
    </row>
    <row r="11" spans="1:18" ht="10.5" customHeight="1" x14ac:dyDescent="0.25">
      <c r="A11" s="80" t="s">
        <v>246</v>
      </c>
      <c r="B11" s="73"/>
      <c r="C11" s="73"/>
      <c r="D11" s="73">
        <f>CashFlow!C12/10^6</f>
        <v>2659.8976048640002</v>
      </c>
      <c r="E11" s="73" t="e">
        <f>CashFlow!#REF!/10^6</f>
        <v>#REF!</v>
      </c>
      <c r="F11" s="73" t="e">
        <f>CashFlow!#REF!/10^6</f>
        <v>#REF!</v>
      </c>
      <c r="G11" s="73" t="e">
        <f>CashFlow!#REF!/10^6</f>
        <v>#REF!</v>
      </c>
      <c r="H11" s="73" t="e">
        <f>CashFlow!#REF!/10^6</f>
        <v>#REF!</v>
      </c>
      <c r="I11" s="73" t="e">
        <f>CashFlow!#REF!/10^6</f>
        <v>#REF!</v>
      </c>
      <c r="J11" s="73" t="e">
        <f>CashFlow!#REF!/10^6</f>
        <v>#REF!</v>
      </c>
      <c r="K11" s="73" t="e">
        <f>CashFlow!#REF!/10^6</f>
        <v>#REF!</v>
      </c>
      <c r="L11" s="73" t="e">
        <f>CashFlow!#REF!/10^6</f>
        <v>#REF!</v>
      </c>
      <c r="M11" s="73" t="e">
        <f>CashFlow!#REF!/10^6</f>
        <v>#REF!</v>
      </c>
      <c r="N11" s="73" t="e">
        <f>CashFlow!#REF!/10^6</f>
        <v>#REF!</v>
      </c>
      <c r="O11" s="73" t="e">
        <f>CashFlow!#REF!/10^6</f>
        <v>#REF!</v>
      </c>
      <c r="P11" s="73" t="e">
        <f>CashFlow!#REF!/10^6</f>
        <v>#REF!</v>
      </c>
      <c r="Q11" s="73" t="e">
        <f>CashFlow!#REF!/10^6</f>
        <v>#REF!</v>
      </c>
      <c r="R11" s="73" t="e">
        <f>CashFlow!#REF!/10^6</f>
        <v>#REF!</v>
      </c>
    </row>
    <row r="12" spans="1:18" ht="10.5" customHeight="1" x14ac:dyDescent="0.25">
      <c r="A12" s="81" t="s">
        <v>369</v>
      </c>
      <c r="B12" s="73"/>
      <c r="C12" s="73"/>
      <c r="D12" s="73" t="e">
        <f>CashFlow!#REF!/10^6</f>
        <v>#REF!</v>
      </c>
      <c r="E12" s="73" t="e">
        <f>CashFlow!#REF!/10^6</f>
        <v>#REF!</v>
      </c>
      <c r="F12" s="73" t="e">
        <f>CashFlow!#REF!/10^6</f>
        <v>#REF!</v>
      </c>
      <c r="G12" s="73" t="e">
        <f>CashFlow!#REF!/10^6</f>
        <v>#REF!</v>
      </c>
      <c r="H12" s="73" t="e">
        <f>CashFlow!#REF!/10^6</f>
        <v>#REF!</v>
      </c>
      <c r="I12" s="73" t="e">
        <f>CashFlow!#REF!/10^6</f>
        <v>#REF!</v>
      </c>
      <c r="J12" s="73" t="e">
        <f>CashFlow!#REF!/10^6</f>
        <v>#REF!</v>
      </c>
      <c r="K12" s="73" t="e">
        <f>CashFlow!#REF!/10^6</f>
        <v>#REF!</v>
      </c>
      <c r="L12" s="73" t="e">
        <f>CashFlow!#REF!/10^6</f>
        <v>#REF!</v>
      </c>
      <c r="M12" s="73" t="e">
        <f>CashFlow!#REF!/10^6</f>
        <v>#REF!</v>
      </c>
      <c r="N12" s="73" t="e">
        <f>CashFlow!#REF!/10^6</f>
        <v>#REF!</v>
      </c>
      <c r="O12" s="73" t="e">
        <f>CashFlow!#REF!/10^6</f>
        <v>#REF!</v>
      </c>
      <c r="P12" s="73" t="e">
        <f>CashFlow!#REF!/10^6</f>
        <v>#REF!</v>
      </c>
      <c r="Q12" s="73" t="e">
        <f>CashFlow!#REF!/10^6</f>
        <v>#REF!</v>
      </c>
      <c r="R12" s="73" t="e">
        <f>CashFlow!#REF!/10^6</f>
        <v>#REF!</v>
      </c>
    </row>
    <row r="13" spans="1:18" ht="10.5" customHeight="1" x14ac:dyDescent="0.25">
      <c r="A13" s="81" t="s">
        <v>370</v>
      </c>
      <c r="B13" s="73"/>
      <c r="C13" s="73"/>
      <c r="D13" s="73" t="e">
        <f>CashFlow!#REF!/10^6</f>
        <v>#REF!</v>
      </c>
      <c r="E13" s="73" t="e">
        <f>CashFlow!#REF!/10^6</f>
        <v>#REF!</v>
      </c>
      <c r="F13" s="73" t="e">
        <f>CashFlow!#REF!/10^6</f>
        <v>#REF!</v>
      </c>
      <c r="G13" s="73" t="e">
        <f>CashFlow!#REF!/10^6</f>
        <v>#REF!</v>
      </c>
      <c r="H13" s="73" t="e">
        <f>CashFlow!#REF!/10^6</f>
        <v>#REF!</v>
      </c>
      <c r="I13" s="73" t="e">
        <f>CashFlow!#REF!/10^6</f>
        <v>#REF!</v>
      </c>
      <c r="J13" s="73" t="e">
        <f>CashFlow!#REF!/10^6</f>
        <v>#REF!</v>
      </c>
      <c r="K13" s="73" t="e">
        <f>CashFlow!#REF!/10^6</f>
        <v>#REF!</v>
      </c>
      <c r="L13" s="73" t="e">
        <f>CashFlow!#REF!/10^6</f>
        <v>#REF!</v>
      </c>
      <c r="M13" s="73" t="e">
        <f>CashFlow!#REF!/10^6</f>
        <v>#REF!</v>
      </c>
      <c r="N13" s="73" t="e">
        <f>CashFlow!#REF!/10^6</f>
        <v>#REF!</v>
      </c>
      <c r="O13" s="73" t="e">
        <f>CashFlow!#REF!/10^6</f>
        <v>#REF!</v>
      </c>
      <c r="P13" s="73" t="e">
        <f>CashFlow!#REF!/10^6</f>
        <v>#REF!</v>
      </c>
      <c r="Q13" s="73" t="e">
        <f>CashFlow!#REF!/10^6</f>
        <v>#REF!</v>
      </c>
      <c r="R13" s="73" t="e">
        <f>CashFlow!#REF!/10^6</f>
        <v>#REF!</v>
      </c>
    </row>
    <row r="14" spans="1:18" ht="10.5" customHeight="1" x14ac:dyDescent="0.25">
      <c r="A14" s="81" t="s">
        <v>247</v>
      </c>
      <c r="B14" s="73"/>
      <c r="C14" s="73"/>
      <c r="D14" s="92">
        <f>CashFlow!C14/10^6</f>
        <v>77.495263464959962</v>
      </c>
      <c r="E14" s="92">
        <f>CashFlow!D14/10^6</f>
        <v>114.39457513425921</v>
      </c>
      <c r="F14" s="92">
        <f>CashFlow!E14/10^6</f>
        <v>310.96970644720074</v>
      </c>
      <c r="G14" s="92">
        <f>CashFlow!F14/10^6</f>
        <v>402.380347457955</v>
      </c>
      <c r="H14" s="92">
        <f>CashFlow!G14/10^6</f>
        <v>503.95324611665779</v>
      </c>
      <c r="I14" s="92">
        <f>CashFlow!H14/10^6</f>
        <v>616.71288435359315</v>
      </c>
      <c r="J14" s="92">
        <f>CashFlow!I14/10^6</f>
        <v>741.78515840968782</v>
      </c>
      <c r="K14" s="92">
        <f>CashFlow!J14/10^6</f>
        <v>757.23686157788143</v>
      </c>
      <c r="L14" s="92">
        <f>CashFlow!K14/10^6</f>
        <v>772.99759880943884</v>
      </c>
      <c r="M14" s="92">
        <f>CashFlow!L14/10^6</f>
        <v>789.07355078562807</v>
      </c>
      <c r="N14" s="92" t="e">
        <f>CashFlow!#REF!/10^6</f>
        <v>#REF!</v>
      </c>
      <c r="O14" s="92" t="e">
        <f>CashFlow!#REF!/10^6</f>
        <v>#REF!</v>
      </c>
      <c r="P14" s="92" t="e">
        <f>CashFlow!#REF!/10^6</f>
        <v>#REF!</v>
      </c>
      <c r="Q14" s="92" t="e">
        <f>CashFlow!#REF!/10^6</f>
        <v>#REF!</v>
      </c>
      <c r="R14" s="92" t="e">
        <f>CashFlow!#REF!/10^6</f>
        <v>#REF!</v>
      </c>
    </row>
    <row r="15" spans="1:18" ht="10.5" customHeight="1" x14ac:dyDescent="0.25">
      <c r="A15" s="78" t="s">
        <v>238</v>
      </c>
      <c r="D15" s="73" t="e">
        <f>SUM(D9:D14)</f>
        <v>#REF!</v>
      </c>
      <c r="E15" s="73" t="e">
        <f t="shared" ref="E15:R15" si="1">SUM(E9:E14)</f>
        <v>#REF!</v>
      </c>
      <c r="F15" s="73" t="e">
        <f t="shared" si="1"/>
        <v>#REF!</v>
      </c>
      <c r="G15" s="73" t="e">
        <f t="shared" si="1"/>
        <v>#REF!</v>
      </c>
      <c r="H15" s="73" t="e">
        <f t="shared" si="1"/>
        <v>#REF!</v>
      </c>
      <c r="I15" s="73" t="e">
        <f t="shared" si="1"/>
        <v>#REF!</v>
      </c>
      <c r="J15" s="73" t="e">
        <f t="shared" si="1"/>
        <v>#REF!</v>
      </c>
      <c r="K15" s="73" t="e">
        <f t="shared" si="1"/>
        <v>#REF!</v>
      </c>
      <c r="L15" s="73" t="e">
        <f t="shared" si="1"/>
        <v>#REF!</v>
      </c>
      <c r="M15" s="73" t="e">
        <f t="shared" si="1"/>
        <v>#REF!</v>
      </c>
      <c r="N15" s="73" t="e">
        <f t="shared" si="1"/>
        <v>#REF!</v>
      </c>
      <c r="O15" s="73" t="e">
        <f t="shared" si="1"/>
        <v>#REF!</v>
      </c>
      <c r="P15" s="73" t="e">
        <f t="shared" si="1"/>
        <v>#REF!</v>
      </c>
      <c r="Q15" s="73" t="e">
        <f t="shared" si="1"/>
        <v>#REF!</v>
      </c>
      <c r="R15" s="73" t="e">
        <f t="shared" si="1"/>
        <v>#REF!</v>
      </c>
    </row>
    <row r="16" spans="1:18" ht="10.5" customHeight="1" x14ac:dyDescent="0.2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</row>
    <row r="17" spans="1:18" ht="10.5" customHeight="1" x14ac:dyDescent="0.25">
      <c r="A17" s="72" t="s">
        <v>240</v>
      </c>
    </row>
    <row r="18" spans="1:18" ht="10.5" customHeight="1" x14ac:dyDescent="0.25">
      <c r="A18" s="72" t="s">
        <v>249</v>
      </c>
      <c r="B18" s="73" t="e">
        <f>CashFlow!#REF!/10^6</f>
        <v>#REF!</v>
      </c>
      <c r="C18" s="73">
        <f>CashFlow!B18/10^6</f>
        <v>600</v>
      </c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</row>
    <row r="19" spans="1:18" ht="10.5" customHeight="1" x14ac:dyDescent="0.25">
      <c r="A19" s="72" t="s">
        <v>263</v>
      </c>
      <c r="B19" s="92" t="e">
        <f>CashFlow!#REF!/10^6</f>
        <v>#REF!</v>
      </c>
      <c r="C19" s="92">
        <f>CashFlow!B19/10^6</f>
        <v>350</v>
      </c>
      <c r="D19" s="92">
        <f>CashFlow!C19/1000</f>
        <v>0</v>
      </c>
      <c r="E19" s="92">
        <f>CashFlow!D19/1000</f>
        <v>0</v>
      </c>
      <c r="F19" s="92">
        <f>CashFlow!E19/1000</f>
        <v>0</v>
      </c>
      <c r="G19" s="92">
        <f>CashFlow!F19/1000</f>
        <v>0</v>
      </c>
      <c r="H19" s="92"/>
      <c r="I19" s="92"/>
      <c r="J19" s="92"/>
      <c r="K19" s="92"/>
      <c r="L19" s="93"/>
      <c r="M19" s="93"/>
      <c r="N19" s="93"/>
      <c r="O19" s="93"/>
      <c r="P19" s="93"/>
      <c r="Q19" s="93"/>
      <c r="R19" s="93"/>
    </row>
    <row r="20" spans="1:18" ht="10.5" customHeight="1" x14ac:dyDescent="0.25">
      <c r="B20" s="73" t="e">
        <f t="shared" ref="B20:G20" si="2">SUM(B18:B19)</f>
        <v>#REF!</v>
      </c>
      <c r="C20" s="73">
        <f t="shared" si="2"/>
        <v>950</v>
      </c>
      <c r="D20" s="73">
        <f t="shared" si="2"/>
        <v>0</v>
      </c>
      <c r="E20" s="73">
        <f t="shared" si="2"/>
        <v>0</v>
      </c>
      <c r="F20" s="73">
        <f t="shared" si="2"/>
        <v>0</v>
      </c>
      <c r="G20" s="73">
        <f t="shared" si="2"/>
        <v>0</v>
      </c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</row>
    <row r="21" spans="1:18" ht="10.5" customHeight="1" x14ac:dyDescent="0.25"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</row>
    <row r="22" spans="1:18" ht="10.5" customHeight="1" x14ac:dyDescent="0.25">
      <c r="A22" s="72" t="s">
        <v>241</v>
      </c>
    </row>
    <row r="23" spans="1:18" ht="10.5" customHeight="1" x14ac:dyDescent="0.25">
      <c r="A23" s="83" t="s">
        <v>242</v>
      </c>
      <c r="B23" s="73" t="e">
        <f>CashFlow!#REF!/10^6</f>
        <v>#REF!</v>
      </c>
      <c r="C23" s="73">
        <f>CashFlow!B23/10^6</f>
        <v>-600</v>
      </c>
      <c r="D23" s="73">
        <f>CashFlow!C23/10^6</f>
        <v>0</v>
      </c>
      <c r="E23" s="73">
        <f>CashFlow!D23/10^6</f>
        <v>0</v>
      </c>
      <c r="F23" s="73">
        <f>CashFlow!E23/10^6</f>
        <v>0</v>
      </c>
      <c r="G23" s="73">
        <f>CashFlow!F23/10^6</f>
        <v>0</v>
      </c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</row>
    <row r="24" spans="1:18" ht="10.5" customHeight="1" x14ac:dyDescent="0.25">
      <c r="A24" s="72" t="s">
        <v>234</v>
      </c>
      <c r="B24" s="73" t="e">
        <f>CashFlow!#REF!/10^6</f>
        <v>#REF!</v>
      </c>
      <c r="C24" s="73" t="e">
        <f>CashFlow!#REF!/10^6</f>
        <v>#REF!</v>
      </c>
      <c r="D24" s="73" t="e">
        <f>CashFlow!#REF!/10^6</f>
        <v>#REF!</v>
      </c>
      <c r="E24" s="73" t="e">
        <f>CashFlow!#REF!/10^6</f>
        <v>#REF!</v>
      </c>
      <c r="F24" s="73" t="e">
        <f>CashFlow!#REF!/10^6</f>
        <v>#REF!</v>
      </c>
      <c r="G24" s="73" t="e">
        <f>CashFlow!#REF!/10^6</f>
        <v>#REF!</v>
      </c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</row>
    <row r="25" spans="1:18" ht="10.5" customHeight="1" x14ac:dyDescent="0.25">
      <c r="A25" s="83" t="s">
        <v>244</v>
      </c>
      <c r="B25" s="73"/>
      <c r="C25" s="73"/>
      <c r="D25" s="73" t="e">
        <f>CashFlow!#REF!/10^6</f>
        <v>#REF!</v>
      </c>
      <c r="E25" s="73" t="e">
        <f>CashFlow!#REF!/10^6</f>
        <v>#REF!</v>
      </c>
      <c r="F25" s="73" t="e">
        <f>CashFlow!#REF!/10^6</f>
        <v>#REF!</v>
      </c>
      <c r="G25" s="73" t="e">
        <f>CashFlow!#REF!/10^6</f>
        <v>#REF!</v>
      </c>
      <c r="H25" s="73" t="e">
        <f>CashFlow!#REF!/10^6</f>
        <v>#REF!</v>
      </c>
      <c r="I25" s="73" t="e">
        <f>CashFlow!#REF!/10^6</f>
        <v>#REF!</v>
      </c>
      <c r="J25" s="73" t="e">
        <f>CashFlow!#REF!/10^6</f>
        <v>#REF!</v>
      </c>
      <c r="K25" s="73" t="e">
        <f>CashFlow!#REF!/10^6</f>
        <v>#REF!</v>
      </c>
      <c r="L25" s="73" t="e">
        <f>CashFlow!#REF!/10^6</f>
        <v>#REF!</v>
      </c>
      <c r="M25" s="73" t="e">
        <f>CashFlow!#REF!/10^6</f>
        <v>#REF!</v>
      </c>
      <c r="N25" s="73" t="e">
        <f>CashFlow!#REF!/10^6</f>
        <v>#REF!</v>
      </c>
      <c r="O25" s="73" t="e">
        <f>CashFlow!#REF!/10^6</f>
        <v>#REF!</v>
      </c>
      <c r="P25" s="73" t="e">
        <f>CashFlow!#REF!/10^6</f>
        <v>#REF!</v>
      </c>
      <c r="Q25" s="73" t="e">
        <f>CashFlow!#REF!/10^6</f>
        <v>#REF!</v>
      </c>
      <c r="R25" s="73" t="e">
        <f>CashFlow!#REF!/10^6</f>
        <v>#REF!</v>
      </c>
    </row>
    <row r="26" spans="1:18" ht="10.5" customHeight="1" x14ac:dyDescent="0.25">
      <c r="A26" s="83" t="s">
        <v>243</v>
      </c>
      <c r="B26" s="92"/>
      <c r="C26" s="92"/>
      <c r="D26" s="92" t="e">
        <f>CashFlow!#REF!/10^6</f>
        <v>#REF!</v>
      </c>
      <c r="E26" s="92" t="e">
        <f>CashFlow!#REF!/10^6</f>
        <v>#REF!</v>
      </c>
      <c r="F26" s="92" t="e">
        <f>CashFlow!#REF!/10^6</f>
        <v>#REF!</v>
      </c>
      <c r="G26" s="92" t="e">
        <f>CashFlow!#REF!/10^6</f>
        <v>#REF!</v>
      </c>
      <c r="H26" s="92" t="e">
        <f>CashFlow!#REF!/10^6</f>
        <v>#REF!</v>
      </c>
      <c r="I26" s="92" t="e">
        <f>CashFlow!#REF!/10^6</f>
        <v>#REF!</v>
      </c>
      <c r="J26" s="92" t="e">
        <f>CashFlow!#REF!/10^6</f>
        <v>#REF!</v>
      </c>
      <c r="K26" s="92" t="e">
        <f>CashFlow!#REF!/10^6</f>
        <v>#REF!</v>
      </c>
      <c r="L26" s="92" t="e">
        <f>CashFlow!#REF!/10^6</f>
        <v>#REF!</v>
      </c>
      <c r="M26" s="92" t="e">
        <f>CashFlow!#REF!/10^6</f>
        <v>#REF!</v>
      </c>
      <c r="N26" s="92" t="e">
        <f>CashFlow!#REF!/10^6</f>
        <v>#REF!</v>
      </c>
      <c r="O26" s="92" t="e">
        <f>CashFlow!#REF!/10^6</f>
        <v>#REF!</v>
      </c>
      <c r="P26" s="92" t="e">
        <f>CashFlow!#REF!/10^6</f>
        <v>#REF!</v>
      </c>
      <c r="Q26" s="92" t="e">
        <f>CashFlow!#REF!/10^6</f>
        <v>#REF!</v>
      </c>
      <c r="R26" s="92" t="e">
        <f>CashFlow!#REF!/10^6</f>
        <v>#REF!</v>
      </c>
    </row>
    <row r="27" spans="1:18" ht="10.5" customHeight="1" x14ac:dyDescent="0.25">
      <c r="B27" s="73" t="e">
        <f>SUM(B23:B26)</f>
        <v>#REF!</v>
      </c>
      <c r="C27" s="73" t="e">
        <f>SUM(C23:C26)</f>
        <v>#REF!</v>
      </c>
      <c r="D27" s="73" t="e">
        <f>SUM(D23:D26)</f>
        <v>#REF!</v>
      </c>
      <c r="E27" s="73" t="e">
        <f t="shared" ref="E27:O27" si="3">SUM(E23:E26)</f>
        <v>#REF!</v>
      </c>
      <c r="F27" s="73" t="e">
        <f t="shared" si="3"/>
        <v>#REF!</v>
      </c>
      <c r="G27" s="73" t="e">
        <f t="shared" si="3"/>
        <v>#REF!</v>
      </c>
      <c r="H27" s="73" t="e">
        <f t="shared" si="3"/>
        <v>#REF!</v>
      </c>
      <c r="I27" s="73" t="e">
        <f t="shared" si="3"/>
        <v>#REF!</v>
      </c>
      <c r="J27" s="73" t="e">
        <f t="shared" si="3"/>
        <v>#REF!</v>
      </c>
      <c r="K27" s="73" t="e">
        <f t="shared" si="3"/>
        <v>#REF!</v>
      </c>
      <c r="L27" s="73" t="e">
        <f t="shared" si="3"/>
        <v>#REF!</v>
      </c>
      <c r="M27" s="73" t="e">
        <f t="shared" si="3"/>
        <v>#REF!</v>
      </c>
      <c r="N27" s="73" t="e">
        <f t="shared" si="3"/>
        <v>#REF!</v>
      </c>
      <c r="O27" s="73" t="e">
        <f t="shared" si="3"/>
        <v>#REF!</v>
      </c>
      <c r="P27" s="73" t="e">
        <f>SUM(P23:P26)</f>
        <v>#REF!</v>
      </c>
      <c r="Q27" s="73"/>
      <c r="R27" s="73"/>
    </row>
    <row r="28" spans="1:18" ht="10.5" customHeight="1" x14ac:dyDescent="0.25"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</row>
    <row r="29" spans="1:18" ht="10.5" customHeight="1" x14ac:dyDescent="0.25">
      <c r="A29" s="72" t="s">
        <v>248</v>
      </c>
      <c r="B29" s="73" t="e">
        <f>B14+B20+B27</f>
        <v>#REF!</v>
      </c>
      <c r="C29" s="73" t="e">
        <f>C14+C20+C27</f>
        <v>#REF!</v>
      </c>
      <c r="D29" s="73" t="e">
        <f>D15+D20+D27</f>
        <v>#REF!</v>
      </c>
      <c r="E29" s="73" t="e">
        <f t="shared" ref="E29:R29" si="4">E15+E20+E27</f>
        <v>#REF!</v>
      </c>
      <c r="F29" s="73" t="e">
        <f t="shared" si="4"/>
        <v>#REF!</v>
      </c>
      <c r="G29" s="73" t="e">
        <f t="shared" si="4"/>
        <v>#REF!</v>
      </c>
      <c r="H29" s="73" t="e">
        <f t="shared" si="4"/>
        <v>#REF!</v>
      </c>
      <c r="I29" s="73" t="e">
        <f t="shared" si="4"/>
        <v>#REF!</v>
      </c>
      <c r="J29" s="73" t="e">
        <f t="shared" si="4"/>
        <v>#REF!</v>
      </c>
      <c r="K29" s="73" t="e">
        <f t="shared" si="4"/>
        <v>#REF!</v>
      </c>
      <c r="L29" s="73" t="e">
        <f t="shared" si="4"/>
        <v>#REF!</v>
      </c>
      <c r="M29" s="73" t="e">
        <f t="shared" si="4"/>
        <v>#REF!</v>
      </c>
      <c r="N29" s="73" t="e">
        <f t="shared" si="4"/>
        <v>#REF!</v>
      </c>
      <c r="O29" s="73" t="e">
        <f t="shared" si="4"/>
        <v>#REF!</v>
      </c>
      <c r="P29" s="73" t="e">
        <f t="shared" si="4"/>
        <v>#REF!</v>
      </c>
      <c r="Q29" s="73" t="e">
        <f t="shared" si="4"/>
        <v>#REF!</v>
      </c>
      <c r="R29" s="73" t="e">
        <f t="shared" si="4"/>
        <v>#REF!</v>
      </c>
    </row>
    <row r="30" spans="1:18" ht="10.5" customHeight="1" x14ac:dyDescent="0.25">
      <c r="A30" s="72" t="s">
        <v>235</v>
      </c>
      <c r="B30" s="73">
        <v>0</v>
      </c>
      <c r="C30" s="73" t="e">
        <f t="shared" ref="C30:R30" si="5">B31</f>
        <v>#REF!</v>
      </c>
      <c r="D30" s="73" t="e">
        <f t="shared" si="5"/>
        <v>#REF!</v>
      </c>
      <c r="E30" s="73" t="e">
        <f t="shared" si="5"/>
        <v>#REF!</v>
      </c>
      <c r="F30" s="73" t="e">
        <f t="shared" si="5"/>
        <v>#REF!</v>
      </c>
      <c r="G30" s="73" t="e">
        <f t="shared" si="5"/>
        <v>#REF!</v>
      </c>
      <c r="H30" s="73" t="e">
        <f t="shared" si="5"/>
        <v>#REF!</v>
      </c>
      <c r="I30" s="73" t="e">
        <f t="shared" si="5"/>
        <v>#REF!</v>
      </c>
      <c r="J30" s="73" t="e">
        <f t="shared" si="5"/>
        <v>#REF!</v>
      </c>
      <c r="K30" s="73" t="e">
        <f t="shared" si="5"/>
        <v>#REF!</v>
      </c>
      <c r="L30" s="73" t="e">
        <f t="shared" si="5"/>
        <v>#REF!</v>
      </c>
      <c r="M30" s="73" t="e">
        <f t="shared" si="5"/>
        <v>#REF!</v>
      </c>
      <c r="N30" s="73" t="e">
        <f t="shared" si="5"/>
        <v>#REF!</v>
      </c>
      <c r="O30" s="73" t="e">
        <f t="shared" si="5"/>
        <v>#REF!</v>
      </c>
      <c r="P30" s="73" t="e">
        <f t="shared" si="5"/>
        <v>#REF!</v>
      </c>
      <c r="Q30" s="73" t="e">
        <f t="shared" si="5"/>
        <v>#REF!</v>
      </c>
      <c r="R30" s="73" t="e">
        <f t="shared" si="5"/>
        <v>#REF!</v>
      </c>
    </row>
    <row r="31" spans="1:18" ht="10.5" customHeight="1" x14ac:dyDescent="0.25">
      <c r="A31" s="72" t="s">
        <v>236</v>
      </c>
      <c r="B31" s="73" t="e">
        <f>B30+B29</f>
        <v>#REF!</v>
      </c>
      <c r="C31" s="73" t="e">
        <f>C30+C29</f>
        <v>#REF!</v>
      </c>
      <c r="D31" s="73" t="e">
        <f>D30+D29</f>
        <v>#REF!</v>
      </c>
      <c r="E31" s="73" t="e">
        <f t="shared" ref="E31:P31" si="6">E30+E29</f>
        <v>#REF!</v>
      </c>
      <c r="F31" s="73" t="e">
        <f t="shared" si="6"/>
        <v>#REF!</v>
      </c>
      <c r="G31" s="73" t="e">
        <f t="shared" si="6"/>
        <v>#REF!</v>
      </c>
      <c r="H31" s="73" t="e">
        <f t="shared" si="6"/>
        <v>#REF!</v>
      </c>
      <c r="I31" s="73" t="e">
        <f t="shared" si="6"/>
        <v>#REF!</v>
      </c>
      <c r="J31" s="73" t="e">
        <f t="shared" si="6"/>
        <v>#REF!</v>
      </c>
      <c r="K31" s="73" t="e">
        <f t="shared" si="6"/>
        <v>#REF!</v>
      </c>
      <c r="L31" s="73" t="e">
        <f t="shared" si="6"/>
        <v>#REF!</v>
      </c>
      <c r="M31" s="73" t="e">
        <f t="shared" si="6"/>
        <v>#REF!</v>
      </c>
      <c r="N31" s="73" t="e">
        <f t="shared" si="6"/>
        <v>#REF!</v>
      </c>
      <c r="O31" s="73" t="e">
        <f t="shared" si="6"/>
        <v>#REF!</v>
      </c>
      <c r="P31" s="73" t="e">
        <f t="shared" si="6"/>
        <v>#REF!</v>
      </c>
      <c r="Q31" s="73" t="e">
        <f>Q30+Q29</f>
        <v>#REF!</v>
      </c>
      <c r="R31" s="73" t="e">
        <f>R30+R29</f>
        <v>#REF!</v>
      </c>
    </row>
    <row r="32" spans="1:18" ht="10.5" customHeight="1" x14ac:dyDescent="0.25">
      <c r="B32" s="82"/>
      <c r="C32" s="82"/>
      <c r="D32" s="84"/>
      <c r="E32" s="82"/>
      <c r="F32" s="82"/>
      <c r="G32" s="84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65"/>
  <sheetViews>
    <sheetView showGridLines="0" workbookViewId="0">
      <selection activeCell="V32" sqref="V32"/>
    </sheetView>
  </sheetViews>
  <sheetFormatPr defaultColWidth="9" defaultRowHeight="10.5" x14ac:dyDescent="0.15"/>
  <cols>
    <col min="1" max="1" width="3.875" style="24" customWidth="1"/>
    <col min="2" max="2" width="5" style="24" customWidth="1"/>
    <col min="3" max="3" width="19" style="24" bestFit="1" customWidth="1"/>
    <col min="4" max="7" width="9" style="24"/>
    <col min="8" max="9" width="5.625" style="24" customWidth="1"/>
    <col min="10" max="11" width="23.25" style="24" customWidth="1"/>
    <col min="12" max="16384" width="9" style="24"/>
  </cols>
  <sheetData>
    <row r="1" spans="1:13" ht="14.25" x14ac:dyDescent="0.25">
      <c r="A1" s="23" t="s">
        <v>86</v>
      </c>
    </row>
    <row r="2" spans="1:13" ht="14.25" x14ac:dyDescent="0.25">
      <c r="A2" s="23" t="s">
        <v>140</v>
      </c>
    </row>
    <row r="3" spans="1:13" ht="14.25" x14ac:dyDescent="0.25">
      <c r="A3" s="23" t="s">
        <v>59</v>
      </c>
      <c r="C3" s="24" t="s">
        <v>145</v>
      </c>
    </row>
    <row r="4" spans="1:13" x14ac:dyDescent="0.15">
      <c r="C4" s="24" t="s">
        <v>146</v>
      </c>
    </row>
    <row r="7" spans="1:13" x14ac:dyDescent="0.15">
      <c r="A7" s="22" t="s">
        <v>135</v>
      </c>
      <c r="H7" s="22" t="s">
        <v>87</v>
      </c>
    </row>
    <row r="8" spans="1:13" x14ac:dyDescent="0.15">
      <c r="B8" s="24" t="s">
        <v>120</v>
      </c>
      <c r="D8" s="26" t="s">
        <v>127</v>
      </c>
      <c r="I8" s="24" t="s">
        <v>88</v>
      </c>
      <c r="M8" s="26" t="s">
        <v>127</v>
      </c>
    </row>
    <row r="9" spans="1:13" x14ac:dyDescent="0.15">
      <c r="B9" s="24" t="s">
        <v>121</v>
      </c>
      <c r="D9" s="27" t="s">
        <v>127</v>
      </c>
      <c r="I9" s="24" t="s">
        <v>89</v>
      </c>
      <c r="M9" s="26" t="s">
        <v>127</v>
      </c>
    </row>
    <row r="10" spans="1:13" x14ac:dyDescent="0.15">
      <c r="B10" s="24" t="s">
        <v>136</v>
      </c>
      <c r="D10" s="27" t="s">
        <v>127</v>
      </c>
      <c r="I10" s="24" t="s">
        <v>90</v>
      </c>
      <c r="M10" s="26" t="s">
        <v>127</v>
      </c>
    </row>
    <row r="11" spans="1:13" x14ac:dyDescent="0.15">
      <c r="D11" s="25"/>
      <c r="E11" s="25" t="s">
        <v>127</v>
      </c>
      <c r="I11" s="24" t="s">
        <v>91</v>
      </c>
    </row>
    <row r="12" spans="1:13" x14ac:dyDescent="0.15">
      <c r="A12" s="22" t="s">
        <v>137</v>
      </c>
      <c r="D12" s="25"/>
      <c r="J12" s="24" t="s">
        <v>76</v>
      </c>
      <c r="L12" s="26" t="s">
        <v>127</v>
      </c>
    </row>
    <row r="13" spans="1:13" x14ac:dyDescent="0.15">
      <c r="B13" s="24" t="s">
        <v>138</v>
      </c>
      <c r="D13" s="26" t="s">
        <v>127</v>
      </c>
      <c r="J13" s="24" t="s">
        <v>92</v>
      </c>
      <c r="L13" s="26" t="s">
        <v>127</v>
      </c>
    </row>
    <row r="14" spans="1:13" x14ac:dyDescent="0.15">
      <c r="B14" s="24" t="s">
        <v>139</v>
      </c>
      <c r="D14" s="27" t="s">
        <v>127</v>
      </c>
      <c r="J14" s="24" t="s">
        <v>93</v>
      </c>
      <c r="L14" s="26" t="s">
        <v>127</v>
      </c>
    </row>
    <row r="15" spans="1:13" x14ac:dyDescent="0.15">
      <c r="E15" s="26" t="s">
        <v>127</v>
      </c>
      <c r="J15" s="24" t="s">
        <v>94</v>
      </c>
      <c r="L15" s="26" t="s">
        <v>127</v>
      </c>
    </row>
    <row r="16" spans="1:13" x14ac:dyDescent="0.15">
      <c r="J16" s="24" t="s">
        <v>95</v>
      </c>
      <c r="L16" s="26" t="s">
        <v>127</v>
      </c>
    </row>
    <row r="17" spans="1:14" x14ac:dyDescent="0.15">
      <c r="A17" s="22" t="s">
        <v>141</v>
      </c>
      <c r="E17" s="28" t="s">
        <v>127</v>
      </c>
      <c r="J17" s="24" t="s">
        <v>96</v>
      </c>
      <c r="L17" s="26" t="s">
        <v>127</v>
      </c>
    </row>
    <row r="18" spans="1:14" x14ac:dyDescent="0.15">
      <c r="J18" s="24" t="s">
        <v>97</v>
      </c>
      <c r="L18" s="26" t="s">
        <v>127</v>
      </c>
    </row>
    <row r="19" spans="1:14" x14ac:dyDescent="0.15">
      <c r="L19" s="25"/>
      <c r="M19" s="26" t="s">
        <v>127</v>
      </c>
    </row>
    <row r="20" spans="1:14" x14ac:dyDescent="0.15">
      <c r="I20" s="24" t="s">
        <v>98</v>
      </c>
      <c r="M20" s="26" t="s">
        <v>127</v>
      </c>
    </row>
    <row r="21" spans="1:14" x14ac:dyDescent="0.15">
      <c r="I21" s="24" t="s">
        <v>99</v>
      </c>
      <c r="M21" s="26" t="s">
        <v>127</v>
      </c>
    </row>
    <row r="22" spans="1:14" x14ac:dyDescent="0.15">
      <c r="I22" s="24" t="s">
        <v>100</v>
      </c>
      <c r="M22" s="26" t="s">
        <v>127</v>
      </c>
    </row>
    <row r="23" spans="1:14" x14ac:dyDescent="0.15">
      <c r="I23" s="24" t="s">
        <v>101</v>
      </c>
      <c r="M23" s="26" t="s">
        <v>127</v>
      </c>
    </row>
    <row r="24" spans="1:14" x14ac:dyDescent="0.15">
      <c r="I24" s="24" t="s">
        <v>102</v>
      </c>
      <c r="M24" s="26" t="s">
        <v>127</v>
      </c>
    </row>
    <row r="25" spans="1:14" x14ac:dyDescent="0.15">
      <c r="N25" s="26" t="s">
        <v>127</v>
      </c>
    </row>
    <row r="26" spans="1:14" x14ac:dyDescent="0.15">
      <c r="H26" s="22" t="s">
        <v>103</v>
      </c>
    </row>
    <row r="27" spans="1:14" x14ac:dyDescent="0.15">
      <c r="I27" s="24" t="s">
        <v>63</v>
      </c>
      <c r="M27" s="26" t="s">
        <v>127</v>
      </c>
    </row>
    <row r="28" spans="1:14" x14ac:dyDescent="0.15">
      <c r="I28" s="24" t="s">
        <v>122</v>
      </c>
      <c r="M28" s="26" t="s">
        <v>127</v>
      </c>
    </row>
    <row r="29" spans="1:14" x14ac:dyDescent="0.15">
      <c r="I29" s="24" t="s">
        <v>123</v>
      </c>
      <c r="M29" s="26" t="s">
        <v>127</v>
      </c>
    </row>
    <row r="30" spans="1:14" x14ac:dyDescent="0.15">
      <c r="I30" s="24" t="s">
        <v>124</v>
      </c>
      <c r="M30" s="26" t="s">
        <v>127</v>
      </c>
    </row>
    <row r="31" spans="1:14" x14ac:dyDescent="0.15">
      <c r="I31" s="24" t="s">
        <v>125</v>
      </c>
      <c r="M31" s="26" t="s">
        <v>127</v>
      </c>
    </row>
    <row r="32" spans="1:14" x14ac:dyDescent="0.15">
      <c r="N32" s="26" t="s">
        <v>127</v>
      </c>
    </row>
    <row r="33" spans="8:15" x14ac:dyDescent="0.15">
      <c r="H33" s="22" t="s">
        <v>126</v>
      </c>
    </row>
    <row r="34" spans="8:15" x14ac:dyDescent="0.15">
      <c r="I34" s="24" t="s">
        <v>104</v>
      </c>
      <c r="M34" s="26" t="s">
        <v>127</v>
      </c>
    </row>
    <row r="35" spans="8:15" x14ac:dyDescent="0.15">
      <c r="I35" s="24" t="s">
        <v>105</v>
      </c>
      <c r="M35" s="26" t="s">
        <v>127</v>
      </c>
    </row>
    <row r="36" spans="8:15" x14ac:dyDescent="0.15">
      <c r="I36" s="24" t="s">
        <v>106</v>
      </c>
      <c r="M36" s="26" t="s">
        <v>127</v>
      </c>
    </row>
    <row r="37" spans="8:15" x14ac:dyDescent="0.15">
      <c r="I37" s="24" t="s">
        <v>107</v>
      </c>
      <c r="M37" s="26" t="s">
        <v>127</v>
      </c>
    </row>
    <row r="38" spans="8:15" x14ac:dyDescent="0.15">
      <c r="I38" s="24" t="s">
        <v>71</v>
      </c>
      <c r="M38" s="26" t="s">
        <v>127</v>
      </c>
    </row>
    <row r="39" spans="8:15" x14ac:dyDescent="0.15">
      <c r="I39" s="24" t="s">
        <v>108</v>
      </c>
      <c r="M39" s="26" t="s">
        <v>127</v>
      </c>
    </row>
    <row r="40" spans="8:15" x14ac:dyDescent="0.15">
      <c r="I40" s="24" t="s">
        <v>109</v>
      </c>
      <c r="M40" s="26" t="s">
        <v>127</v>
      </c>
    </row>
    <row r="41" spans="8:15" x14ac:dyDescent="0.15">
      <c r="I41" s="24" t="s">
        <v>110</v>
      </c>
      <c r="M41" s="26" t="s">
        <v>127</v>
      </c>
    </row>
    <row r="42" spans="8:15" x14ac:dyDescent="0.15">
      <c r="I42" s="24" t="s">
        <v>111</v>
      </c>
      <c r="M42" s="26" t="s">
        <v>127</v>
      </c>
    </row>
    <row r="43" spans="8:15" x14ac:dyDescent="0.15">
      <c r="I43" s="24" t="s">
        <v>112</v>
      </c>
      <c r="M43" s="26" t="s">
        <v>127</v>
      </c>
    </row>
    <row r="44" spans="8:15" x14ac:dyDescent="0.15">
      <c r="I44" s="24" t="s">
        <v>113</v>
      </c>
      <c r="M44" s="26" t="s">
        <v>127</v>
      </c>
    </row>
    <row r="45" spans="8:15" x14ac:dyDescent="0.15">
      <c r="N45" s="26" t="s">
        <v>127</v>
      </c>
    </row>
    <row r="46" spans="8:15" x14ac:dyDescent="0.15">
      <c r="H46" s="22" t="s">
        <v>144</v>
      </c>
      <c r="N46" s="25"/>
      <c r="O46" s="26" t="s">
        <v>127</v>
      </c>
    </row>
    <row r="48" spans="8:15" x14ac:dyDescent="0.15">
      <c r="H48" s="22" t="s">
        <v>114</v>
      </c>
    </row>
    <row r="49" spans="8:15" x14ac:dyDescent="0.15">
      <c r="I49" s="24" t="s">
        <v>128</v>
      </c>
      <c r="M49" s="26" t="s">
        <v>127</v>
      </c>
    </row>
    <row r="50" spans="8:15" x14ac:dyDescent="0.15">
      <c r="I50" s="24" t="s">
        <v>129</v>
      </c>
      <c r="M50" s="26" t="s">
        <v>127</v>
      </c>
    </row>
    <row r="51" spans="8:15" x14ac:dyDescent="0.15">
      <c r="I51" s="24" t="s">
        <v>130</v>
      </c>
      <c r="M51" s="26" t="s">
        <v>127</v>
      </c>
    </row>
    <row r="52" spans="8:15" x14ac:dyDescent="0.15">
      <c r="I52" s="24" t="s">
        <v>131</v>
      </c>
      <c r="M52" s="26" t="s">
        <v>127</v>
      </c>
    </row>
    <row r="53" spans="8:15" x14ac:dyDescent="0.15">
      <c r="I53" s="24" t="s">
        <v>132</v>
      </c>
      <c r="M53" s="26" t="s">
        <v>127</v>
      </c>
    </row>
    <row r="54" spans="8:15" x14ac:dyDescent="0.15">
      <c r="I54" s="24" t="s">
        <v>133</v>
      </c>
      <c r="M54" s="26" t="s">
        <v>127</v>
      </c>
    </row>
    <row r="55" spans="8:15" x14ac:dyDescent="0.15">
      <c r="N55" s="26" t="s">
        <v>127</v>
      </c>
    </row>
    <row r="56" spans="8:15" x14ac:dyDescent="0.15">
      <c r="H56" s="22" t="s">
        <v>134</v>
      </c>
    </row>
    <row r="57" spans="8:15" x14ac:dyDescent="0.15">
      <c r="I57" s="24" t="s">
        <v>115</v>
      </c>
      <c r="M57" s="26" t="s">
        <v>127</v>
      </c>
    </row>
    <row r="58" spans="8:15" x14ac:dyDescent="0.15">
      <c r="I58" s="24" t="s">
        <v>116</v>
      </c>
      <c r="M58" s="26" t="s">
        <v>127</v>
      </c>
    </row>
    <row r="59" spans="8:15" x14ac:dyDescent="0.15">
      <c r="I59" s="24" t="s">
        <v>117</v>
      </c>
      <c r="M59" s="26" t="s">
        <v>127</v>
      </c>
    </row>
    <row r="60" spans="8:15" x14ac:dyDescent="0.15">
      <c r="I60" s="24" t="s">
        <v>118</v>
      </c>
      <c r="M60" s="26" t="s">
        <v>127</v>
      </c>
    </row>
    <row r="61" spans="8:15" x14ac:dyDescent="0.15">
      <c r="I61" s="24" t="s">
        <v>119</v>
      </c>
      <c r="M61" s="26" t="s">
        <v>127</v>
      </c>
    </row>
    <row r="62" spans="8:15" x14ac:dyDescent="0.15">
      <c r="N62" s="26" t="s">
        <v>127</v>
      </c>
    </row>
    <row r="63" spans="8:15" x14ac:dyDescent="0.15">
      <c r="H63" s="22" t="s">
        <v>143</v>
      </c>
      <c r="O63" s="26" t="s">
        <v>127</v>
      </c>
    </row>
    <row r="65" spans="8:15" x14ac:dyDescent="0.15">
      <c r="H65" s="22" t="s">
        <v>142</v>
      </c>
      <c r="O65" s="26" t="s">
        <v>127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6"/>
  <sheetViews>
    <sheetView showGridLines="0" zoomScaleNormal="100" workbookViewId="0">
      <selection activeCell="V32" sqref="V32"/>
    </sheetView>
  </sheetViews>
  <sheetFormatPr defaultColWidth="9" defaultRowHeight="10.5" x14ac:dyDescent="0.15"/>
  <cols>
    <col min="1" max="1" width="4.625" style="29" customWidth="1"/>
    <col min="2" max="2" width="24" style="29" customWidth="1"/>
    <col min="3" max="5" width="9" style="29"/>
    <col min="6" max="6" width="2.375" style="29" customWidth="1"/>
    <col min="7" max="7" width="47.375" style="29" customWidth="1"/>
    <col min="8" max="8" width="11" style="29" customWidth="1"/>
    <col min="9" max="16384" width="9" style="29"/>
  </cols>
  <sheetData>
    <row r="1" spans="1:8" ht="14.25" x14ac:dyDescent="0.25">
      <c r="A1" s="23" t="s">
        <v>86</v>
      </c>
    </row>
    <row r="2" spans="1:8" ht="14.25" x14ac:dyDescent="0.25">
      <c r="A2" s="23" t="s">
        <v>303</v>
      </c>
    </row>
    <row r="3" spans="1:8" x14ac:dyDescent="0.15">
      <c r="A3" s="29" t="s">
        <v>269</v>
      </c>
    </row>
    <row r="6" spans="1:8" ht="14.25" x14ac:dyDescent="0.25">
      <c r="F6" s="23" t="s">
        <v>290</v>
      </c>
    </row>
    <row r="7" spans="1:8" x14ac:dyDescent="0.15">
      <c r="A7" s="29" t="s">
        <v>284</v>
      </c>
      <c r="C7" s="30"/>
      <c r="D7" s="30" t="s">
        <v>274</v>
      </c>
    </row>
    <row r="8" spans="1:8" x14ac:dyDescent="0.15">
      <c r="A8" s="29" t="s">
        <v>273</v>
      </c>
      <c r="C8" s="30"/>
      <c r="D8" s="30"/>
      <c r="F8" s="22" t="s">
        <v>87</v>
      </c>
    </row>
    <row r="9" spans="1:8" x14ac:dyDescent="0.15">
      <c r="B9" s="39" t="s">
        <v>270</v>
      </c>
      <c r="C9" s="30" t="s">
        <v>274</v>
      </c>
      <c r="D9" s="30"/>
      <c r="F9" s="22"/>
      <c r="G9" s="29" t="s">
        <v>88</v>
      </c>
      <c r="H9" s="33" t="s">
        <v>300</v>
      </c>
    </row>
    <row r="10" spans="1:8" x14ac:dyDescent="0.15">
      <c r="B10" s="39" t="s">
        <v>271</v>
      </c>
      <c r="C10" s="30" t="s">
        <v>274</v>
      </c>
      <c r="D10" s="30"/>
      <c r="F10" s="22"/>
      <c r="G10" s="29" t="s">
        <v>285</v>
      </c>
      <c r="H10" s="33" t="s">
        <v>300</v>
      </c>
    </row>
    <row r="11" spans="1:8" x14ac:dyDescent="0.15">
      <c r="B11" s="39" t="s">
        <v>75</v>
      </c>
      <c r="C11" s="30" t="s">
        <v>274</v>
      </c>
      <c r="D11" s="30"/>
      <c r="F11" s="22"/>
      <c r="G11" s="29" t="s">
        <v>54</v>
      </c>
      <c r="H11" s="33" t="s">
        <v>300</v>
      </c>
    </row>
    <row r="12" spans="1:8" x14ac:dyDescent="0.15">
      <c r="B12" s="39" t="s">
        <v>272</v>
      </c>
      <c r="C12" s="31" t="s">
        <v>275</v>
      </c>
      <c r="D12" s="30"/>
      <c r="F12" s="22"/>
      <c r="G12" s="46" t="s">
        <v>358</v>
      </c>
      <c r="H12" s="37" t="s">
        <v>300</v>
      </c>
    </row>
    <row r="13" spans="1:8" x14ac:dyDescent="0.15">
      <c r="A13" s="29" t="s">
        <v>163</v>
      </c>
      <c r="C13" s="30"/>
      <c r="D13" s="32" t="s">
        <v>275</v>
      </c>
      <c r="F13" s="22"/>
      <c r="H13" s="34"/>
    </row>
    <row r="14" spans="1:8" x14ac:dyDescent="0.15">
      <c r="A14" s="29" t="s">
        <v>283</v>
      </c>
      <c r="C14" s="30"/>
      <c r="D14" s="30" t="s">
        <v>274</v>
      </c>
      <c r="F14" s="22" t="s">
        <v>286</v>
      </c>
      <c r="H14" s="34"/>
    </row>
    <row r="15" spans="1:8" x14ac:dyDescent="0.15">
      <c r="A15" s="29" t="s">
        <v>276</v>
      </c>
      <c r="C15" s="30"/>
      <c r="D15" s="30"/>
      <c r="F15" s="22"/>
      <c r="G15" s="29" t="s">
        <v>175</v>
      </c>
      <c r="H15" s="33" t="s">
        <v>300</v>
      </c>
    </row>
    <row r="16" spans="1:8" x14ac:dyDescent="0.15">
      <c r="B16" s="39" t="s">
        <v>277</v>
      </c>
      <c r="C16" s="30" t="s">
        <v>274</v>
      </c>
      <c r="D16" s="30"/>
      <c r="F16" s="22"/>
      <c r="G16" s="29" t="s">
        <v>287</v>
      </c>
      <c r="H16" s="34" t="s">
        <v>299</v>
      </c>
    </row>
    <row r="17" spans="1:8" x14ac:dyDescent="0.15">
      <c r="B17" s="39" t="s">
        <v>278</v>
      </c>
      <c r="C17" s="30" t="s">
        <v>274</v>
      </c>
      <c r="F17" s="22"/>
      <c r="G17" s="40" t="s">
        <v>359</v>
      </c>
      <c r="H17" s="34" t="s">
        <v>299</v>
      </c>
    </row>
    <row r="18" spans="1:8" x14ac:dyDescent="0.15">
      <c r="A18" s="29" t="s">
        <v>279</v>
      </c>
      <c r="C18" s="30"/>
      <c r="D18" s="32" t="s">
        <v>275</v>
      </c>
      <c r="F18" s="22"/>
      <c r="G18" s="29" t="s">
        <v>288</v>
      </c>
      <c r="H18" s="35" t="s">
        <v>301</v>
      </c>
    </row>
    <row r="19" spans="1:8" x14ac:dyDescent="0.15">
      <c r="A19" s="29" t="s">
        <v>165</v>
      </c>
      <c r="C19" s="30"/>
      <c r="D19" s="30" t="s">
        <v>274</v>
      </c>
      <c r="F19" s="22"/>
      <c r="G19" s="29" t="s">
        <v>292</v>
      </c>
      <c r="H19" s="34" t="s">
        <v>299</v>
      </c>
    </row>
    <row r="20" spans="1:8" x14ac:dyDescent="0.15">
      <c r="A20" s="29" t="s">
        <v>280</v>
      </c>
      <c r="C20" s="30"/>
      <c r="D20" s="32" t="s">
        <v>275</v>
      </c>
      <c r="F20" s="22"/>
      <c r="G20" s="29" t="s">
        <v>99</v>
      </c>
      <c r="H20" s="34" t="s">
        <v>299</v>
      </c>
    </row>
    <row r="21" spans="1:8" x14ac:dyDescent="0.15">
      <c r="A21" s="29" t="s">
        <v>281</v>
      </c>
      <c r="C21" s="30"/>
      <c r="D21" s="30" t="s">
        <v>274</v>
      </c>
      <c r="F21" s="22"/>
      <c r="G21" s="36" t="s">
        <v>298</v>
      </c>
      <c r="H21" s="38" t="s">
        <v>299</v>
      </c>
    </row>
    <row r="22" spans="1:8" x14ac:dyDescent="0.15">
      <c r="A22" s="29" t="s">
        <v>282</v>
      </c>
      <c r="C22" s="30"/>
      <c r="D22" s="32" t="s">
        <v>275</v>
      </c>
      <c r="F22" s="22"/>
      <c r="H22" s="34"/>
    </row>
    <row r="23" spans="1:8" x14ac:dyDescent="0.15">
      <c r="A23" s="29" t="s">
        <v>169</v>
      </c>
      <c r="D23" s="30" t="s">
        <v>274</v>
      </c>
      <c r="F23" s="22" t="s">
        <v>289</v>
      </c>
      <c r="H23" s="34"/>
    </row>
    <row r="24" spans="1:8" x14ac:dyDescent="0.15">
      <c r="F24" s="22"/>
      <c r="G24" s="29" t="s">
        <v>175</v>
      </c>
      <c r="H24" s="33" t="s">
        <v>300</v>
      </c>
    </row>
    <row r="25" spans="1:8" x14ac:dyDescent="0.15">
      <c r="F25" s="22"/>
      <c r="G25" s="29" t="s">
        <v>291</v>
      </c>
      <c r="H25" s="34" t="s">
        <v>299</v>
      </c>
    </row>
    <row r="26" spans="1:8" x14ac:dyDescent="0.15">
      <c r="F26" s="22"/>
      <c r="G26" s="29" t="s">
        <v>293</v>
      </c>
      <c r="H26" s="34" t="s">
        <v>299</v>
      </c>
    </row>
    <row r="27" spans="1:8" x14ac:dyDescent="0.15">
      <c r="F27" s="22"/>
      <c r="G27" s="46" t="s">
        <v>360</v>
      </c>
      <c r="H27" s="38" t="s">
        <v>299</v>
      </c>
    </row>
    <row r="28" spans="1:8" x14ac:dyDescent="0.15">
      <c r="F28" s="22"/>
      <c r="H28" s="34"/>
    </row>
    <row r="29" spans="1:8" x14ac:dyDescent="0.15">
      <c r="F29" s="22" t="s">
        <v>294</v>
      </c>
      <c r="H29" s="34"/>
    </row>
    <row r="30" spans="1:8" x14ac:dyDescent="0.15">
      <c r="G30" s="29" t="s">
        <v>175</v>
      </c>
      <c r="H30" s="33" t="s">
        <v>300</v>
      </c>
    </row>
    <row r="31" spans="1:8" x14ac:dyDescent="0.15">
      <c r="G31" s="40" t="s">
        <v>361</v>
      </c>
      <c r="H31" s="34" t="s">
        <v>299</v>
      </c>
    </row>
    <row r="32" spans="1:8" x14ac:dyDescent="0.15">
      <c r="G32" s="29" t="s">
        <v>295</v>
      </c>
      <c r="H32" s="35" t="s">
        <v>301</v>
      </c>
    </row>
    <row r="33" spans="7:8" x14ac:dyDescent="0.15">
      <c r="G33" s="29" t="s">
        <v>296</v>
      </c>
      <c r="H33" s="34" t="s">
        <v>299</v>
      </c>
    </row>
    <row r="34" spans="7:8" x14ac:dyDescent="0.15">
      <c r="G34" s="29" t="s">
        <v>297</v>
      </c>
      <c r="H34" s="35" t="s">
        <v>301</v>
      </c>
    </row>
    <row r="35" spans="7:8" x14ac:dyDescent="0.15">
      <c r="G35" s="36" t="s">
        <v>302</v>
      </c>
      <c r="H35" s="38" t="s">
        <v>299</v>
      </c>
    </row>
    <row r="36" spans="7:8" x14ac:dyDescent="0.15">
      <c r="H36" s="34"/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44"/>
  <sheetViews>
    <sheetView showGridLines="0" workbookViewId="0">
      <selection activeCell="V32" sqref="V32"/>
    </sheetView>
  </sheetViews>
  <sheetFormatPr defaultColWidth="9" defaultRowHeight="10.5" x14ac:dyDescent="0.15"/>
  <cols>
    <col min="1" max="1" width="3.375" style="40" customWidth="1"/>
    <col min="2" max="2" width="2.75" style="40" customWidth="1"/>
    <col min="3" max="3" width="34.375" style="40" customWidth="1"/>
    <col min="4" max="4" width="9" style="40"/>
    <col min="5" max="5" width="3" style="40" customWidth="1"/>
    <col min="6" max="6" width="25.5" style="40" customWidth="1"/>
    <col min="7" max="10" width="9" style="40"/>
    <col min="11" max="11" width="22" style="40" customWidth="1"/>
    <col min="12" max="16384" width="9" style="40"/>
  </cols>
  <sheetData>
    <row r="1" spans="1:12" ht="14.25" x14ac:dyDescent="0.25">
      <c r="A1" s="23" t="s">
        <v>86</v>
      </c>
    </row>
    <row r="2" spans="1:12" ht="14.25" x14ac:dyDescent="0.25">
      <c r="A2" s="23" t="s">
        <v>304</v>
      </c>
    </row>
    <row r="5" spans="1:12" x14ac:dyDescent="0.15">
      <c r="A5" s="22" t="s">
        <v>305</v>
      </c>
      <c r="K5" s="22" t="s">
        <v>269</v>
      </c>
    </row>
    <row r="6" spans="1:12" x14ac:dyDescent="0.15">
      <c r="A6" s="40" t="s">
        <v>306</v>
      </c>
    </row>
    <row r="7" spans="1:12" x14ac:dyDescent="0.15">
      <c r="A7" s="40" t="s">
        <v>307</v>
      </c>
      <c r="K7" s="45" t="s">
        <v>353</v>
      </c>
      <c r="L7" s="43" t="s">
        <v>323</v>
      </c>
    </row>
    <row r="8" spans="1:12" x14ac:dyDescent="0.15">
      <c r="A8" s="40" t="s">
        <v>327</v>
      </c>
      <c r="K8" s="45" t="s">
        <v>163</v>
      </c>
      <c r="L8" s="44" t="s">
        <v>325</v>
      </c>
    </row>
    <row r="9" spans="1:12" x14ac:dyDescent="0.15">
      <c r="A9" s="40" t="s">
        <v>328</v>
      </c>
      <c r="K9" s="45" t="s">
        <v>283</v>
      </c>
      <c r="L9" s="43" t="s">
        <v>323</v>
      </c>
    </row>
    <row r="10" spans="1:12" x14ac:dyDescent="0.15">
      <c r="K10" s="45" t="s">
        <v>147</v>
      </c>
      <c r="L10" s="44" t="s">
        <v>325</v>
      </c>
    </row>
    <row r="11" spans="1:12" x14ac:dyDescent="0.15">
      <c r="A11" s="40" t="s">
        <v>309</v>
      </c>
      <c r="K11" s="45" t="s">
        <v>165</v>
      </c>
      <c r="L11" s="43" t="s">
        <v>323</v>
      </c>
    </row>
    <row r="12" spans="1:12" x14ac:dyDescent="0.15">
      <c r="B12" s="40" t="s">
        <v>271</v>
      </c>
      <c r="K12" s="45" t="s">
        <v>354</v>
      </c>
      <c r="L12" s="43" t="s">
        <v>323</v>
      </c>
    </row>
    <row r="13" spans="1:12" x14ac:dyDescent="0.15">
      <c r="C13" s="40" t="s">
        <v>310</v>
      </c>
      <c r="E13" s="22" t="s">
        <v>351</v>
      </c>
      <c r="K13" s="45" t="s">
        <v>355</v>
      </c>
      <c r="L13" s="43" t="s">
        <v>323</v>
      </c>
    </row>
    <row r="14" spans="1:12" x14ac:dyDescent="0.15">
      <c r="C14" s="40" t="s">
        <v>311</v>
      </c>
      <c r="E14" s="40" t="s">
        <v>319</v>
      </c>
      <c r="G14" s="41"/>
      <c r="H14" s="41" t="s">
        <v>323</v>
      </c>
      <c r="K14" s="45" t="s">
        <v>356</v>
      </c>
      <c r="L14" s="44" t="s">
        <v>325</v>
      </c>
    </row>
    <row r="15" spans="1:12" x14ac:dyDescent="0.15">
      <c r="C15" s="40" t="s">
        <v>312</v>
      </c>
      <c r="E15" s="40" t="s">
        <v>320</v>
      </c>
      <c r="G15" s="41"/>
      <c r="H15" s="41"/>
      <c r="K15" s="45" t="s">
        <v>281</v>
      </c>
      <c r="L15" s="43" t="s">
        <v>323</v>
      </c>
    </row>
    <row r="16" spans="1:12" x14ac:dyDescent="0.15">
      <c r="B16" s="40" t="s">
        <v>317</v>
      </c>
      <c r="F16" s="40" t="s">
        <v>308</v>
      </c>
      <c r="G16" s="41" t="s">
        <v>323</v>
      </c>
      <c r="H16" s="41"/>
      <c r="K16" s="45" t="s">
        <v>357</v>
      </c>
      <c r="L16" s="44" t="s">
        <v>325</v>
      </c>
    </row>
    <row r="17" spans="1:12" x14ac:dyDescent="0.15">
      <c r="C17" s="40" t="s">
        <v>330</v>
      </c>
      <c r="F17" s="40" t="s">
        <v>321</v>
      </c>
      <c r="G17" s="41" t="s">
        <v>323</v>
      </c>
      <c r="H17" s="41"/>
      <c r="K17" s="45" t="s">
        <v>169</v>
      </c>
      <c r="L17" s="43" t="s">
        <v>323</v>
      </c>
    </row>
    <row r="18" spans="1:12" x14ac:dyDescent="0.15">
      <c r="C18" s="40" t="s">
        <v>314</v>
      </c>
      <c r="E18" s="40" t="s">
        <v>322</v>
      </c>
      <c r="G18" s="41"/>
      <c r="H18" s="41" t="s">
        <v>323</v>
      </c>
    </row>
    <row r="19" spans="1:12" x14ac:dyDescent="0.15">
      <c r="C19" s="40" t="s">
        <v>313</v>
      </c>
      <c r="E19" s="40" t="s">
        <v>324</v>
      </c>
      <c r="G19" s="41"/>
      <c r="H19" s="42" t="s">
        <v>325</v>
      </c>
    </row>
    <row r="20" spans="1:12" x14ac:dyDescent="0.15">
      <c r="C20" s="40" t="s">
        <v>315</v>
      </c>
      <c r="E20" s="40" t="s">
        <v>326</v>
      </c>
      <c r="G20" s="41"/>
      <c r="H20" s="41" t="s">
        <v>323</v>
      </c>
    </row>
    <row r="21" spans="1:12" x14ac:dyDescent="0.15">
      <c r="C21" s="40" t="s">
        <v>316</v>
      </c>
    </row>
    <row r="22" spans="1:12" x14ac:dyDescent="0.15">
      <c r="C22" s="40" t="s">
        <v>99</v>
      </c>
    </row>
    <row r="24" spans="1:12" x14ac:dyDescent="0.15">
      <c r="A24" s="40" t="s">
        <v>318</v>
      </c>
    </row>
    <row r="25" spans="1:12" x14ac:dyDescent="0.15">
      <c r="B25" s="40" t="s">
        <v>329</v>
      </c>
    </row>
    <row r="26" spans="1:12" x14ac:dyDescent="0.15">
      <c r="C26" s="40" t="s">
        <v>342</v>
      </c>
    </row>
    <row r="27" spans="1:12" x14ac:dyDescent="0.15">
      <c r="C27" s="40" t="s">
        <v>331</v>
      </c>
    </row>
    <row r="28" spans="1:12" x14ac:dyDescent="0.15">
      <c r="C28" s="40" t="s">
        <v>335</v>
      </c>
    </row>
    <row r="29" spans="1:12" x14ac:dyDescent="0.15">
      <c r="C29" s="40" t="s">
        <v>336</v>
      </c>
    </row>
    <row r="30" spans="1:12" x14ac:dyDescent="0.15">
      <c r="C30" s="40" t="s">
        <v>339</v>
      </c>
    </row>
    <row r="31" spans="1:12" x14ac:dyDescent="0.15">
      <c r="C31" s="40" t="s">
        <v>334</v>
      </c>
      <c r="H31" s="41"/>
    </row>
    <row r="32" spans="1:12" x14ac:dyDescent="0.15">
      <c r="C32" s="40" t="s">
        <v>340</v>
      </c>
    </row>
    <row r="33" spans="2:8" x14ac:dyDescent="0.15">
      <c r="C33" s="40" t="s">
        <v>338</v>
      </c>
      <c r="E33" s="22" t="s">
        <v>350</v>
      </c>
    </row>
    <row r="34" spans="2:8" x14ac:dyDescent="0.15">
      <c r="C34" s="40" t="s">
        <v>332</v>
      </c>
      <c r="E34" s="40" t="s">
        <v>352</v>
      </c>
      <c r="G34" s="41" t="s">
        <v>323</v>
      </c>
    </row>
    <row r="35" spans="2:8" x14ac:dyDescent="0.15">
      <c r="C35" s="40" t="s">
        <v>333</v>
      </c>
      <c r="E35" s="40" t="s">
        <v>277</v>
      </c>
      <c r="G35" s="41" t="s">
        <v>323</v>
      </c>
    </row>
    <row r="36" spans="2:8" x14ac:dyDescent="0.15">
      <c r="C36" s="40" t="s">
        <v>337</v>
      </c>
      <c r="E36" s="40" t="s">
        <v>350</v>
      </c>
      <c r="H36" s="41" t="s">
        <v>323</v>
      </c>
    </row>
    <row r="37" spans="2:8" x14ac:dyDescent="0.15">
      <c r="C37" s="40" t="s">
        <v>347</v>
      </c>
    </row>
    <row r="38" spans="2:8" x14ac:dyDescent="0.15">
      <c r="C38" s="40" t="s">
        <v>348</v>
      </c>
    </row>
    <row r="39" spans="2:8" x14ac:dyDescent="0.15">
      <c r="C39" s="40" t="s">
        <v>349</v>
      </c>
    </row>
    <row r="40" spans="2:8" x14ac:dyDescent="0.15">
      <c r="B40" s="40" t="s">
        <v>341</v>
      </c>
    </row>
    <row r="41" spans="2:8" x14ac:dyDescent="0.15">
      <c r="C41" s="40" t="s">
        <v>343</v>
      </c>
    </row>
    <row r="42" spans="2:8" x14ac:dyDescent="0.15">
      <c r="C42" s="40" t="s">
        <v>344</v>
      </c>
    </row>
    <row r="43" spans="2:8" x14ac:dyDescent="0.15">
      <c r="C43" s="40" t="s">
        <v>345</v>
      </c>
    </row>
    <row r="44" spans="2:8" x14ac:dyDescent="0.15">
      <c r="C44" s="40" t="s">
        <v>346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showGridLines="0" workbookViewId="0">
      <selection activeCell="I15" sqref="I15"/>
    </sheetView>
  </sheetViews>
  <sheetFormatPr defaultColWidth="9.625" defaultRowHeight="10.5" x14ac:dyDescent="0.25"/>
  <cols>
    <col min="1" max="1" width="3.625" style="53" customWidth="1"/>
    <col min="2" max="2" width="18.5" style="53" customWidth="1"/>
    <col min="3" max="3" width="2.625" style="53" customWidth="1"/>
    <col min="4" max="4" width="8" style="53" customWidth="1"/>
    <col min="5" max="5" width="31.625" style="53" bestFit="1" customWidth="1"/>
    <col min="6" max="6" width="2.625" style="53" customWidth="1"/>
    <col min="7" max="8" width="9.625" style="53"/>
    <col min="9" max="9" width="24.75" style="52" bestFit="1" customWidth="1"/>
    <col min="10" max="10" width="4.5" style="53" customWidth="1"/>
    <col min="11" max="11" width="30.125" style="53" bestFit="1" customWidth="1"/>
    <col min="12" max="12" width="8.375" style="53" bestFit="1" customWidth="1"/>
    <col min="13" max="13" width="3.625" style="53" bestFit="1" customWidth="1"/>
    <col min="14" max="16384" width="9.625" style="53"/>
  </cols>
  <sheetData>
    <row r="1" spans="1:13" s="49" customFormat="1" ht="14.25" x14ac:dyDescent="0.25">
      <c r="A1" s="47" t="str">
        <f>Assumption!A1</f>
        <v>Bisnis Penyewaan INTEGRATED COLD STORAGE - Revitalitation</v>
      </c>
      <c r="B1" s="48"/>
      <c r="C1" s="48"/>
      <c r="D1" s="48"/>
      <c r="E1" s="48"/>
      <c r="F1" s="48"/>
      <c r="G1" s="48"/>
      <c r="I1" s="50"/>
    </row>
    <row r="2" spans="1:13" s="49" customFormat="1" ht="14.25" x14ac:dyDescent="0.25">
      <c r="A2" s="47" t="str">
        <f>Assumption!A2</f>
        <v>Financial Pre-Feasibility Study</v>
      </c>
      <c r="B2" s="48"/>
      <c r="C2" s="48"/>
      <c r="D2" s="48"/>
      <c r="E2" s="48"/>
      <c r="F2" s="48"/>
      <c r="G2" s="48"/>
      <c r="I2" s="50"/>
    </row>
    <row r="3" spans="1:13" s="49" customFormat="1" ht="14.25" x14ac:dyDescent="0.15">
      <c r="A3" s="51" t="s">
        <v>205</v>
      </c>
      <c r="B3" s="48"/>
      <c r="C3" s="48"/>
      <c r="D3" s="48"/>
      <c r="E3" s="48"/>
      <c r="F3" s="48"/>
      <c r="G3" s="48"/>
      <c r="I3" s="50"/>
    </row>
    <row r="4" spans="1:13" s="49" customFormat="1" x14ac:dyDescent="0.15">
      <c r="I4" s="50"/>
    </row>
    <row r="6" spans="1:13" ht="20.25" customHeight="1" x14ac:dyDescent="0.25">
      <c r="A6" s="54"/>
      <c r="B6" s="57"/>
      <c r="C6" s="57"/>
      <c r="D6" s="748" t="s">
        <v>220</v>
      </c>
      <c r="E6" s="748"/>
      <c r="F6" s="58"/>
      <c r="G6" s="749" t="s">
        <v>221</v>
      </c>
      <c r="H6" s="749"/>
      <c r="K6" s="57" t="s">
        <v>66</v>
      </c>
    </row>
    <row r="7" spans="1:13" x14ac:dyDescent="0.25">
      <c r="A7" s="52"/>
      <c r="D7" s="59" t="s">
        <v>219</v>
      </c>
      <c r="E7" s="59"/>
      <c r="F7" s="59"/>
      <c r="G7" s="59" t="s">
        <v>53</v>
      </c>
      <c r="H7" s="59" t="s">
        <v>219</v>
      </c>
    </row>
    <row r="8" spans="1:13" x14ac:dyDescent="0.25">
      <c r="A8" s="54" t="s">
        <v>214</v>
      </c>
      <c r="F8" s="59"/>
      <c r="K8" s="53" t="s">
        <v>217</v>
      </c>
      <c r="L8" s="60">
        <f>Assumption!B20</f>
        <v>600000000</v>
      </c>
      <c r="M8" s="53" t="s">
        <v>53</v>
      </c>
    </row>
    <row r="9" spans="1:13" x14ac:dyDescent="0.25">
      <c r="B9" s="52" t="s">
        <v>88</v>
      </c>
      <c r="D9" s="59" t="s">
        <v>222</v>
      </c>
      <c r="E9" s="53" t="s">
        <v>182</v>
      </c>
      <c r="F9" s="59"/>
      <c r="G9" s="60" t="e">
        <f>#REF!</f>
        <v>#REF!</v>
      </c>
      <c r="H9" s="62" t="e">
        <f>G9/L9</f>
        <v>#REF!</v>
      </c>
      <c r="I9" s="52" t="s">
        <v>233</v>
      </c>
      <c r="K9" s="53" t="s">
        <v>216</v>
      </c>
      <c r="L9" s="60" t="e">
        <f>-1*(IncomeStatement!#REF!+IncomeStatement!#REF!)</f>
        <v>#REF!</v>
      </c>
      <c r="M9" s="53" t="s">
        <v>53</v>
      </c>
    </row>
    <row r="10" spans="1:13" x14ac:dyDescent="0.25">
      <c r="B10" s="52" t="s">
        <v>215</v>
      </c>
      <c r="F10" s="59"/>
      <c r="G10" s="60" t="e">
        <f>#REF!</f>
        <v>#REF!</v>
      </c>
      <c r="H10" s="63"/>
      <c r="I10" s="52" t="s">
        <v>233</v>
      </c>
      <c r="K10" s="53" t="s">
        <v>89</v>
      </c>
      <c r="L10" s="60" t="e">
        <f>#REF!</f>
        <v>#REF!</v>
      </c>
      <c r="M10" s="53" t="s">
        <v>53</v>
      </c>
    </row>
    <row r="11" spans="1:13" x14ac:dyDescent="0.25">
      <c r="B11" s="52" t="s">
        <v>54</v>
      </c>
      <c r="D11" s="64" t="s">
        <v>181</v>
      </c>
      <c r="E11" s="53" t="s">
        <v>182</v>
      </c>
      <c r="F11" s="59"/>
      <c r="G11" s="60" t="e">
        <f>#REF!</f>
        <v>#REF!</v>
      </c>
      <c r="H11" s="62" t="e">
        <f>G11/L9</f>
        <v>#REF!</v>
      </c>
      <c r="I11" s="52" t="s">
        <v>233</v>
      </c>
      <c r="K11" s="53" t="s">
        <v>218</v>
      </c>
      <c r="L11" s="60" t="e">
        <f>#REF!+#REF!+#REF!</f>
        <v>#REF!</v>
      </c>
      <c r="M11" s="53" t="s">
        <v>53</v>
      </c>
    </row>
    <row r="12" spans="1:13" x14ac:dyDescent="0.25">
      <c r="B12" s="52" t="s">
        <v>71</v>
      </c>
      <c r="F12" s="59"/>
      <c r="G12" s="60" t="e">
        <f>#REF!</f>
        <v>#REF!</v>
      </c>
      <c r="H12" s="63"/>
      <c r="I12" s="52" t="s">
        <v>233</v>
      </c>
      <c r="K12" s="53" t="s">
        <v>98</v>
      </c>
      <c r="L12" s="60" t="e">
        <f>#REF!</f>
        <v>#REF!</v>
      </c>
      <c r="M12" s="53" t="s">
        <v>53</v>
      </c>
    </row>
    <row r="13" spans="1:13" x14ac:dyDescent="0.25">
      <c r="A13" s="54" t="s">
        <v>74</v>
      </c>
      <c r="B13" s="52"/>
      <c r="F13" s="59"/>
      <c r="G13" s="60"/>
      <c r="H13" s="63"/>
    </row>
    <row r="14" spans="1:13" x14ac:dyDescent="0.25">
      <c r="B14" s="52" t="s">
        <v>89</v>
      </c>
      <c r="D14" s="59" t="s">
        <v>181</v>
      </c>
      <c r="E14" s="53" t="s">
        <v>182</v>
      </c>
      <c r="F14" s="59"/>
      <c r="G14" s="60" t="e">
        <f>#REF!</f>
        <v>#REF!</v>
      </c>
      <c r="H14" s="61" t="e">
        <f>G14/L9</f>
        <v>#REF!</v>
      </c>
      <c r="I14" s="52" t="s">
        <v>231</v>
      </c>
    </row>
    <row r="15" spans="1:13" x14ac:dyDescent="0.25">
      <c r="B15" s="52" t="s">
        <v>90</v>
      </c>
      <c r="D15" s="64" t="s">
        <v>181</v>
      </c>
      <c r="E15" s="53" t="s">
        <v>156</v>
      </c>
      <c r="F15" s="59"/>
      <c r="G15" s="60" t="e">
        <f>#REF!</f>
        <v>#REF!</v>
      </c>
      <c r="H15" s="62" t="e">
        <f>G15/L10</f>
        <v>#REF!</v>
      </c>
      <c r="I15" s="52" t="s">
        <v>231</v>
      </c>
    </row>
    <row r="16" spans="1:13" x14ac:dyDescent="0.25">
      <c r="B16" s="52" t="s">
        <v>98</v>
      </c>
      <c r="D16" s="65" t="s">
        <v>183</v>
      </c>
      <c r="E16" s="53" t="s">
        <v>154</v>
      </c>
      <c r="F16" s="59"/>
      <c r="G16" s="60" t="e">
        <f>#REF!</f>
        <v>#REF!</v>
      </c>
      <c r="H16" s="63" t="e">
        <f>G16/L8</f>
        <v>#REF!</v>
      </c>
      <c r="I16" s="52" t="s">
        <v>232</v>
      </c>
    </row>
    <row r="17" spans="1:9" x14ac:dyDescent="0.25">
      <c r="B17" s="52" t="s">
        <v>99</v>
      </c>
      <c r="D17" s="65" t="s">
        <v>184</v>
      </c>
      <c r="E17" s="53" t="s">
        <v>155</v>
      </c>
      <c r="F17" s="59"/>
      <c r="G17" s="60" t="e">
        <f>#REF!</f>
        <v>#REF!</v>
      </c>
      <c r="H17" s="62" t="e">
        <f>G17/L12</f>
        <v>#REF!</v>
      </c>
    </row>
    <row r="18" spans="1:9" x14ac:dyDescent="0.25">
      <c r="B18" s="52"/>
      <c r="D18" s="66" t="s">
        <v>185</v>
      </c>
      <c r="E18" s="53" t="s">
        <v>154</v>
      </c>
      <c r="F18" s="59"/>
      <c r="G18" s="60"/>
      <c r="H18" s="61" t="e">
        <f>G17/L8</f>
        <v>#REF!</v>
      </c>
    </row>
    <row r="19" spans="1:9" x14ac:dyDescent="0.25">
      <c r="B19" s="52" t="s">
        <v>100</v>
      </c>
      <c r="D19" s="65" t="s">
        <v>181</v>
      </c>
      <c r="E19" s="53" t="s">
        <v>156</v>
      </c>
      <c r="F19" s="59"/>
      <c r="G19" s="60" t="e">
        <f>#REF!</f>
        <v>#REF!</v>
      </c>
      <c r="H19" s="62" t="e">
        <f>G19/L10</f>
        <v>#REF!</v>
      </c>
      <c r="I19" s="52" t="s">
        <v>227</v>
      </c>
    </row>
    <row r="20" spans="1:9" x14ac:dyDescent="0.25">
      <c r="B20" s="52" t="s">
        <v>63</v>
      </c>
      <c r="D20" s="64"/>
      <c r="F20" s="59"/>
      <c r="G20" s="60"/>
      <c r="H20" s="63"/>
    </row>
    <row r="21" spans="1:9" x14ac:dyDescent="0.25">
      <c r="B21" s="52" t="s">
        <v>122</v>
      </c>
      <c r="D21" s="64" t="s">
        <v>186</v>
      </c>
      <c r="E21" s="53" t="s">
        <v>154</v>
      </c>
      <c r="F21" s="59"/>
      <c r="G21" s="60" t="e">
        <f>#REF!</f>
        <v>#REF!</v>
      </c>
      <c r="H21" s="61" t="e">
        <f>G21/L8</f>
        <v>#REF!</v>
      </c>
    </row>
    <row r="22" spans="1:9" x14ac:dyDescent="0.25">
      <c r="B22" s="52" t="s">
        <v>124</v>
      </c>
      <c r="D22" s="64" t="s">
        <v>187</v>
      </c>
      <c r="E22" s="53" t="s">
        <v>154</v>
      </c>
      <c r="F22" s="59"/>
      <c r="G22" s="60" t="e">
        <f>#REF!</f>
        <v>#REF!</v>
      </c>
      <c r="H22" s="61" t="e">
        <f>G22/L8</f>
        <v>#REF!</v>
      </c>
    </row>
    <row r="23" spans="1:9" x14ac:dyDescent="0.25">
      <c r="B23" s="52" t="s">
        <v>125</v>
      </c>
      <c r="D23" s="64" t="s">
        <v>188</v>
      </c>
      <c r="E23" s="53" t="s">
        <v>154</v>
      </c>
      <c r="F23" s="59"/>
      <c r="G23" s="60" t="e">
        <f>#REF!</f>
        <v>#REF!</v>
      </c>
      <c r="H23" s="61" t="e">
        <f>G23/L8</f>
        <v>#REF!</v>
      </c>
    </row>
    <row r="24" spans="1:9" x14ac:dyDescent="0.25">
      <c r="B24" s="52" t="s">
        <v>225</v>
      </c>
      <c r="D24" s="64" t="s">
        <v>190</v>
      </c>
      <c r="E24" s="53" t="s">
        <v>191</v>
      </c>
      <c r="F24" s="59"/>
      <c r="G24" s="60" t="e">
        <f>#REF!</f>
        <v>#REF!</v>
      </c>
      <c r="H24" s="61" t="e">
        <f>G24/L11</f>
        <v>#REF!</v>
      </c>
      <c r="I24" s="52" t="s">
        <v>230</v>
      </c>
    </row>
    <row r="25" spans="1:9" x14ac:dyDescent="0.25">
      <c r="B25" s="52"/>
      <c r="D25" s="64" t="s">
        <v>192</v>
      </c>
      <c r="E25" s="53" t="s">
        <v>182</v>
      </c>
      <c r="F25" s="59"/>
      <c r="G25" s="60"/>
      <c r="H25" s="61" t="e">
        <f>G24/L9</f>
        <v>#REF!</v>
      </c>
    </row>
    <row r="26" spans="1:9" x14ac:dyDescent="0.25">
      <c r="B26" s="52" t="s">
        <v>224</v>
      </c>
      <c r="D26" s="59" t="s">
        <v>194</v>
      </c>
      <c r="E26" s="53" t="s">
        <v>156</v>
      </c>
      <c r="F26" s="59"/>
      <c r="G26" s="60" t="e">
        <f>#REF!</f>
        <v>#REF!</v>
      </c>
      <c r="H26" s="62" t="e">
        <f>G26/L10</f>
        <v>#REF!</v>
      </c>
      <c r="I26" s="52" t="s">
        <v>226</v>
      </c>
    </row>
    <row r="27" spans="1:9" x14ac:dyDescent="0.25">
      <c r="B27" s="52"/>
      <c r="D27" s="59" t="s">
        <v>195</v>
      </c>
      <c r="E27" s="53" t="s">
        <v>182</v>
      </c>
      <c r="F27" s="59"/>
      <c r="G27" s="60"/>
      <c r="H27" s="61" t="e">
        <f>G26/L9</f>
        <v>#REF!</v>
      </c>
    </row>
    <row r="28" spans="1:9" x14ac:dyDescent="0.25">
      <c r="B28" s="52" t="s">
        <v>223</v>
      </c>
      <c r="D28" s="59" t="s">
        <v>197</v>
      </c>
      <c r="E28" s="53" t="s">
        <v>157</v>
      </c>
      <c r="F28" s="59"/>
      <c r="G28" s="60" t="e">
        <f>#REF!</f>
        <v>#REF!</v>
      </c>
      <c r="H28" s="61" t="e">
        <f>G28/L9</f>
        <v>#REF!</v>
      </c>
      <c r="I28" s="52" t="s">
        <v>228</v>
      </c>
    </row>
    <row r="31" spans="1:9" x14ac:dyDescent="0.25">
      <c r="A31" s="54" t="s">
        <v>66</v>
      </c>
    </row>
    <row r="32" spans="1:9" x14ac:dyDescent="0.25">
      <c r="A32" s="55" t="s">
        <v>189</v>
      </c>
      <c r="B32" s="56" t="s">
        <v>199</v>
      </c>
      <c r="C32" s="56"/>
    </row>
    <row r="33" spans="1:3" x14ac:dyDescent="0.25">
      <c r="A33" s="52"/>
      <c r="B33" s="53" t="s">
        <v>200</v>
      </c>
    </row>
    <row r="34" spans="1:3" x14ac:dyDescent="0.25">
      <c r="A34" s="55" t="s">
        <v>193</v>
      </c>
      <c r="B34" s="53" t="s">
        <v>201</v>
      </c>
    </row>
    <row r="35" spans="1:3" x14ac:dyDescent="0.25">
      <c r="A35" s="55" t="s">
        <v>196</v>
      </c>
      <c r="B35" s="53" t="s">
        <v>202</v>
      </c>
    </row>
    <row r="36" spans="1:3" x14ac:dyDescent="0.25">
      <c r="A36" s="52"/>
      <c r="B36" s="53" t="s">
        <v>203</v>
      </c>
    </row>
    <row r="37" spans="1:3" x14ac:dyDescent="0.25">
      <c r="A37" s="52"/>
      <c r="B37" s="53" t="s">
        <v>204</v>
      </c>
    </row>
    <row r="38" spans="1:3" x14ac:dyDescent="0.25">
      <c r="A38" s="55" t="s">
        <v>198</v>
      </c>
      <c r="B38" s="55" t="s">
        <v>206</v>
      </c>
      <c r="C38" s="55"/>
    </row>
    <row r="39" spans="1:3" x14ac:dyDescent="0.25">
      <c r="A39" s="52"/>
      <c r="B39" s="55" t="s">
        <v>211</v>
      </c>
      <c r="C39" s="55"/>
    </row>
    <row r="40" spans="1:3" x14ac:dyDescent="0.25">
      <c r="A40" s="55" t="s">
        <v>212</v>
      </c>
      <c r="B40" s="55" t="s">
        <v>207</v>
      </c>
      <c r="C40" s="55"/>
    </row>
    <row r="41" spans="1:3" x14ac:dyDescent="0.25">
      <c r="A41" s="52"/>
      <c r="B41" s="55" t="s">
        <v>208</v>
      </c>
      <c r="C41" s="55"/>
    </row>
    <row r="42" spans="1:3" x14ac:dyDescent="0.25">
      <c r="A42" s="55" t="s">
        <v>213</v>
      </c>
      <c r="B42" s="55" t="s">
        <v>209</v>
      </c>
      <c r="C42" s="55"/>
    </row>
    <row r="43" spans="1:3" x14ac:dyDescent="0.25">
      <c r="A43" s="52"/>
      <c r="B43" s="55" t="s">
        <v>210</v>
      </c>
      <c r="C43" s="55"/>
    </row>
    <row r="44" spans="1:3" x14ac:dyDescent="0.25">
      <c r="A44" s="55" t="s">
        <v>229</v>
      </c>
      <c r="B44" s="53" t="s">
        <v>171</v>
      </c>
    </row>
    <row r="45" spans="1:3" x14ac:dyDescent="0.25">
      <c r="A45" s="54"/>
      <c r="B45" s="53" t="s">
        <v>172</v>
      </c>
    </row>
    <row r="46" spans="1:3" x14ac:dyDescent="0.25">
      <c r="A46" s="54"/>
    </row>
    <row r="47" spans="1:3" x14ac:dyDescent="0.25">
      <c r="A47" s="54"/>
    </row>
  </sheetData>
  <mergeCells count="2">
    <mergeCell ref="D6:E6"/>
    <mergeCell ref="G6:H6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AB32"/>
  <sheetViews>
    <sheetView topLeftCell="A2" zoomScale="130" zoomScaleNormal="130" workbookViewId="0">
      <pane xSplit="3" ySplit="3" topLeftCell="L5" activePane="bottomRight" state="frozen"/>
      <selection activeCell="A2" sqref="A2"/>
      <selection pane="topRight" activeCell="D2" sqref="D2"/>
      <selection pane="bottomLeft" activeCell="A5" sqref="A5"/>
      <selection pane="bottomRight" activeCell="C12" sqref="C12"/>
    </sheetView>
  </sheetViews>
  <sheetFormatPr defaultColWidth="11" defaultRowHeight="15.75" x14ac:dyDescent="0.25"/>
  <cols>
    <col min="2" max="2" width="5.875" customWidth="1"/>
    <col min="3" max="3" width="60.875" customWidth="1"/>
    <col min="4" max="14" width="14.375" style="2" customWidth="1"/>
    <col min="15" max="15" width="15" style="2" bestFit="1" customWidth="1"/>
    <col min="16" max="22" width="14.375" customWidth="1"/>
    <col min="23" max="23" width="15.625" customWidth="1"/>
    <col min="24" max="24" width="16" customWidth="1"/>
    <col min="26" max="26" width="34" customWidth="1"/>
    <col min="27" max="27" width="10.875" style="2"/>
  </cols>
  <sheetData>
    <row r="2" spans="2:24" x14ac:dyDescent="0.25">
      <c r="B2" t="s">
        <v>0</v>
      </c>
    </row>
    <row r="4" spans="2:24" x14ac:dyDescent="0.25">
      <c r="B4" s="3" t="s">
        <v>1</v>
      </c>
      <c r="C4" s="4" t="s">
        <v>2</v>
      </c>
      <c r="D4" s="5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8" t="s">
        <v>23</v>
      </c>
    </row>
    <row r="5" spans="2:24" x14ac:dyDescent="0.25">
      <c r="B5" s="9">
        <v>1</v>
      </c>
      <c r="C5" t="s">
        <v>24</v>
      </c>
      <c r="D5" s="10">
        <v>1000000000</v>
      </c>
      <c r="X5" s="11">
        <f>SUM(D5:W5)</f>
        <v>1000000000</v>
      </c>
    </row>
    <row r="6" spans="2:24" x14ac:dyDescent="0.25">
      <c r="B6" s="9">
        <f>+B5+1</f>
        <v>2</v>
      </c>
      <c r="C6" t="s">
        <v>25</v>
      </c>
      <c r="E6" s="12">
        <v>150000000</v>
      </c>
      <c r="F6" s="12">
        <v>150000000</v>
      </c>
      <c r="G6" s="12">
        <v>150000000</v>
      </c>
      <c r="H6" s="12">
        <v>150000000</v>
      </c>
      <c r="I6" s="12">
        <v>150000000</v>
      </c>
      <c r="J6" s="12">
        <v>150000000</v>
      </c>
      <c r="K6" s="12">
        <v>150000000</v>
      </c>
      <c r="L6" s="12">
        <v>150000000</v>
      </c>
      <c r="M6" s="12">
        <v>150000000</v>
      </c>
      <c r="N6" s="12">
        <v>150000000</v>
      </c>
      <c r="O6" s="12">
        <v>150000000</v>
      </c>
      <c r="P6" s="12">
        <v>150000000</v>
      </c>
      <c r="Q6" s="12">
        <v>150000000</v>
      </c>
      <c r="R6" s="12">
        <v>150000000</v>
      </c>
      <c r="S6" s="12">
        <v>150000000</v>
      </c>
      <c r="T6" s="12">
        <v>150000000</v>
      </c>
      <c r="U6" s="12">
        <v>150000000</v>
      </c>
      <c r="V6" s="12">
        <v>150000000</v>
      </c>
      <c r="W6" s="12">
        <v>150000000</v>
      </c>
      <c r="X6" s="11">
        <f t="shared" ref="X6:X21" si="0">SUM(D6:W6)</f>
        <v>2850000000</v>
      </c>
    </row>
    <row r="7" spans="2:24" x14ac:dyDescent="0.25">
      <c r="B7" s="9">
        <f t="shared" ref="B7:B14" si="1">+B6+1</f>
        <v>3</v>
      </c>
      <c r="C7" t="s">
        <v>26</v>
      </c>
      <c r="E7" s="13">
        <v>50000000</v>
      </c>
      <c r="F7" s="13">
        <v>50000000</v>
      </c>
      <c r="G7" s="13">
        <v>50000000</v>
      </c>
      <c r="H7" s="13">
        <v>50000000</v>
      </c>
      <c r="I7" s="13">
        <v>50000000</v>
      </c>
      <c r="J7" s="13">
        <v>50000000</v>
      </c>
      <c r="K7" s="13">
        <v>50000000</v>
      </c>
      <c r="L7" s="13">
        <v>50000000</v>
      </c>
      <c r="M7" s="2">
        <v>100000000</v>
      </c>
      <c r="N7" s="2">
        <v>100000000</v>
      </c>
      <c r="O7" s="2">
        <v>100000000</v>
      </c>
      <c r="P7" s="2">
        <v>170000000</v>
      </c>
      <c r="Q7" s="2">
        <v>170000000</v>
      </c>
      <c r="R7" s="2">
        <v>170000000</v>
      </c>
      <c r="S7" s="2">
        <v>170000000</v>
      </c>
      <c r="T7" s="2">
        <v>170000000</v>
      </c>
      <c r="U7" s="2">
        <v>170000000</v>
      </c>
      <c r="V7" s="2">
        <v>170000000</v>
      </c>
      <c r="W7" s="2">
        <v>170000000</v>
      </c>
      <c r="X7" s="11">
        <f t="shared" si="0"/>
        <v>2060000000</v>
      </c>
    </row>
    <row r="8" spans="2:24" x14ac:dyDescent="0.25">
      <c r="B8" s="9">
        <f>+B7+1</f>
        <v>4</v>
      </c>
      <c r="C8" t="s">
        <v>27</v>
      </c>
      <c r="E8" s="13"/>
      <c r="F8" s="13"/>
      <c r="G8" s="13"/>
      <c r="H8" s="13"/>
      <c r="I8" s="13">
        <v>20000000</v>
      </c>
      <c r="J8" s="13">
        <v>20000000</v>
      </c>
      <c r="K8" s="13">
        <v>20000000</v>
      </c>
      <c r="L8" s="13">
        <v>20000000</v>
      </c>
      <c r="M8" s="13">
        <v>20000000</v>
      </c>
      <c r="N8" s="13">
        <v>20000000</v>
      </c>
      <c r="O8" s="13">
        <v>20000000</v>
      </c>
      <c r="P8" s="13">
        <v>20000000</v>
      </c>
      <c r="Q8" s="13">
        <v>20000000</v>
      </c>
      <c r="R8" s="13">
        <v>20000000</v>
      </c>
      <c r="S8" s="13">
        <v>20000000</v>
      </c>
      <c r="T8" s="13">
        <v>20000000</v>
      </c>
      <c r="U8" s="13">
        <v>20000000</v>
      </c>
      <c r="V8" s="13">
        <v>20000000</v>
      </c>
      <c r="W8" s="13">
        <v>20000000</v>
      </c>
      <c r="X8" s="11">
        <f t="shared" si="0"/>
        <v>300000000</v>
      </c>
    </row>
    <row r="9" spans="2:24" x14ac:dyDescent="0.25">
      <c r="B9" s="9">
        <f>+B8+1</f>
        <v>5</v>
      </c>
      <c r="C9" t="s">
        <v>28</v>
      </c>
      <c r="E9" s="2">
        <v>626784710</v>
      </c>
      <c r="G9" s="2">
        <v>629346630</v>
      </c>
      <c r="X9" s="11">
        <f t="shared" si="0"/>
        <v>1256131340</v>
      </c>
    </row>
    <row r="10" spans="2:24" x14ac:dyDescent="0.25">
      <c r="B10" s="9">
        <f t="shared" si="1"/>
        <v>6</v>
      </c>
      <c r="C10" t="s">
        <v>29</v>
      </c>
      <c r="E10" s="14">
        <v>400000000</v>
      </c>
      <c r="X10" s="15">
        <f t="shared" si="0"/>
        <v>400000000</v>
      </c>
    </row>
    <row r="11" spans="2:24" x14ac:dyDescent="0.25">
      <c r="B11" s="9">
        <f t="shared" si="1"/>
        <v>7</v>
      </c>
      <c r="C11" t="s">
        <v>30</v>
      </c>
      <c r="O11" s="14">
        <v>250000000</v>
      </c>
      <c r="X11" s="15">
        <f t="shared" si="0"/>
        <v>250000000</v>
      </c>
    </row>
    <row r="12" spans="2:24" x14ac:dyDescent="0.25">
      <c r="B12" s="9">
        <f t="shared" si="1"/>
        <v>8</v>
      </c>
      <c r="C12" t="s">
        <v>31</v>
      </c>
      <c r="P12" s="14">
        <v>467900000</v>
      </c>
      <c r="W12" s="2">
        <f>+P12*9</f>
        <v>4211100000</v>
      </c>
      <c r="X12" s="15">
        <f t="shared" si="0"/>
        <v>4679000000</v>
      </c>
    </row>
    <row r="13" spans="2:24" x14ac:dyDescent="0.25">
      <c r="B13" s="9">
        <f t="shared" si="1"/>
        <v>9</v>
      </c>
      <c r="C13" t="s">
        <v>32</v>
      </c>
      <c r="P13" s="14">
        <v>3000000000</v>
      </c>
      <c r="X13" s="15">
        <f t="shared" si="0"/>
        <v>3000000000</v>
      </c>
    </row>
    <row r="14" spans="2:24" x14ac:dyDescent="0.25">
      <c r="B14" s="9">
        <f t="shared" si="1"/>
        <v>10</v>
      </c>
      <c r="C14" t="s">
        <v>33</v>
      </c>
      <c r="O14" s="10">
        <v>7000000000</v>
      </c>
      <c r="R14" s="2"/>
      <c r="X14" s="15">
        <f t="shared" si="0"/>
        <v>7000000000</v>
      </c>
    </row>
    <row r="15" spans="2:24" x14ac:dyDescent="0.25">
      <c r="B15" s="9">
        <v>11</v>
      </c>
      <c r="C15" t="s">
        <v>34</v>
      </c>
      <c r="M15" s="2">
        <v>91119300</v>
      </c>
      <c r="O15" s="2">
        <v>200000000</v>
      </c>
      <c r="X15" s="11">
        <f t="shared" si="0"/>
        <v>291119300</v>
      </c>
    </row>
    <row r="16" spans="2:24" x14ac:dyDescent="0.25">
      <c r="B16" s="9">
        <v>12</v>
      </c>
      <c r="C16" t="s">
        <v>35</v>
      </c>
      <c r="E16" s="2">
        <v>300000000</v>
      </c>
      <c r="F16" s="2">
        <v>300000000</v>
      </c>
      <c r="G16" s="2">
        <v>300000000</v>
      </c>
      <c r="H16" s="2">
        <v>300000000</v>
      </c>
      <c r="I16" s="2">
        <v>300000000</v>
      </c>
      <c r="J16" s="2">
        <v>300000000</v>
      </c>
      <c r="K16" s="2">
        <v>300000000</v>
      </c>
      <c r="L16" s="2">
        <v>300000000</v>
      </c>
      <c r="M16" s="2">
        <v>300000000</v>
      </c>
      <c r="N16" s="2">
        <v>300000000</v>
      </c>
      <c r="O16" s="2">
        <v>300000000</v>
      </c>
      <c r="P16" s="2">
        <v>300000000</v>
      </c>
      <c r="Q16" s="2">
        <v>300000000</v>
      </c>
      <c r="R16" s="2">
        <v>300000000</v>
      </c>
      <c r="S16" s="2">
        <v>300000000</v>
      </c>
      <c r="T16" s="2">
        <v>300000000</v>
      </c>
      <c r="U16" s="2">
        <v>300000000</v>
      </c>
      <c r="V16" s="2">
        <v>300000000</v>
      </c>
      <c r="W16" s="2">
        <v>300000000</v>
      </c>
      <c r="X16" s="11">
        <f t="shared" si="0"/>
        <v>5700000000</v>
      </c>
    </row>
    <row r="17" spans="2:28" x14ac:dyDescent="0.25">
      <c r="B17" s="9"/>
      <c r="P17" s="2"/>
      <c r="Q17" s="2"/>
      <c r="R17" s="2"/>
      <c r="S17" s="2"/>
      <c r="T17" s="2"/>
      <c r="U17" s="2"/>
      <c r="V17" s="2"/>
      <c r="W17" s="2"/>
      <c r="X17" s="11"/>
    </row>
    <row r="18" spans="2:28" x14ac:dyDescent="0.25">
      <c r="B18" s="9">
        <v>13</v>
      </c>
      <c r="C18" t="s">
        <v>36</v>
      </c>
      <c r="N18" s="14">
        <v>420000000</v>
      </c>
      <c r="Q18" s="14">
        <f>420000000*2</f>
        <v>840000000</v>
      </c>
      <c r="S18" s="14">
        <f>420000000*2</f>
        <v>840000000</v>
      </c>
      <c r="T18" s="14">
        <f>+N18*4</f>
        <v>1680000000</v>
      </c>
      <c r="W18" s="15">
        <f>+N18</f>
        <v>420000000</v>
      </c>
      <c r="X18" s="11">
        <f t="shared" si="0"/>
        <v>4200000000</v>
      </c>
    </row>
    <row r="19" spans="2:28" x14ac:dyDescent="0.25">
      <c r="B19" s="9">
        <v>14</v>
      </c>
      <c r="C19" t="s">
        <v>37</v>
      </c>
      <c r="W19" s="2">
        <v>5000000000</v>
      </c>
      <c r="X19" s="11">
        <f t="shared" si="0"/>
        <v>5000000000</v>
      </c>
    </row>
    <row r="20" spans="2:28" x14ac:dyDescent="0.25">
      <c r="B20" s="9">
        <v>15</v>
      </c>
      <c r="C20" t="s">
        <v>38</v>
      </c>
      <c r="W20" s="2">
        <f>85000000000-X24+14000000000</f>
        <v>61573749360</v>
      </c>
      <c r="X20" s="11">
        <f t="shared" si="0"/>
        <v>61573749360</v>
      </c>
    </row>
    <row r="21" spans="2:28" x14ac:dyDescent="0.25">
      <c r="B21" s="9"/>
      <c r="X21" s="11">
        <f t="shared" si="0"/>
        <v>0</v>
      </c>
    </row>
    <row r="22" spans="2:28" x14ac:dyDescent="0.25">
      <c r="B22" s="16"/>
      <c r="C22" s="17" t="s">
        <v>23</v>
      </c>
      <c r="D22" s="18">
        <f t="shared" ref="D22:X22" si="2">SUM(D5:D21)</f>
        <v>1000000000</v>
      </c>
      <c r="E22" s="18">
        <f t="shared" si="2"/>
        <v>1526784710</v>
      </c>
      <c r="F22" s="18">
        <f t="shared" si="2"/>
        <v>500000000</v>
      </c>
      <c r="G22" s="18">
        <f t="shared" si="2"/>
        <v>1129346630</v>
      </c>
      <c r="H22" s="18">
        <f t="shared" si="2"/>
        <v>500000000</v>
      </c>
      <c r="I22" s="18">
        <f t="shared" si="2"/>
        <v>520000000</v>
      </c>
      <c r="J22" s="18">
        <f t="shared" si="2"/>
        <v>520000000</v>
      </c>
      <c r="K22" s="18">
        <f t="shared" si="2"/>
        <v>520000000</v>
      </c>
      <c r="L22" s="18">
        <f t="shared" si="2"/>
        <v>520000000</v>
      </c>
      <c r="M22" s="18">
        <f t="shared" si="2"/>
        <v>661119300</v>
      </c>
      <c r="N22" s="18">
        <f t="shared" si="2"/>
        <v>990000000</v>
      </c>
      <c r="O22" s="18">
        <f t="shared" si="2"/>
        <v>8020000000</v>
      </c>
      <c r="P22" s="18">
        <f t="shared" si="2"/>
        <v>4107900000</v>
      </c>
      <c r="Q22" s="18">
        <f t="shared" si="2"/>
        <v>1480000000</v>
      </c>
      <c r="R22" s="18">
        <f t="shared" si="2"/>
        <v>640000000</v>
      </c>
      <c r="S22" s="18">
        <f t="shared" si="2"/>
        <v>1480000000</v>
      </c>
      <c r="T22" s="18">
        <f t="shared" si="2"/>
        <v>2320000000</v>
      </c>
      <c r="U22" s="18">
        <f t="shared" si="2"/>
        <v>640000000</v>
      </c>
      <c r="V22" s="18">
        <f t="shared" si="2"/>
        <v>640000000</v>
      </c>
      <c r="W22" s="18">
        <f t="shared" si="2"/>
        <v>71844849360</v>
      </c>
      <c r="X22" s="19">
        <f t="shared" si="2"/>
        <v>99560000000</v>
      </c>
    </row>
    <row r="23" spans="2:28" x14ac:dyDescent="0.25">
      <c r="B23" s="9"/>
    </row>
    <row r="24" spans="2:28" x14ac:dyDescent="0.25">
      <c r="B24" s="9"/>
      <c r="X24" s="11">
        <v>37426250640</v>
      </c>
    </row>
    <row r="25" spans="2:28" x14ac:dyDescent="0.25">
      <c r="Z25" t="s">
        <v>39</v>
      </c>
      <c r="AA25" s="2">
        <v>14500</v>
      </c>
      <c r="AB25" t="s">
        <v>42</v>
      </c>
    </row>
    <row r="26" spans="2:28" x14ac:dyDescent="0.25">
      <c r="Z26" t="s">
        <v>40</v>
      </c>
      <c r="AA26" s="1">
        <v>6.61</v>
      </c>
      <c r="AB26" t="s">
        <v>41</v>
      </c>
    </row>
    <row r="27" spans="2:28" x14ac:dyDescent="0.25">
      <c r="Z27" t="s">
        <v>43</v>
      </c>
      <c r="AA27" s="1">
        <f>+[3]VPC!$O$28</f>
        <v>165.8725230666667</v>
      </c>
      <c r="AB27" t="s">
        <v>51</v>
      </c>
    </row>
    <row r="28" spans="2:28" x14ac:dyDescent="0.25">
      <c r="Z28" t="s">
        <v>44</v>
      </c>
      <c r="AA28" s="2">
        <v>20000</v>
      </c>
      <c r="AB28" s="20" t="s">
        <v>46</v>
      </c>
    </row>
    <row r="29" spans="2:28" x14ac:dyDescent="0.25">
      <c r="Z29" t="s">
        <v>49</v>
      </c>
      <c r="AA29" s="2">
        <v>420</v>
      </c>
      <c r="AB29" s="20" t="s">
        <v>50</v>
      </c>
    </row>
    <row r="30" spans="2:28" x14ac:dyDescent="0.25">
      <c r="Z30" t="s">
        <v>45</v>
      </c>
      <c r="AA30" s="2">
        <v>20000</v>
      </c>
      <c r="AB30" s="20" t="s">
        <v>46</v>
      </c>
    </row>
    <row r="31" spans="2:28" x14ac:dyDescent="0.25">
      <c r="Z31" t="s">
        <v>47</v>
      </c>
      <c r="AA31" s="21">
        <v>0.02</v>
      </c>
      <c r="AB31" s="20" t="s">
        <v>46</v>
      </c>
    </row>
    <row r="32" spans="2:28" x14ac:dyDescent="0.25">
      <c r="Z32" t="s">
        <v>48</v>
      </c>
      <c r="AA32" s="21">
        <v>0.05</v>
      </c>
      <c r="AB32" s="20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DD13-A8BE-4BB9-944B-20CFBE6E89B1}">
  <sheetPr>
    <tabColor theme="9" tint="0.39997558519241921"/>
  </sheetPr>
  <dimension ref="A1:AG41"/>
  <sheetViews>
    <sheetView showGridLines="0" workbookViewId="0">
      <pane ySplit="7" topLeftCell="A8" activePane="bottomLeft" state="frozen"/>
      <selection pane="bottomLeft" activeCell="W17" sqref="W17"/>
    </sheetView>
  </sheetViews>
  <sheetFormatPr defaultColWidth="8.625" defaultRowHeight="11.25" x14ac:dyDescent="0.2"/>
  <cols>
    <col min="1" max="1" width="5" style="198" bestFit="1" customWidth="1"/>
    <col min="2" max="2" width="5" style="198" customWidth="1"/>
    <col min="3" max="5" width="6.625" style="227" customWidth="1"/>
    <col min="6" max="6" width="7.375" style="227" customWidth="1"/>
    <col min="7" max="7" width="1.625" style="227" customWidth="1"/>
    <col min="8" max="10" width="6.625" style="227" customWidth="1"/>
    <col min="11" max="11" width="7.125" style="227" customWidth="1"/>
    <col min="12" max="12" width="1.625" style="227" customWidth="1"/>
    <col min="13" max="15" width="6.625" style="227" customWidth="1"/>
    <col min="16" max="16" width="7.75" style="227" customWidth="1"/>
    <col min="17" max="17" width="1.625" style="227" customWidth="1"/>
    <col min="18" max="20" width="6.625" style="227" customWidth="1"/>
    <col min="21" max="21" width="7.25" style="227" customWidth="1"/>
    <col min="22" max="16384" width="8.625" style="198"/>
  </cols>
  <sheetData>
    <row r="1" spans="1:33" x14ac:dyDescent="0.2">
      <c r="A1" s="279" t="str">
        <f>Assumption!A1</f>
        <v>Bisnis Penyewaan INTEGRATED COLD STORAGE - Revitalitation</v>
      </c>
    </row>
    <row r="2" spans="1:33" x14ac:dyDescent="0.2">
      <c r="A2" s="279" t="str">
        <f>Assumption!A2</f>
        <v>Financial Pre-Feasibility Study</v>
      </c>
    </row>
    <row r="3" spans="1:33" x14ac:dyDescent="0.2">
      <c r="A3" s="281" t="s">
        <v>807</v>
      </c>
    </row>
    <row r="6" spans="1:33" s="418" customFormat="1" ht="15.6" customHeight="1" x14ac:dyDescent="0.25">
      <c r="A6" s="418" t="s">
        <v>808</v>
      </c>
      <c r="B6" s="282"/>
      <c r="C6" s="750" t="s">
        <v>809</v>
      </c>
      <c r="D6" s="750"/>
      <c r="E6" s="750"/>
      <c r="F6" s="750"/>
      <c r="G6" s="419"/>
      <c r="H6" s="751" t="s">
        <v>810</v>
      </c>
      <c r="I6" s="751"/>
      <c r="J6" s="751"/>
      <c r="K6" s="751"/>
      <c r="L6" s="433"/>
      <c r="M6" s="752" t="s">
        <v>811</v>
      </c>
      <c r="N6" s="752"/>
      <c r="O6" s="752"/>
      <c r="P6" s="752"/>
      <c r="Q6" s="433"/>
      <c r="R6" s="753" t="s">
        <v>812</v>
      </c>
      <c r="S6" s="753"/>
      <c r="T6" s="753"/>
      <c r="U6" s="753"/>
      <c r="V6" s="312"/>
      <c r="W6" s="312"/>
      <c r="X6" s="312"/>
      <c r="Y6" s="312"/>
      <c r="Z6" s="312"/>
      <c r="AA6" s="312"/>
      <c r="AB6" s="312"/>
      <c r="AC6" s="312"/>
      <c r="AD6" s="312"/>
      <c r="AE6" s="312"/>
      <c r="AF6" s="312"/>
      <c r="AG6" s="312"/>
    </row>
    <row r="7" spans="1:33" s="418" customFormat="1" ht="23.1" customHeight="1" x14ac:dyDescent="0.25">
      <c r="B7" s="419"/>
      <c r="C7" s="425" t="s">
        <v>803</v>
      </c>
      <c r="D7" s="425" t="s">
        <v>804</v>
      </c>
      <c r="E7" s="425" t="s">
        <v>805</v>
      </c>
      <c r="F7" s="426" t="s">
        <v>806</v>
      </c>
      <c r="G7" s="419"/>
      <c r="H7" s="427" t="s">
        <v>803</v>
      </c>
      <c r="I7" s="427" t="s">
        <v>804</v>
      </c>
      <c r="J7" s="427" t="s">
        <v>805</v>
      </c>
      <c r="K7" s="428" t="s">
        <v>806</v>
      </c>
      <c r="L7" s="433"/>
      <c r="M7" s="429" t="s">
        <v>803</v>
      </c>
      <c r="N7" s="429" t="s">
        <v>804</v>
      </c>
      <c r="O7" s="429" t="s">
        <v>805</v>
      </c>
      <c r="P7" s="430" t="s">
        <v>806</v>
      </c>
      <c r="Q7" s="433"/>
      <c r="R7" s="431" t="s">
        <v>803</v>
      </c>
      <c r="S7" s="431" t="s">
        <v>804</v>
      </c>
      <c r="T7" s="431" t="s">
        <v>805</v>
      </c>
      <c r="U7" s="432" t="s">
        <v>806</v>
      </c>
      <c r="V7" s="312"/>
      <c r="W7" s="312"/>
      <c r="X7" s="312"/>
      <c r="Y7" s="312"/>
      <c r="Z7" s="312"/>
      <c r="AA7" s="312"/>
      <c r="AB7" s="312"/>
      <c r="AC7" s="312"/>
      <c r="AD7" s="312"/>
      <c r="AE7" s="312"/>
      <c r="AF7" s="312"/>
      <c r="AG7" s="312"/>
    </row>
    <row r="8" spans="1:33" x14ac:dyDescent="0.2">
      <c r="A8" s="227">
        <v>1</v>
      </c>
      <c r="B8" s="227"/>
      <c r="C8" s="417">
        <v>5</v>
      </c>
      <c r="D8" s="417">
        <f>C8</f>
        <v>5</v>
      </c>
      <c r="E8" s="417"/>
      <c r="F8" s="417"/>
      <c r="H8" s="227">
        <v>8</v>
      </c>
      <c r="I8" s="227">
        <f>H8</f>
        <v>8</v>
      </c>
      <c r="K8" s="227">
        <f>H8</f>
        <v>8</v>
      </c>
      <c r="M8" s="416">
        <v>4</v>
      </c>
      <c r="N8" s="416">
        <f>M8</f>
        <v>4</v>
      </c>
      <c r="O8" s="416"/>
      <c r="P8" s="416"/>
      <c r="R8" s="417">
        <v>6</v>
      </c>
      <c r="S8" s="417">
        <f>R8</f>
        <v>6</v>
      </c>
      <c r="T8" s="417"/>
      <c r="U8" s="417"/>
    </row>
    <row r="9" spans="1:33" x14ac:dyDescent="0.2">
      <c r="A9" s="421">
        <v>2</v>
      </c>
      <c r="B9" s="227"/>
      <c r="C9" s="422">
        <f>C8</f>
        <v>5</v>
      </c>
      <c r="D9" s="422">
        <f>C9+D8</f>
        <v>10</v>
      </c>
      <c r="E9" s="422"/>
      <c r="F9" s="422"/>
      <c r="H9" s="421">
        <v>8</v>
      </c>
      <c r="I9" s="421">
        <f>H9+I8</f>
        <v>16</v>
      </c>
      <c r="J9" s="421"/>
      <c r="K9" s="421">
        <f>K8+H9</f>
        <v>16</v>
      </c>
      <c r="M9" s="423">
        <v>4</v>
      </c>
      <c r="N9" s="423">
        <f>M9+N8</f>
        <v>8</v>
      </c>
      <c r="O9" s="423"/>
      <c r="P9" s="423"/>
      <c r="R9" s="422">
        <f>R8</f>
        <v>6</v>
      </c>
      <c r="S9" s="422">
        <f>R9+S8</f>
        <v>12</v>
      </c>
      <c r="T9" s="422"/>
      <c r="U9" s="422"/>
    </row>
    <row r="10" spans="1:33" x14ac:dyDescent="0.2">
      <c r="A10" s="421">
        <v>3</v>
      </c>
      <c r="B10" s="227"/>
      <c r="C10" s="422">
        <f>C9</f>
        <v>5</v>
      </c>
      <c r="D10" s="422">
        <f t="shared" ref="D10:D37" si="0">C10+D9</f>
        <v>15</v>
      </c>
      <c r="E10" s="422"/>
      <c r="F10" s="422">
        <f>D10-E10</f>
        <v>15</v>
      </c>
      <c r="H10" s="421">
        <v>8</v>
      </c>
      <c r="I10" s="421">
        <f t="shared" ref="I10:I37" si="1">H10+I9</f>
        <v>24</v>
      </c>
      <c r="J10" s="421">
        <v>20</v>
      </c>
      <c r="K10" s="421">
        <f>I10-J10</f>
        <v>4</v>
      </c>
      <c r="M10" s="423">
        <v>4</v>
      </c>
      <c r="N10" s="423">
        <f t="shared" ref="N10:N37" si="2">M10+N9</f>
        <v>12</v>
      </c>
      <c r="O10" s="423"/>
      <c r="P10" s="423">
        <f>N10-O10</f>
        <v>12</v>
      </c>
      <c r="R10" s="422">
        <f>R9</f>
        <v>6</v>
      </c>
      <c r="S10" s="422">
        <f t="shared" ref="S10:S37" si="3">R10+S9</f>
        <v>18</v>
      </c>
      <c r="T10" s="422"/>
      <c r="U10" s="422">
        <f>S10-T10</f>
        <v>18</v>
      </c>
    </row>
    <row r="11" spans="1:33" x14ac:dyDescent="0.2">
      <c r="A11" s="421">
        <v>4</v>
      </c>
      <c r="B11" s="227"/>
      <c r="C11" s="422">
        <f>C10</f>
        <v>5</v>
      </c>
      <c r="D11" s="422">
        <f t="shared" si="0"/>
        <v>20</v>
      </c>
      <c r="E11" s="422"/>
      <c r="F11" s="422">
        <f>F10+C11</f>
        <v>20</v>
      </c>
      <c r="H11" s="421">
        <v>8</v>
      </c>
      <c r="I11" s="421">
        <f t="shared" si="1"/>
        <v>32</v>
      </c>
      <c r="J11" s="421"/>
      <c r="K11" s="421">
        <f>K10+H11</f>
        <v>12</v>
      </c>
      <c r="M11" s="423">
        <v>4</v>
      </c>
      <c r="N11" s="423">
        <f t="shared" si="2"/>
        <v>16</v>
      </c>
      <c r="O11" s="423"/>
      <c r="P11" s="423">
        <f>P10+M11</f>
        <v>16</v>
      </c>
      <c r="R11" s="422">
        <f>R10</f>
        <v>6</v>
      </c>
      <c r="S11" s="422">
        <f t="shared" si="3"/>
        <v>24</v>
      </c>
      <c r="T11" s="422"/>
      <c r="U11" s="422">
        <f>U10+R11</f>
        <v>24</v>
      </c>
    </row>
    <row r="12" spans="1:33" x14ac:dyDescent="0.2">
      <c r="A12" s="421">
        <v>5</v>
      </c>
      <c r="B12" s="227"/>
      <c r="C12" s="422">
        <v>0</v>
      </c>
      <c r="D12" s="422">
        <f t="shared" si="0"/>
        <v>20</v>
      </c>
      <c r="E12" s="422">
        <v>20</v>
      </c>
      <c r="F12" s="422">
        <f>F11-E12+C12</f>
        <v>0</v>
      </c>
      <c r="H12" s="421">
        <v>0</v>
      </c>
      <c r="I12" s="421">
        <f t="shared" si="1"/>
        <v>32</v>
      </c>
      <c r="J12" s="421"/>
      <c r="K12" s="421">
        <f>K11+H12</f>
        <v>12</v>
      </c>
      <c r="M12" s="423">
        <v>0</v>
      </c>
      <c r="N12" s="423">
        <f t="shared" si="2"/>
        <v>16</v>
      </c>
      <c r="O12" s="423"/>
      <c r="P12" s="423">
        <f>P11+M12</f>
        <v>16</v>
      </c>
      <c r="R12" s="422">
        <v>0</v>
      </c>
      <c r="S12" s="422">
        <f t="shared" si="3"/>
        <v>24</v>
      </c>
      <c r="T12" s="422">
        <v>20</v>
      </c>
      <c r="U12" s="422">
        <f>U11-T12+R12</f>
        <v>4</v>
      </c>
    </row>
    <row r="13" spans="1:33" x14ac:dyDescent="0.2">
      <c r="A13" s="421">
        <v>6</v>
      </c>
      <c r="B13" s="227"/>
      <c r="C13" s="422">
        <v>5</v>
      </c>
      <c r="D13" s="422">
        <f t="shared" si="0"/>
        <v>25</v>
      </c>
      <c r="E13" s="422"/>
      <c r="F13" s="422">
        <f>F12+C13</f>
        <v>5</v>
      </c>
      <c r="H13" s="421">
        <v>8</v>
      </c>
      <c r="I13" s="421">
        <f t="shared" si="1"/>
        <v>40</v>
      </c>
      <c r="J13" s="421"/>
      <c r="K13" s="421">
        <f>K12+H13</f>
        <v>20</v>
      </c>
      <c r="M13" s="423">
        <v>4</v>
      </c>
      <c r="N13" s="423">
        <f t="shared" si="2"/>
        <v>20</v>
      </c>
      <c r="O13" s="423"/>
      <c r="P13" s="423">
        <f>P12+M13</f>
        <v>20</v>
      </c>
      <c r="R13" s="422">
        <v>6</v>
      </c>
      <c r="S13" s="422">
        <f t="shared" si="3"/>
        <v>30</v>
      </c>
      <c r="T13" s="422"/>
      <c r="U13" s="422">
        <f>U12+R13</f>
        <v>10</v>
      </c>
    </row>
    <row r="14" spans="1:33" x14ac:dyDescent="0.2">
      <c r="A14" s="421">
        <v>7</v>
      </c>
      <c r="B14" s="227"/>
      <c r="C14" s="422">
        <v>5</v>
      </c>
      <c r="D14" s="422">
        <f t="shared" si="0"/>
        <v>30</v>
      </c>
      <c r="E14" s="422"/>
      <c r="F14" s="422">
        <f>F13+C14</f>
        <v>10</v>
      </c>
      <c r="H14" s="421">
        <v>8</v>
      </c>
      <c r="I14" s="421">
        <f t="shared" si="1"/>
        <v>48</v>
      </c>
      <c r="J14" s="421">
        <v>20</v>
      </c>
      <c r="K14" s="421">
        <f>H14</f>
        <v>8</v>
      </c>
      <c r="M14" s="423">
        <v>4</v>
      </c>
      <c r="N14" s="423">
        <f t="shared" si="2"/>
        <v>24</v>
      </c>
      <c r="O14" s="423">
        <v>20</v>
      </c>
      <c r="P14" s="423">
        <f>M14</f>
        <v>4</v>
      </c>
      <c r="R14" s="422">
        <v>6</v>
      </c>
      <c r="S14" s="422">
        <f t="shared" si="3"/>
        <v>36</v>
      </c>
      <c r="T14" s="422"/>
      <c r="U14" s="422">
        <f>U13+R14</f>
        <v>16</v>
      </c>
    </row>
    <row r="15" spans="1:33" x14ac:dyDescent="0.2">
      <c r="A15" s="421">
        <v>8</v>
      </c>
      <c r="B15" s="227"/>
      <c r="C15" s="422">
        <v>5</v>
      </c>
      <c r="D15" s="422">
        <f t="shared" si="0"/>
        <v>35</v>
      </c>
      <c r="E15" s="422"/>
      <c r="F15" s="422">
        <f>F14+C15</f>
        <v>15</v>
      </c>
      <c r="H15" s="421">
        <v>8</v>
      </c>
      <c r="I15" s="421">
        <f t="shared" si="1"/>
        <v>56</v>
      </c>
      <c r="J15" s="421"/>
      <c r="K15" s="421">
        <f>K14+H15</f>
        <v>16</v>
      </c>
      <c r="M15" s="423">
        <v>4</v>
      </c>
      <c r="N15" s="423">
        <f t="shared" si="2"/>
        <v>28</v>
      </c>
      <c r="O15" s="423"/>
      <c r="P15" s="423">
        <f>P14+M15</f>
        <v>8</v>
      </c>
      <c r="R15" s="422">
        <v>6</v>
      </c>
      <c r="S15" s="422">
        <f t="shared" si="3"/>
        <v>42</v>
      </c>
      <c r="T15" s="422"/>
      <c r="U15" s="422">
        <f>U14+R15</f>
        <v>22</v>
      </c>
    </row>
    <row r="16" spans="1:33" x14ac:dyDescent="0.2">
      <c r="A16" s="421">
        <v>9</v>
      </c>
      <c r="B16" s="227"/>
      <c r="C16" s="422">
        <v>5</v>
      </c>
      <c r="D16" s="422">
        <f t="shared" si="0"/>
        <v>40</v>
      </c>
      <c r="E16" s="422"/>
      <c r="F16" s="422">
        <f>F15-E16+C16</f>
        <v>20</v>
      </c>
      <c r="H16" s="421">
        <v>8</v>
      </c>
      <c r="I16" s="421">
        <f t="shared" si="1"/>
        <v>64</v>
      </c>
      <c r="J16" s="421"/>
      <c r="K16" s="421">
        <f>K15+H16</f>
        <v>24</v>
      </c>
      <c r="M16" s="423">
        <v>4</v>
      </c>
      <c r="N16" s="423">
        <f t="shared" si="2"/>
        <v>32</v>
      </c>
      <c r="O16" s="423"/>
      <c r="P16" s="423">
        <f>P15+M16</f>
        <v>12</v>
      </c>
      <c r="R16" s="422">
        <v>6</v>
      </c>
      <c r="S16" s="422">
        <f t="shared" si="3"/>
        <v>48</v>
      </c>
      <c r="T16" s="422">
        <v>20</v>
      </c>
      <c r="U16" s="422">
        <f>U15-T16+R16</f>
        <v>8</v>
      </c>
    </row>
    <row r="17" spans="1:21" x14ac:dyDescent="0.2">
      <c r="A17" s="421">
        <v>10</v>
      </c>
      <c r="B17" s="227"/>
      <c r="C17" s="422">
        <v>5</v>
      </c>
      <c r="D17" s="422">
        <f t="shared" si="0"/>
        <v>45</v>
      </c>
      <c r="E17" s="422">
        <v>20</v>
      </c>
      <c r="F17" s="422">
        <f>(F16-E17)+C17</f>
        <v>5</v>
      </c>
      <c r="H17" s="421">
        <v>8</v>
      </c>
      <c r="I17" s="421">
        <f t="shared" si="1"/>
        <v>72</v>
      </c>
      <c r="J17" s="421">
        <v>20</v>
      </c>
      <c r="K17" s="421">
        <f>(K16-J17)+H17</f>
        <v>12</v>
      </c>
      <c r="M17" s="423">
        <v>4</v>
      </c>
      <c r="N17" s="423">
        <f t="shared" si="2"/>
        <v>36</v>
      </c>
      <c r="O17" s="423"/>
      <c r="P17" s="423">
        <f>(P16-O17)+M17</f>
        <v>16</v>
      </c>
      <c r="R17" s="422">
        <v>6</v>
      </c>
      <c r="S17" s="422">
        <f t="shared" si="3"/>
        <v>54</v>
      </c>
      <c r="T17" s="422"/>
      <c r="U17" s="422">
        <f>(U16-T17)+R17</f>
        <v>14</v>
      </c>
    </row>
    <row r="18" spans="1:21" x14ac:dyDescent="0.2">
      <c r="A18" s="421">
        <v>11</v>
      </c>
      <c r="B18" s="227"/>
      <c r="C18" s="422">
        <v>5</v>
      </c>
      <c r="D18" s="422">
        <f t="shared" si="0"/>
        <v>50</v>
      </c>
      <c r="E18" s="422"/>
      <c r="F18" s="422">
        <f>F17+C18</f>
        <v>10</v>
      </c>
      <c r="H18" s="421">
        <v>8</v>
      </c>
      <c r="I18" s="421">
        <f t="shared" si="1"/>
        <v>80</v>
      </c>
      <c r="J18" s="421"/>
      <c r="K18" s="421">
        <f>K17+H18</f>
        <v>20</v>
      </c>
      <c r="M18" s="423">
        <v>4</v>
      </c>
      <c r="N18" s="423">
        <f t="shared" si="2"/>
        <v>40</v>
      </c>
      <c r="O18" s="423"/>
      <c r="P18" s="423">
        <f>P17+M18</f>
        <v>20</v>
      </c>
      <c r="R18" s="422">
        <v>6</v>
      </c>
      <c r="S18" s="422">
        <f t="shared" si="3"/>
        <v>60</v>
      </c>
      <c r="T18" s="422"/>
      <c r="U18" s="422">
        <f>U17+R18</f>
        <v>20</v>
      </c>
    </row>
    <row r="19" spans="1:21" x14ac:dyDescent="0.2">
      <c r="A19" s="421">
        <v>12</v>
      </c>
      <c r="B19" s="227"/>
      <c r="C19" s="422">
        <v>0</v>
      </c>
      <c r="D19" s="422">
        <f t="shared" si="0"/>
        <v>50</v>
      </c>
      <c r="E19" s="422"/>
      <c r="F19" s="422">
        <f>F18+C19</f>
        <v>10</v>
      </c>
      <c r="H19" s="421">
        <v>0</v>
      </c>
      <c r="I19" s="421">
        <f t="shared" si="1"/>
        <v>80</v>
      </c>
      <c r="J19" s="421">
        <v>20</v>
      </c>
      <c r="K19" s="421">
        <v>0</v>
      </c>
      <c r="M19" s="423">
        <v>0</v>
      </c>
      <c r="N19" s="423">
        <f t="shared" si="2"/>
        <v>40</v>
      </c>
      <c r="O19" s="423">
        <v>20</v>
      </c>
      <c r="P19" s="423">
        <v>0</v>
      </c>
      <c r="R19" s="422">
        <v>0</v>
      </c>
      <c r="S19" s="422">
        <f t="shared" si="3"/>
        <v>60</v>
      </c>
      <c r="T19" s="422">
        <v>20</v>
      </c>
      <c r="U19" s="422">
        <v>0</v>
      </c>
    </row>
    <row r="20" spans="1:21" x14ac:dyDescent="0.2">
      <c r="A20" s="421">
        <v>13</v>
      </c>
      <c r="B20" s="227"/>
      <c r="C20" s="422">
        <v>5</v>
      </c>
      <c r="D20" s="422">
        <f t="shared" si="0"/>
        <v>55</v>
      </c>
      <c r="E20" s="422"/>
      <c r="F20" s="422">
        <f>F19+C20</f>
        <v>15</v>
      </c>
      <c r="H20" s="421">
        <v>8</v>
      </c>
      <c r="I20" s="421">
        <f t="shared" si="1"/>
        <v>88</v>
      </c>
      <c r="J20" s="421"/>
      <c r="K20" s="421">
        <f>H20</f>
        <v>8</v>
      </c>
      <c r="M20" s="423">
        <v>4</v>
      </c>
      <c r="N20" s="423">
        <f t="shared" si="2"/>
        <v>44</v>
      </c>
      <c r="O20" s="423"/>
      <c r="P20" s="423">
        <f>M20</f>
        <v>4</v>
      </c>
      <c r="R20" s="422">
        <v>6</v>
      </c>
      <c r="S20" s="422">
        <f t="shared" si="3"/>
        <v>66</v>
      </c>
      <c r="T20" s="422"/>
      <c r="U20" s="422">
        <f>R20</f>
        <v>6</v>
      </c>
    </row>
    <row r="21" spans="1:21" x14ac:dyDescent="0.2">
      <c r="A21" s="421">
        <v>14</v>
      </c>
      <c r="B21" s="227"/>
      <c r="C21" s="422">
        <v>5</v>
      </c>
      <c r="D21" s="422">
        <f t="shared" si="0"/>
        <v>60</v>
      </c>
      <c r="E21" s="422"/>
      <c r="F21" s="422">
        <f>F20+C21</f>
        <v>20</v>
      </c>
      <c r="H21" s="421">
        <v>8</v>
      </c>
      <c r="I21" s="421">
        <f t="shared" si="1"/>
        <v>96</v>
      </c>
      <c r="J21" s="421"/>
      <c r="K21" s="421">
        <f>K20+H21</f>
        <v>16</v>
      </c>
      <c r="M21" s="423">
        <v>4</v>
      </c>
      <c r="N21" s="423">
        <f t="shared" si="2"/>
        <v>48</v>
      </c>
      <c r="O21" s="423"/>
      <c r="P21" s="423">
        <f>P20+M21</f>
        <v>8</v>
      </c>
      <c r="R21" s="422">
        <v>6</v>
      </c>
      <c r="S21" s="422">
        <f t="shared" si="3"/>
        <v>72</v>
      </c>
      <c r="T21" s="422"/>
      <c r="U21" s="422">
        <f>U20+R21</f>
        <v>12</v>
      </c>
    </row>
    <row r="22" spans="1:21" x14ac:dyDescent="0.2">
      <c r="A22" s="421">
        <v>15</v>
      </c>
      <c r="B22" s="227"/>
      <c r="C22" s="422">
        <v>5</v>
      </c>
      <c r="D22" s="422">
        <f t="shared" si="0"/>
        <v>65</v>
      </c>
      <c r="E22" s="422">
        <v>20</v>
      </c>
      <c r="F22" s="422">
        <f>C22</f>
        <v>5</v>
      </c>
      <c r="H22" s="421">
        <v>8</v>
      </c>
      <c r="I22" s="421">
        <f t="shared" si="1"/>
        <v>104</v>
      </c>
      <c r="J22" s="421"/>
      <c r="K22" s="421">
        <f>K21+H22</f>
        <v>24</v>
      </c>
      <c r="M22" s="423">
        <v>4</v>
      </c>
      <c r="N22" s="423">
        <f t="shared" si="2"/>
        <v>52</v>
      </c>
      <c r="O22" s="423"/>
      <c r="P22" s="423">
        <f>P21+M22</f>
        <v>12</v>
      </c>
      <c r="R22" s="422">
        <v>6</v>
      </c>
      <c r="S22" s="422">
        <f t="shared" si="3"/>
        <v>78</v>
      </c>
      <c r="T22" s="422"/>
      <c r="U22" s="422">
        <f>U21+R22</f>
        <v>18</v>
      </c>
    </row>
    <row r="23" spans="1:21" x14ac:dyDescent="0.2">
      <c r="A23" s="421">
        <v>16</v>
      </c>
      <c r="B23" s="227"/>
      <c r="C23" s="422">
        <v>5</v>
      </c>
      <c r="D23" s="422">
        <f t="shared" si="0"/>
        <v>70</v>
      </c>
      <c r="E23" s="422"/>
      <c r="F23" s="422">
        <f>(F22-E23)+C23</f>
        <v>10</v>
      </c>
      <c r="H23" s="421">
        <v>8</v>
      </c>
      <c r="I23" s="421">
        <f t="shared" si="1"/>
        <v>112</v>
      </c>
      <c r="J23" s="421">
        <v>20</v>
      </c>
      <c r="K23" s="421">
        <f>(K22-J23)+H23</f>
        <v>12</v>
      </c>
      <c r="M23" s="423">
        <v>4</v>
      </c>
      <c r="N23" s="423">
        <f t="shared" si="2"/>
        <v>56</v>
      </c>
      <c r="O23" s="423"/>
      <c r="P23" s="423">
        <f>(P22-O23)+M23</f>
        <v>16</v>
      </c>
      <c r="R23" s="422">
        <v>6</v>
      </c>
      <c r="S23" s="422">
        <f t="shared" si="3"/>
        <v>84</v>
      </c>
      <c r="T23" s="422"/>
      <c r="U23" s="422">
        <f>(U22-T23)+R23</f>
        <v>24</v>
      </c>
    </row>
    <row r="24" spans="1:21" x14ac:dyDescent="0.2">
      <c r="A24" s="421">
        <v>17</v>
      </c>
      <c r="B24" s="227"/>
      <c r="C24" s="422">
        <v>5</v>
      </c>
      <c r="D24" s="422">
        <f t="shared" si="0"/>
        <v>75</v>
      </c>
      <c r="E24" s="422"/>
      <c r="F24" s="422">
        <f>F23-E24+C24</f>
        <v>15</v>
      </c>
      <c r="H24" s="421">
        <v>8</v>
      </c>
      <c r="I24" s="421">
        <f t="shared" si="1"/>
        <v>120</v>
      </c>
      <c r="J24" s="421"/>
      <c r="K24" s="421">
        <f>K23+H24</f>
        <v>20</v>
      </c>
      <c r="M24" s="423">
        <v>4</v>
      </c>
      <c r="N24" s="423">
        <f t="shared" si="2"/>
        <v>60</v>
      </c>
      <c r="O24" s="423"/>
      <c r="P24" s="423">
        <f>P23+M24</f>
        <v>20</v>
      </c>
      <c r="R24" s="422">
        <v>6</v>
      </c>
      <c r="S24" s="422">
        <f t="shared" si="3"/>
        <v>90</v>
      </c>
      <c r="T24" s="422">
        <v>20</v>
      </c>
      <c r="U24" s="422">
        <f>U23-T24+R24</f>
        <v>10</v>
      </c>
    </row>
    <row r="25" spans="1:21" x14ac:dyDescent="0.2">
      <c r="A25" s="421">
        <v>18</v>
      </c>
      <c r="B25" s="227"/>
      <c r="C25" s="422">
        <v>5</v>
      </c>
      <c r="D25" s="422">
        <f t="shared" si="0"/>
        <v>80</v>
      </c>
      <c r="E25" s="422"/>
      <c r="F25" s="422">
        <f>F24+C25</f>
        <v>20</v>
      </c>
      <c r="H25" s="421">
        <v>8</v>
      </c>
      <c r="I25" s="421">
        <f t="shared" si="1"/>
        <v>128</v>
      </c>
      <c r="J25" s="421">
        <v>20</v>
      </c>
      <c r="K25" s="421">
        <f>H25</f>
        <v>8</v>
      </c>
      <c r="M25" s="423">
        <v>4</v>
      </c>
      <c r="N25" s="423">
        <f t="shared" si="2"/>
        <v>64</v>
      </c>
      <c r="O25" s="423">
        <v>20</v>
      </c>
      <c r="P25" s="423">
        <f>M25</f>
        <v>4</v>
      </c>
      <c r="R25" s="422">
        <v>6</v>
      </c>
      <c r="S25" s="422">
        <f t="shared" si="3"/>
        <v>96</v>
      </c>
      <c r="T25" s="422"/>
      <c r="U25" s="422">
        <f>U24+R25</f>
        <v>16</v>
      </c>
    </row>
    <row r="26" spans="1:21" x14ac:dyDescent="0.2">
      <c r="A26" s="421">
        <v>19</v>
      </c>
      <c r="B26" s="227"/>
      <c r="C26" s="422">
        <v>0</v>
      </c>
      <c r="D26" s="422">
        <f t="shared" si="0"/>
        <v>80</v>
      </c>
      <c r="E26" s="422">
        <v>20</v>
      </c>
      <c r="F26" s="422">
        <f>C26</f>
        <v>0</v>
      </c>
      <c r="H26" s="421">
        <v>0</v>
      </c>
      <c r="I26" s="421">
        <f t="shared" si="1"/>
        <v>128</v>
      </c>
      <c r="J26" s="421"/>
      <c r="K26" s="421">
        <f>K25+H26</f>
        <v>8</v>
      </c>
      <c r="M26" s="423">
        <v>0</v>
      </c>
      <c r="N26" s="423">
        <f t="shared" si="2"/>
        <v>64</v>
      </c>
      <c r="O26" s="423"/>
      <c r="P26" s="423">
        <f>P25+M26</f>
        <v>4</v>
      </c>
      <c r="R26" s="422">
        <v>0</v>
      </c>
      <c r="S26" s="422">
        <f t="shared" si="3"/>
        <v>96</v>
      </c>
      <c r="T26" s="422"/>
      <c r="U26" s="422">
        <f>U25+R26</f>
        <v>16</v>
      </c>
    </row>
    <row r="27" spans="1:21" x14ac:dyDescent="0.2">
      <c r="A27" s="421">
        <v>20</v>
      </c>
      <c r="B27" s="227"/>
      <c r="C27" s="422">
        <v>5</v>
      </c>
      <c r="D27" s="422">
        <f t="shared" si="0"/>
        <v>85</v>
      </c>
      <c r="E27" s="422"/>
      <c r="F27" s="422">
        <f>F26+C27</f>
        <v>5</v>
      </c>
      <c r="H27" s="421">
        <v>8</v>
      </c>
      <c r="I27" s="421">
        <f t="shared" si="1"/>
        <v>136</v>
      </c>
      <c r="J27" s="421"/>
      <c r="K27" s="421">
        <f>K26+H27</f>
        <v>16</v>
      </c>
      <c r="M27" s="423">
        <v>4</v>
      </c>
      <c r="N27" s="423">
        <f t="shared" si="2"/>
        <v>68</v>
      </c>
      <c r="O27" s="423"/>
      <c r="P27" s="423">
        <f>P26+M27</f>
        <v>8</v>
      </c>
      <c r="R27" s="422">
        <v>6</v>
      </c>
      <c r="S27" s="422">
        <f t="shared" si="3"/>
        <v>102</v>
      </c>
      <c r="T27" s="422"/>
      <c r="U27" s="422">
        <f>U26+R27</f>
        <v>22</v>
      </c>
    </row>
    <row r="28" spans="1:21" x14ac:dyDescent="0.2">
      <c r="A28" s="421">
        <v>21</v>
      </c>
      <c r="B28" s="227"/>
      <c r="C28" s="422">
        <v>5</v>
      </c>
      <c r="D28" s="422">
        <f t="shared" si="0"/>
        <v>90</v>
      </c>
      <c r="E28" s="422"/>
      <c r="F28" s="422">
        <f>F27-E28+C28</f>
        <v>10</v>
      </c>
      <c r="H28" s="421">
        <v>8</v>
      </c>
      <c r="I28" s="421">
        <f t="shared" si="1"/>
        <v>144</v>
      </c>
      <c r="J28" s="421"/>
      <c r="K28" s="421">
        <f>K27+H28</f>
        <v>24</v>
      </c>
      <c r="M28" s="423">
        <v>4</v>
      </c>
      <c r="N28" s="423">
        <f t="shared" si="2"/>
        <v>72</v>
      </c>
      <c r="O28" s="423"/>
      <c r="P28" s="423">
        <f>P27+M28</f>
        <v>12</v>
      </c>
      <c r="R28" s="422">
        <v>6</v>
      </c>
      <c r="S28" s="422">
        <f t="shared" si="3"/>
        <v>108</v>
      </c>
      <c r="T28" s="422">
        <v>20</v>
      </c>
      <c r="U28" s="422">
        <f>U27-T28+R28</f>
        <v>8</v>
      </c>
    </row>
    <row r="29" spans="1:21" x14ac:dyDescent="0.2">
      <c r="A29" s="421">
        <v>22</v>
      </c>
      <c r="B29" s="227"/>
      <c r="C29" s="422">
        <v>5</v>
      </c>
      <c r="D29" s="422">
        <f t="shared" si="0"/>
        <v>95</v>
      </c>
      <c r="E29" s="422"/>
      <c r="F29" s="422">
        <f>(F28-E29)+C29</f>
        <v>15</v>
      </c>
      <c r="H29" s="421">
        <v>8</v>
      </c>
      <c r="I29" s="421">
        <f t="shared" si="1"/>
        <v>152</v>
      </c>
      <c r="J29" s="421">
        <v>20</v>
      </c>
      <c r="K29" s="421">
        <f>(K28-J29)+H29</f>
        <v>12</v>
      </c>
      <c r="M29" s="423">
        <v>4</v>
      </c>
      <c r="N29" s="423">
        <f t="shared" si="2"/>
        <v>76</v>
      </c>
      <c r="O29" s="423"/>
      <c r="P29" s="423">
        <f>(P28-O29)+M29</f>
        <v>16</v>
      </c>
      <c r="R29" s="422">
        <v>6</v>
      </c>
      <c r="S29" s="422">
        <f t="shared" si="3"/>
        <v>114</v>
      </c>
      <c r="T29" s="422"/>
      <c r="U29" s="422">
        <f>(U28-T29)+R29</f>
        <v>14</v>
      </c>
    </row>
    <row r="30" spans="1:21" x14ac:dyDescent="0.2">
      <c r="A30" s="421">
        <v>23</v>
      </c>
      <c r="B30" s="227"/>
      <c r="C30" s="422">
        <v>5</v>
      </c>
      <c r="D30" s="422">
        <f t="shared" si="0"/>
        <v>100</v>
      </c>
      <c r="E30" s="422"/>
      <c r="F30" s="422">
        <f>F29+C30</f>
        <v>20</v>
      </c>
      <c r="H30" s="421">
        <v>8</v>
      </c>
      <c r="I30" s="421">
        <f t="shared" si="1"/>
        <v>160</v>
      </c>
      <c r="J30" s="421"/>
      <c r="K30" s="421">
        <f>K29+H30</f>
        <v>20</v>
      </c>
      <c r="M30" s="423">
        <v>4</v>
      </c>
      <c r="N30" s="423">
        <f t="shared" si="2"/>
        <v>80</v>
      </c>
      <c r="O30" s="423"/>
      <c r="P30" s="423">
        <f>P29+M30</f>
        <v>20</v>
      </c>
      <c r="R30" s="422">
        <v>6</v>
      </c>
      <c r="S30" s="422">
        <f t="shared" si="3"/>
        <v>120</v>
      </c>
      <c r="T30" s="422"/>
      <c r="U30" s="422">
        <f>U29+R30</f>
        <v>20</v>
      </c>
    </row>
    <row r="31" spans="1:21" x14ac:dyDescent="0.2">
      <c r="A31" s="421">
        <v>24</v>
      </c>
      <c r="B31" s="227"/>
      <c r="C31" s="422">
        <v>5</v>
      </c>
      <c r="D31" s="422">
        <f t="shared" si="0"/>
        <v>105</v>
      </c>
      <c r="E31" s="422">
        <v>20</v>
      </c>
      <c r="F31" s="422">
        <f>C31</f>
        <v>5</v>
      </c>
      <c r="H31" s="421">
        <v>8</v>
      </c>
      <c r="I31" s="421">
        <f t="shared" si="1"/>
        <v>168</v>
      </c>
      <c r="J31" s="421">
        <v>20</v>
      </c>
      <c r="K31" s="421">
        <f>H31</f>
        <v>8</v>
      </c>
      <c r="M31" s="423">
        <v>4</v>
      </c>
      <c r="N31" s="423">
        <f t="shared" si="2"/>
        <v>84</v>
      </c>
      <c r="O31" s="423">
        <v>20</v>
      </c>
      <c r="P31" s="423">
        <f>M31</f>
        <v>4</v>
      </c>
      <c r="R31" s="422">
        <v>6</v>
      </c>
      <c r="S31" s="422">
        <f t="shared" si="3"/>
        <v>126</v>
      </c>
      <c r="T31" s="422">
        <v>20</v>
      </c>
      <c r="U31" s="422">
        <f>R31</f>
        <v>6</v>
      </c>
    </row>
    <row r="32" spans="1:21" x14ac:dyDescent="0.2">
      <c r="A32" s="421">
        <v>25</v>
      </c>
      <c r="B32" s="227"/>
      <c r="C32" s="422">
        <v>5</v>
      </c>
      <c r="D32" s="422">
        <f t="shared" si="0"/>
        <v>110</v>
      </c>
      <c r="E32" s="422"/>
      <c r="F32" s="422">
        <f>F31+C32</f>
        <v>10</v>
      </c>
      <c r="H32" s="421">
        <v>8</v>
      </c>
      <c r="I32" s="421">
        <f t="shared" si="1"/>
        <v>176</v>
      </c>
      <c r="J32" s="421"/>
      <c r="K32" s="421">
        <f>K31+H32</f>
        <v>16</v>
      </c>
      <c r="M32" s="423">
        <v>4</v>
      </c>
      <c r="N32" s="423">
        <f t="shared" si="2"/>
        <v>88</v>
      </c>
      <c r="O32" s="423"/>
      <c r="P32" s="423">
        <f>P31+M32</f>
        <v>8</v>
      </c>
      <c r="R32" s="422">
        <v>6</v>
      </c>
      <c r="S32" s="422">
        <f t="shared" si="3"/>
        <v>132</v>
      </c>
      <c r="T32" s="422"/>
      <c r="U32" s="422">
        <f>U31+R32</f>
        <v>12</v>
      </c>
    </row>
    <row r="33" spans="1:21" x14ac:dyDescent="0.2">
      <c r="A33" s="421">
        <v>26</v>
      </c>
      <c r="B33" s="227"/>
      <c r="C33" s="422">
        <v>0</v>
      </c>
      <c r="D33" s="422">
        <f t="shared" si="0"/>
        <v>110</v>
      </c>
      <c r="E33" s="422"/>
      <c r="F33" s="422">
        <f>F32+C33</f>
        <v>10</v>
      </c>
      <c r="H33" s="421">
        <v>0</v>
      </c>
      <c r="I33" s="421">
        <f t="shared" si="1"/>
        <v>176</v>
      </c>
      <c r="J33" s="421"/>
      <c r="K33" s="421">
        <f>K32+H33</f>
        <v>16</v>
      </c>
      <c r="M33" s="423">
        <v>0</v>
      </c>
      <c r="N33" s="423">
        <f t="shared" si="2"/>
        <v>88</v>
      </c>
      <c r="O33" s="423"/>
      <c r="P33" s="423">
        <f>P32+M33</f>
        <v>8</v>
      </c>
      <c r="R33" s="422">
        <v>0</v>
      </c>
      <c r="S33" s="422">
        <f t="shared" si="3"/>
        <v>132</v>
      </c>
      <c r="T33" s="422"/>
      <c r="U33" s="422">
        <f>U32+R33</f>
        <v>12</v>
      </c>
    </row>
    <row r="34" spans="1:21" x14ac:dyDescent="0.2">
      <c r="A34" s="421">
        <v>27</v>
      </c>
      <c r="B34" s="227"/>
      <c r="C34" s="422">
        <v>5</v>
      </c>
      <c r="D34" s="422">
        <f t="shared" si="0"/>
        <v>115</v>
      </c>
      <c r="E34" s="422"/>
      <c r="F34" s="422">
        <f>F33+C34</f>
        <v>15</v>
      </c>
      <c r="H34" s="421">
        <v>8</v>
      </c>
      <c r="I34" s="421">
        <f t="shared" si="1"/>
        <v>184</v>
      </c>
      <c r="J34" s="421"/>
      <c r="K34" s="421">
        <f>K33+H34</f>
        <v>24</v>
      </c>
      <c r="M34" s="423">
        <v>4</v>
      </c>
      <c r="N34" s="423">
        <f t="shared" si="2"/>
        <v>92</v>
      </c>
      <c r="O34" s="423"/>
      <c r="P34" s="423">
        <f>P33+M34</f>
        <v>12</v>
      </c>
      <c r="R34" s="422">
        <v>6</v>
      </c>
      <c r="S34" s="422">
        <f t="shared" si="3"/>
        <v>138</v>
      </c>
      <c r="T34" s="422"/>
      <c r="U34" s="422">
        <f>U33+R34</f>
        <v>18</v>
      </c>
    </row>
    <row r="35" spans="1:21" x14ac:dyDescent="0.2">
      <c r="A35" s="421">
        <v>28</v>
      </c>
      <c r="B35" s="227"/>
      <c r="C35" s="422">
        <v>5</v>
      </c>
      <c r="D35" s="422">
        <f t="shared" si="0"/>
        <v>120</v>
      </c>
      <c r="E35" s="422"/>
      <c r="F35" s="422">
        <f>F34-E35+C35</f>
        <v>20</v>
      </c>
      <c r="H35" s="421">
        <v>8</v>
      </c>
      <c r="I35" s="421">
        <f t="shared" si="1"/>
        <v>192</v>
      </c>
      <c r="J35" s="421">
        <v>20</v>
      </c>
      <c r="K35" s="421">
        <f>K34-J35+H35</f>
        <v>12</v>
      </c>
      <c r="M35" s="423">
        <v>4</v>
      </c>
      <c r="N35" s="423">
        <f t="shared" si="2"/>
        <v>96</v>
      </c>
      <c r="O35" s="423"/>
      <c r="P35" s="423">
        <f>P34-O35+M35</f>
        <v>16</v>
      </c>
      <c r="R35" s="422">
        <v>6</v>
      </c>
      <c r="S35" s="422">
        <f t="shared" si="3"/>
        <v>144</v>
      </c>
      <c r="T35" s="422"/>
      <c r="U35" s="422">
        <f>U34-T35+R35</f>
        <v>24</v>
      </c>
    </row>
    <row r="36" spans="1:21" x14ac:dyDescent="0.2">
      <c r="A36" s="421">
        <v>29</v>
      </c>
      <c r="B36" s="227"/>
      <c r="C36" s="422">
        <v>0</v>
      </c>
      <c r="D36" s="422">
        <f t="shared" si="0"/>
        <v>120</v>
      </c>
      <c r="E36" s="422">
        <v>20</v>
      </c>
      <c r="F36" s="422">
        <f>F35-E36+C36</f>
        <v>0</v>
      </c>
      <c r="H36" s="421">
        <v>0</v>
      </c>
      <c r="I36" s="421">
        <f t="shared" si="1"/>
        <v>192</v>
      </c>
      <c r="J36" s="421"/>
      <c r="K36" s="421">
        <f>K35+H36</f>
        <v>12</v>
      </c>
      <c r="M36" s="423">
        <v>0</v>
      </c>
      <c r="N36" s="423">
        <f t="shared" si="2"/>
        <v>96</v>
      </c>
      <c r="O36" s="423"/>
      <c r="P36" s="423">
        <f>P35+M36</f>
        <v>16</v>
      </c>
      <c r="R36" s="422">
        <v>0</v>
      </c>
      <c r="S36" s="422">
        <f t="shared" si="3"/>
        <v>144</v>
      </c>
      <c r="T36" s="422">
        <v>20</v>
      </c>
      <c r="U36" s="422">
        <f>U35-T36+R36</f>
        <v>4</v>
      </c>
    </row>
    <row r="37" spans="1:21" x14ac:dyDescent="0.2">
      <c r="A37" s="421">
        <v>30</v>
      </c>
      <c r="B37" s="227"/>
      <c r="C37" s="422">
        <v>0</v>
      </c>
      <c r="D37" s="422">
        <f t="shared" si="0"/>
        <v>120</v>
      </c>
      <c r="E37" s="422"/>
      <c r="F37" s="422">
        <f>F36+C37</f>
        <v>0</v>
      </c>
      <c r="H37" s="421">
        <v>0</v>
      </c>
      <c r="I37" s="421">
        <f t="shared" si="1"/>
        <v>192</v>
      </c>
      <c r="J37" s="421">
        <v>20</v>
      </c>
      <c r="K37" s="421">
        <f>H37</f>
        <v>0</v>
      </c>
      <c r="M37" s="423">
        <v>0</v>
      </c>
      <c r="N37" s="423">
        <f t="shared" si="2"/>
        <v>96</v>
      </c>
      <c r="O37" s="423">
        <v>20</v>
      </c>
      <c r="P37" s="423">
        <f>M37</f>
        <v>0</v>
      </c>
      <c r="R37" s="422">
        <v>0</v>
      </c>
      <c r="S37" s="422">
        <f t="shared" si="3"/>
        <v>144</v>
      </c>
      <c r="T37" s="422"/>
      <c r="U37" s="422">
        <f>U36+R37</f>
        <v>4</v>
      </c>
    </row>
    <row r="38" spans="1:21" x14ac:dyDescent="0.2">
      <c r="A38" s="435"/>
      <c r="B38" s="436"/>
      <c r="C38" s="437"/>
      <c r="D38" s="437"/>
      <c r="E38" s="437"/>
      <c r="F38" s="437"/>
      <c r="G38" s="436"/>
      <c r="H38" s="435"/>
      <c r="I38" s="435"/>
      <c r="J38" s="435"/>
      <c r="K38" s="435"/>
      <c r="L38" s="436"/>
      <c r="M38" s="437"/>
      <c r="N38" s="437"/>
      <c r="O38" s="437"/>
      <c r="P38" s="437"/>
      <c r="Q38" s="436"/>
      <c r="R38" s="437"/>
      <c r="S38" s="437"/>
      <c r="T38" s="437"/>
      <c r="U38" s="437"/>
    </row>
    <row r="39" spans="1:21" x14ac:dyDescent="0.2">
      <c r="A39" s="424" t="s">
        <v>813</v>
      </c>
      <c r="B39" s="279"/>
      <c r="C39" s="434"/>
      <c r="D39" s="434"/>
      <c r="E39" s="434">
        <f>D37</f>
        <v>120</v>
      </c>
      <c r="F39" s="434"/>
      <c r="G39" s="420"/>
      <c r="H39" s="434"/>
      <c r="I39" s="434"/>
      <c r="J39" s="434">
        <f>I37</f>
        <v>192</v>
      </c>
      <c r="K39" s="434"/>
      <c r="L39" s="420"/>
      <c r="M39" s="434"/>
      <c r="N39" s="434"/>
      <c r="O39" s="434">
        <f>N37</f>
        <v>96</v>
      </c>
      <c r="P39" s="434"/>
      <c r="Q39" s="420"/>
      <c r="R39" s="434"/>
      <c r="S39" s="434"/>
      <c r="T39" s="434">
        <f>S37</f>
        <v>144</v>
      </c>
      <c r="U39" s="421"/>
    </row>
    <row r="40" spans="1:21" x14ac:dyDescent="0.2">
      <c r="A40" s="424" t="s">
        <v>814</v>
      </c>
      <c r="B40" s="279"/>
      <c r="C40" s="434"/>
      <c r="D40" s="434"/>
      <c r="E40" s="434">
        <v>6</v>
      </c>
      <c r="F40" s="434"/>
      <c r="G40" s="420"/>
      <c r="H40" s="434"/>
      <c r="I40" s="434"/>
      <c r="J40" s="434">
        <v>11</v>
      </c>
      <c r="K40" s="434"/>
      <c r="L40" s="420"/>
      <c r="M40" s="434"/>
      <c r="N40" s="434"/>
      <c r="O40" s="434">
        <v>5</v>
      </c>
      <c r="P40" s="434"/>
      <c r="Q40" s="420"/>
      <c r="R40" s="434"/>
      <c r="S40" s="434"/>
      <c r="T40" s="434">
        <v>7</v>
      </c>
      <c r="U40" s="421"/>
    </row>
    <row r="41" spans="1:21" x14ac:dyDescent="0.2">
      <c r="A41" s="438"/>
      <c r="B41" s="438"/>
      <c r="C41" s="436"/>
      <c r="D41" s="436"/>
      <c r="E41" s="436"/>
      <c r="F41" s="436"/>
      <c r="G41" s="436"/>
      <c r="H41" s="436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436"/>
      <c r="T41" s="436"/>
      <c r="U41" s="436"/>
    </row>
  </sheetData>
  <mergeCells count="4">
    <mergeCell ref="C6:F6"/>
    <mergeCell ref="H6:K6"/>
    <mergeCell ref="M6:P6"/>
    <mergeCell ref="R6:U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D58E-2601-40B8-B2F1-6C2E5D158BF3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Assumption</vt:lpstr>
      <vt:lpstr>ProjectValuation(JO)</vt:lpstr>
      <vt:lpstr>Sensitivity</vt:lpstr>
      <vt:lpstr>IncomeStatement</vt:lpstr>
      <vt:lpstr>CashFlow</vt:lpstr>
      <vt:lpstr>Dividen</vt:lpstr>
      <vt:lpstr>EquityChange</vt:lpstr>
      <vt:lpstr>Revenue</vt:lpstr>
      <vt:lpstr>Cost of Services Sold</vt:lpstr>
      <vt:lpstr>Salary</vt:lpstr>
      <vt:lpstr>SG&amp;A</vt:lpstr>
      <vt:lpstr>CapitalInvestment</vt:lpstr>
      <vt:lpstr>WorkingCapital</vt:lpstr>
      <vt:lpstr>CostofCapital</vt:lpstr>
      <vt:lpstr>CostStructure</vt:lpstr>
      <vt:lpstr>FreightCost</vt:lpstr>
      <vt:lpstr>LoanInterest</vt:lpstr>
      <vt:lpstr>Amortization</vt:lpstr>
      <vt:lpstr>TransportReference</vt:lpstr>
      <vt:lpstr>Lamp P&amp;L</vt:lpstr>
      <vt:lpstr>Lamp CF</vt:lpstr>
      <vt:lpstr>Theory</vt:lpstr>
      <vt:lpstr>FullCosting</vt:lpstr>
      <vt:lpstr>Costs&amp;Expenses</vt:lpstr>
      <vt:lpstr>CostChecking</vt:lpstr>
      <vt:lpstr>Cost</vt:lpstr>
      <vt:lpstr>Supply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ptpema06@outlook.com</cp:lastModifiedBy>
  <cp:lastPrinted>2023-08-11T08:09:03Z</cp:lastPrinted>
  <dcterms:created xsi:type="dcterms:W3CDTF">2020-06-20T11:38:45Z</dcterms:created>
  <dcterms:modified xsi:type="dcterms:W3CDTF">2024-01-23T04:15:51Z</dcterms:modified>
</cp:coreProperties>
</file>