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\PEMA\FS FIX ALL PROJECT\AYAM PETELUR\"/>
    </mc:Choice>
  </mc:AlternateContent>
  <xr:revisionPtr revIDLastSave="0" documentId="13_ncr:1_{0C7818C0-8767-4FAE-9BA1-78F27DCD630A}" xr6:coauthVersionLast="47" xr6:coauthVersionMax="47" xr10:uidLastSave="{00000000-0000-0000-0000-000000000000}"/>
  <bookViews>
    <workbookView xWindow="-98" yWindow="-98" windowWidth="21795" windowHeight="13695" tabRatio="754" activeTab="1" xr2:uid="{00000000-000D-0000-FFFF-FFFF00000000}"/>
  </bookViews>
  <sheets>
    <sheet name="Asumsi" sheetId="1" r:id="rId1"/>
    <sheet name="ProjectValuation" sheetId="2" r:id="rId2"/>
    <sheet name="CapitalInvestment" sheetId="28" r:id="rId3"/>
    <sheet name="IncomeStatement" sheetId="3" r:id="rId4"/>
    <sheet name="CashFlow-Yearly" sheetId="35" r:id="rId5"/>
    <sheet name="CashFlow-Monthly" sheetId="29" r:id="rId6"/>
    <sheet name="Dividen" sheetId="37" r:id="rId7"/>
    <sheet name="EquityChange" sheetId="36" r:id="rId8"/>
    <sheet name="CostOfCapital" sheetId="30" r:id="rId9"/>
    <sheet name="Market" sheetId="17" r:id="rId10"/>
    <sheet name="CostStructure" sheetId="23" r:id="rId11"/>
    <sheet name="COGS" sheetId="9" r:id="rId12"/>
    <sheet name="Prod&amp;Consp" sheetId="39" r:id="rId13"/>
    <sheet name="Revenue" sheetId="5" r:id="rId14"/>
    <sheet name="VariableCost" sheetId="40" r:id="rId15"/>
    <sheet name="PlantOVH" sheetId="8" r:id="rId16"/>
    <sheet name="SG&amp;A" sheetId="11" r:id="rId17"/>
    <sheet name="Salary" sheetId="10" r:id="rId18"/>
    <sheet name="Depreciation" sheetId="14" r:id="rId19"/>
    <sheet name="JadwalObat&amp;Vitamin" sheetId="41" r:id="rId20"/>
    <sheet name="Reference" sheetId="16" r:id="rId21"/>
    <sheet name="LoanInterest" sheetId="42" r:id="rId22"/>
    <sheet name="Loan Flat" sheetId="43" r:id="rId23"/>
  </sheets>
  <externalReferences>
    <externalReference r:id="rId24"/>
    <externalReference r:id="rId25"/>
    <externalReference r:id="rId26"/>
  </externalReferences>
  <definedNames>
    <definedName name="_xlnm.Print_Area" localSheetId="2">CapitalInvestment!$A$1:$G$24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" i="2" l="1"/>
  <c r="Z26" i="2"/>
  <c r="Z25" i="2"/>
  <c r="G19" i="3"/>
  <c r="G18" i="3"/>
  <c r="F18" i="3"/>
  <c r="E18" i="3"/>
  <c r="D18" i="3"/>
  <c r="C18" i="3"/>
  <c r="G13" i="2" s="1"/>
  <c r="N39" i="2"/>
  <c r="CE35" i="29"/>
  <c r="BR35" i="29"/>
  <c r="BR34" i="29"/>
  <c r="H27" i="35"/>
  <c r="G27" i="35"/>
  <c r="G26" i="35"/>
  <c r="F27" i="35"/>
  <c r="F26" i="35"/>
  <c r="E27" i="35"/>
  <c r="E26" i="35"/>
  <c r="D27" i="35"/>
  <c r="D26" i="35"/>
  <c r="BE35" i="29"/>
  <c r="BE34" i="29"/>
  <c r="AR35" i="29"/>
  <c r="AR34" i="29"/>
  <c r="AG14" i="29"/>
  <c r="AE35" i="29"/>
  <c r="AE34" i="29"/>
  <c r="K11" i="42"/>
  <c r="K12" i="42"/>
  <c r="K13" i="42"/>
  <c r="K10" i="42"/>
  <c r="D21" i="42"/>
  <c r="D9" i="42"/>
  <c r="J9" i="42" s="1"/>
  <c r="L9" i="42" s="1"/>
  <c r="M15" i="42"/>
  <c r="D13" i="42"/>
  <c r="H18" i="2"/>
  <c r="H19" i="2"/>
  <c r="H20" i="2"/>
  <c r="H21" i="2"/>
  <c r="C28" i="5"/>
  <c r="D34" i="1"/>
  <c r="D30" i="1"/>
  <c r="C25" i="35"/>
  <c r="D12" i="42"/>
  <c r="D11" i="42"/>
  <c r="D42" i="43"/>
  <c r="D43" i="43"/>
  <c r="D44" i="43"/>
  <c r="D45" i="43"/>
  <c r="D46" i="43"/>
  <c r="D47" i="43"/>
  <c r="D48" i="43"/>
  <c r="D49" i="43"/>
  <c r="D50" i="43"/>
  <c r="D51" i="43"/>
  <c r="D52" i="43"/>
  <c r="D41" i="43"/>
  <c r="D29" i="43"/>
  <c r="D30" i="43"/>
  <c r="D31" i="43"/>
  <c r="D32" i="43"/>
  <c r="D33" i="43"/>
  <c r="D34" i="43"/>
  <c r="D35" i="43"/>
  <c r="D36" i="43"/>
  <c r="D37" i="43"/>
  <c r="D38" i="43"/>
  <c r="D39" i="43"/>
  <c r="D28" i="43"/>
  <c r="D16" i="43"/>
  <c r="D17" i="43"/>
  <c r="D18" i="43"/>
  <c r="D19" i="43"/>
  <c r="D20" i="43"/>
  <c r="D21" i="43"/>
  <c r="D22" i="43"/>
  <c r="D23" i="43"/>
  <c r="D24" i="43"/>
  <c r="D25" i="43"/>
  <c r="D26" i="43"/>
  <c r="D15" i="43"/>
  <c r="D3" i="43"/>
  <c r="D4" i="43"/>
  <c r="D5" i="43"/>
  <c r="D6" i="43"/>
  <c r="D7" i="43"/>
  <c r="D8" i="43"/>
  <c r="D9" i="43"/>
  <c r="D10" i="43"/>
  <c r="D11" i="43"/>
  <c r="D12" i="43"/>
  <c r="D13" i="43"/>
  <c r="D2" i="43"/>
  <c r="K75" i="43"/>
  <c r="C25" i="43"/>
  <c r="E25" i="43" s="1"/>
  <c r="P22" i="43"/>
  <c r="P21" i="43"/>
  <c r="P23" i="43" s="1"/>
  <c r="B2" i="43"/>
  <c r="C46" i="43" s="1"/>
  <c r="K16" i="42"/>
  <c r="K17" i="42" s="1"/>
  <c r="L17" i="42" s="1"/>
  <c r="L15" i="42"/>
  <c r="D14" i="42"/>
  <c r="G11" i="42"/>
  <c r="G12" i="42" s="1"/>
  <c r="G13" i="42" s="1"/>
  <c r="G14" i="42" s="1"/>
  <c r="G15" i="42" s="1"/>
  <c r="G16" i="42" s="1"/>
  <c r="G17" i="42" s="1"/>
  <c r="G18" i="42" s="1"/>
  <c r="A2" i="42"/>
  <c r="A1" i="42"/>
  <c r="J10" i="42" l="1"/>
  <c r="M9" i="42"/>
  <c r="C34" i="43"/>
  <c r="E34" i="43" s="1"/>
  <c r="C10" i="43"/>
  <c r="E10" i="43" s="1"/>
  <c r="C4" i="43"/>
  <c r="C47" i="43"/>
  <c r="E47" i="43" s="1"/>
  <c r="C13" i="43"/>
  <c r="E13" i="43" s="1"/>
  <c r="C41" i="43"/>
  <c r="E41" i="43" s="1"/>
  <c r="C17" i="43"/>
  <c r="E17" i="43" s="1"/>
  <c r="C2" i="43"/>
  <c r="M17" i="42"/>
  <c r="N17" i="42" s="1"/>
  <c r="N15" i="42"/>
  <c r="C8" i="43"/>
  <c r="E8" i="43" s="1"/>
  <c r="C50" i="43"/>
  <c r="E50" i="43" s="1"/>
  <c r="C3" i="43"/>
  <c r="E3" i="43" s="1"/>
  <c r="C15" i="43"/>
  <c r="E15" i="43" s="1"/>
  <c r="C32" i="43"/>
  <c r="E32" i="43" s="1"/>
  <c r="C45" i="43"/>
  <c r="E45" i="43" s="1"/>
  <c r="C23" i="43"/>
  <c r="C52" i="43"/>
  <c r="E52" i="43" s="1"/>
  <c r="C5" i="43"/>
  <c r="E5" i="43" s="1"/>
  <c r="C11" i="43"/>
  <c r="E11" i="43" s="1"/>
  <c r="C21" i="43"/>
  <c r="E21" i="43" s="1"/>
  <c r="C28" i="43"/>
  <c r="C36" i="43"/>
  <c r="C6" i="43"/>
  <c r="E6" i="43" s="1"/>
  <c r="C49" i="43"/>
  <c r="E49" i="43" s="1"/>
  <c r="L16" i="42"/>
  <c r="M16" i="42" s="1"/>
  <c r="N16" i="42" s="1"/>
  <c r="K18" i="42"/>
  <c r="L18" i="42" s="1"/>
  <c r="M18" i="42" s="1"/>
  <c r="N18" i="42" s="1"/>
  <c r="C7" i="43"/>
  <c r="C18" i="43"/>
  <c r="C35" i="43"/>
  <c r="C39" i="43"/>
  <c r="E4" i="43"/>
  <c r="E46" i="43"/>
  <c r="C24" i="43"/>
  <c r="C26" i="43"/>
  <c r="C42" i="43"/>
  <c r="C44" i="43"/>
  <c r="C48" i="43"/>
  <c r="E48" i="43" s="1"/>
  <c r="C38" i="43"/>
  <c r="E38" i="43" s="1"/>
  <c r="C30" i="43"/>
  <c r="E30" i="43" s="1"/>
  <c r="C22" i="43"/>
  <c r="E22" i="43" s="1"/>
  <c r="C19" i="43"/>
  <c r="E19" i="43" s="1"/>
  <c r="C9" i="43"/>
  <c r="E9" i="43" s="1"/>
  <c r="C51" i="43"/>
  <c r="E51" i="43" s="1"/>
  <c r="C43" i="43"/>
  <c r="C33" i="43"/>
  <c r="C12" i="43"/>
  <c r="C16" i="43"/>
  <c r="C20" i="43"/>
  <c r="C37" i="43"/>
  <c r="E37" i="43" s="1"/>
  <c r="C29" i="43"/>
  <c r="E29" i="43" s="1"/>
  <c r="C31" i="43"/>
  <c r="E31" i="43" s="1"/>
  <c r="L10" i="42" l="1"/>
  <c r="E23" i="43"/>
  <c r="E28" i="43"/>
  <c r="E36" i="43"/>
  <c r="E12" i="43"/>
  <c r="E35" i="43"/>
  <c r="E33" i="43"/>
  <c r="E44" i="43"/>
  <c r="E7" i="43"/>
  <c r="D53" i="43"/>
  <c r="E43" i="43"/>
  <c r="E42" i="43"/>
  <c r="D27" i="43"/>
  <c r="E20" i="43"/>
  <c r="C14" i="43"/>
  <c r="E2" i="43"/>
  <c r="C53" i="43"/>
  <c r="E16" i="43"/>
  <c r="C27" i="43"/>
  <c r="C40" i="43"/>
  <c r="E26" i="43"/>
  <c r="E39" i="43"/>
  <c r="E24" i="43"/>
  <c r="D14" i="43"/>
  <c r="F2" i="43"/>
  <c r="B3" i="43" s="1"/>
  <c r="F3" i="43" s="1"/>
  <c r="B4" i="43" s="1"/>
  <c r="F4" i="43" s="1"/>
  <c r="B5" i="43" s="1"/>
  <c r="F5" i="43" s="1"/>
  <c r="B6" i="43" s="1"/>
  <c r="F6" i="43" s="1"/>
  <c r="B7" i="43" s="1"/>
  <c r="F7" i="43" s="1"/>
  <c r="B8" i="43" s="1"/>
  <c r="F8" i="43" s="1"/>
  <c r="B9" i="43" s="1"/>
  <c r="F9" i="43" s="1"/>
  <c r="B10" i="43" s="1"/>
  <c r="F10" i="43" s="1"/>
  <c r="B11" i="43" s="1"/>
  <c r="F11" i="43" s="1"/>
  <c r="B12" i="43" s="1"/>
  <c r="F12" i="43" s="1"/>
  <c r="B13" i="43" s="1"/>
  <c r="F13" i="43" s="1"/>
  <c r="B15" i="43" s="1"/>
  <c r="F15" i="43" s="1"/>
  <c r="B16" i="43" s="1"/>
  <c r="F16" i="43" s="1"/>
  <c r="B17" i="43" s="1"/>
  <c r="F17" i="43" s="1"/>
  <c r="B18" i="43" s="1"/>
  <c r="F18" i="43" s="1"/>
  <c r="B19" i="43" s="1"/>
  <c r="F19" i="43" s="1"/>
  <c r="B20" i="43" s="1"/>
  <c r="F20" i="43" s="1"/>
  <c r="B21" i="43" s="1"/>
  <c r="F21" i="43" s="1"/>
  <c r="B22" i="43" s="1"/>
  <c r="F22" i="43" s="1"/>
  <c r="B23" i="43" s="1"/>
  <c r="F23" i="43" s="1"/>
  <c r="B24" i="43" s="1"/>
  <c r="F24" i="43" s="1"/>
  <c r="B25" i="43" s="1"/>
  <c r="F25" i="43" s="1"/>
  <c r="B26" i="43" s="1"/>
  <c r="F26" i="43" s="1"/>
  <c r="B28" i="43" s="1"/>
  <c r="F28" i="43" s="1"/>
  <c r="B29" i="43" s="1"/>
  <c r="F29" i="43" s="1"/>
  <c r="B30" i="43" s="1"/>
  <c r="F30" i="43" s="1"/>
  <c r="B31" i="43" s="1"/>
  <c r="F31" i="43" s="1"/>
  <c r="B32" i="43" s="1"/>
  <c r="F32" i="43" s="1"/>
  <c r="B33" i="43" s="1"/>
  <c r="F33" i="43" s="1"/>
  <c r="B34" i="43" s="1"/>
  <c r="F34" i="43" s="1"/>
  <c r="B35" i="43" s="1"/>
  <c r="F35" i="43" s="1"/>
  <c r="B36" i="43" s="1"/>
  <c r="F36" i="43" s="1"/>
  <c r="B37" i="43" s="1"/>
  <c r="F37" i="43" s="1"/>
  <c r="B38" i="43" s="1"/>
  <c r="F38" i="43" s="1"/>
  <c r="B39" i="43" s="1"/>
  <c r="F39" i="43" s="1"/>
  <c r="B41" i="43" s="1"/>
  <c r="F41" i="43" s="1"/>
  <c r="B42" i="43" s="1"/>
  <c r="F42" i="43" s="1"/>
  <c r="B43" i="43" s="1"/>
  <c r="F43" i="43" s="1"/>
  <c r="B44" i="43" s="1"/>
  <c r="F44" i="43" s="1"/>
  <c r="B45" i="43" s="1"/>
  <c r="F45" i="43" s="1"/>
  <c r="B46" i="43" s="1"/>
  <c r="F46" i="43" s="1"/>
  <c r="B47" i="43" s="1"/>
  <c r="F47" i="43" s="1"/>
  <c r="B48" i="43" s="1"/>
  <c r="F48" i="43" s="1"/>
  <c r="B49" i="43" s="1"/>
  <c r="F49" i="43" s="1"/>
  <c r="B50" i="43" s="1"/>
  <c r="F50" i="43" s="1"/>
  <c r="B51" i="43" s="1"/>
  <c r="F51" i="43" s="1"/>
  <c r="B52" i="43" s="1"/>
  <c r="F52" i="43" s="1"/>
  <c r="D40" i="43"/>
  <c r="E18" i="43"/>
  <c r="M10" i="42" l="1"/>
  <c r="N10" i="42" s="1"/>
  <c r="E53" i="43"/>
  <c r="E40" i="43"/>
  <c r="E14" i="43"/>
  <c r="E27" i="43"/>
  <c r="J11" i="42" l="1"/>
  <c r="C19" i="3"/>
  <c r="K20" i="42"/>
  <c r="L11" i="42" l="1"/>
  <c r="M11" i="42" s="1"/>
  <c r="N11" i="42" s="1"/>
  <c r="C20" i="3"/>
  <c r="C21" i="3" s="1"/>
  <c r="I20" i="42"/>
  <c r="J12" i="42" l="1"/>
  <c r="L12" i="42" l="1"/>
  <c r="M12" i="42" l="1"/>
  <c r="N12" i="42" l="1"/>
  <c r="J13" i="42" s="1"/>
  <c r="L13" i="42" l="1"/>
  <c r="M13" i="42" l="1"/>
  <c r="N13" i="42" l="1"/>
  <c r="J14" i="42" s="1"/>
  <c r="L14" i="42" l="1"/>
  <c r="M14" i="42" l="1"/>
  <c r="M19" i="42" l="1"/>
  <c r="N19" i="42" s="1"/>
  <c r="N14" i="42"/>
  <c r="H40" i="29" l="1"/>
  <c r="I40" i="29" s="1"/>
  <c r="J40" i="29" s="1"/>
  <c r="K40" i="29" s="1"/>
  <c r="L40" i="29" s="1"/>
  <c r="M40" i="29" s="1"/>
  <c r="N40" i="29" s="1"/>
  <c r="O40" i="29" s="1"/>
  <c r="P40" i="29" s="1"/>
  <c r="H22" i="28"/>
  <c r="C14" i="29"/>
  <c r="BH15" i="29"/>
  <c r="DQ15" i="29"/>
  <c r="X82" i="39"/>
  <c r="K10" i="5" s="1"/>
  <c r="L83" i="39"/>
  <c r="G14" i="29" s="1"/>
  <c r="M83" i="39"/>
  <c r="H14" i="29" s="1"/>
  <c r="N85" i="39"/>
  <c r="O85" i="39"/>
  <c r="P85" i="39"/>
  <c r="Q85" i="39"/>
  <c r="R85" i="39"/>
  <c r="S85" i="39"/>
  <c r="T85" i="39"/>
  <c r="U85" i="39"/>
  <c r="V85" i="39"/>
  <c r="W85" i="39"/>
  <c r="AB85" i="39"/>
  <c r="AC85" i="39"/>
  <c r="AD85" i="39"/>
  <c r="AE85" i="39"/>
  <c r="AH85" i="39"/>
  <c r="AI85" i="39"/>
  <c r="AJ85" i="39"/>
  <c r="AK85" i="39"/>
  <c r="AN85" i="39"/>
  <c r="AO85" i="39"/>
  <c r="AP85" i="39"/>
  <c r="AQ85" i="39"/>
  <c r="AR85" i="39"/>
  <c r="AS85" i="39"/>
  <c r="AV85" i="39"/>
  <c r="AW85" i="39"/>
  <c r="AX85" i="39"/>
  <c r="AY85" i="39"/>
  <c r="BD85" i="39"/>
  <c r="BE85" i="39"/>
  <c r="BF85" i="39"/>
  <c r="BG85" i="39"/>
  <c r="BH85" i="39"/>
  <c r="BI85" i="39"/>
  <c r="BJ85" i="39"/>
  <c r="BK85" i="39"/>
  <c r="BL85" i="39"/>
  <c r="BM85" i="39"/>
  <c r="BR85" i="39"/>
  <c r="BS85" i="39"/>
  <c r="BT85" i="39"/>
  <c r="BU85" i="39"/>
  <c r="BX85" i="39"/>
  <c r="BY85" i="39"/>
  <c r="BZ85" i="39"/>
  <c r="CA85" i="39"/>
  <c r="CD85" i="39"/>
  <c r="CE85" i="39"/>
  <c r="CF85" i="39"/>
  <c r="CG85" i="39"/>
  <c r="CH85" i="39"/>
  <c r="CI85" i="39"/>
  <c r="CL85" i="39"/>
  <c r="CM85" i="39"/>
  <c r="CN85" i="39"/>
  <c r="CO85" i="39"/>
  <c r="CT85" i="39"/>
  <c r="CU85" i="39"/>
  <c r="CV85" i="39"/>
  <c r="CW85" i="39"/>
  <c r="CX85" i="39"/>
  <c r="CY85" i="39"/>
  <c r="CZ85" i="39"/>
  <c r="DA85" i="39"/>
  <c r="DB85" i="39"/>
  <c r="DC85" i="39"/>
  <c r="DH85" i="39"/>
  <c r="DI85" i="39"/>
  <c r="DJ85" i="39"/>
  <c r="DK85" i="39"/>
  <c r="DN85" i="39"/>
  <c r="DO85" i="39"/>
  <c r="DP85" i="39"/>
  <c r="DQ85" i="39"/>
  <c r="DT85" i="39"/>
  <c r="DU85" i="39"/>
  <c r="DV85" i="39"/>
  <c r="DW85" i="39"/>
  <c r="DX85" i="39"/>
  <c r="DY85" i="39"/>
  <c r="EB85" i="39"/>
  <c r="EC85" i="39"/>
  <c r="ED85" i="39"/>
  <c r="EE85" i="39"/>
  <c r="EJ85" i="39"/>
  <c r="EK85" i="39"/>
  <c r="EL85" i="39"/>
  <c r="EM85" i="39"/>
  <c r="EN85" i="39"/>
  <c r="EO85" i="39"/>
  <c r="EP85" i="39"/>
  <c r="EQ85" i="39"/>
  <c r="ER85" i="39"/>
  <c r="ES85" i="39"/>
  <c r="L86" i="39"/>
  <c r="M86" i="39"/>
  <c r="M98" i="39"/>
  <c r="N98" i="39"/>
  <c r="O98" i="39"/>
  <c r="P98" i="39"/>
  <c r="Q98" i="39"/>
  <c r="R98" i="39"/>
  <c r="S98" i="39"/>
  <c r="T98" i="39"/>
  <c r="U98" i="39"/>
  <c r="V98" i="39"/>
  <c r="W98" i="39"/>
  <c r="AA98" i="39"/>
  <c r="AB98" i="39"/>
  <c r="AC98" i="39"/>
  <c r="AD98" i="39"/>
  <c r="AE98" i="39"/>
  <c r="AG98" i="39"/>
  <c r="AH98" i="39"/>
  <c r="AI98" i="39"/>
  <c r="AJ98" i="39"/>
  <c r="AK98" i="39"/>
  <c r="AN98" i="39"/>
  <c r="AO98" i="39"/>
  <c r="AP98" i="39"/>
  <c r="AQ98" i="39"/>
  <c r="AR98" i="39"/>
  <c r="AS98" i="39"/>
  <c r="AU98" i="39"/>
  <c r="AV98" i="39"/>
  <c r="AW98" i="39"/>
  <c r="AX98" i="39"/>
  <c r="AY98" i="39"/>
  <c r="BC98" i="39"/>
  <c r="BD98" i="39"/>
  <c r="BE98" i="39"/>
  <c r="BF98" i="39"/>
  <c r="BG98" i="39"/>
  <c r="BH98" i="39"/>
  <c r="BI98" i="39"/>
  <c r="BJ98" i="39"/>
  <c r="BK98" i="39"/>
  <c r="BL98" i="39"/>
  <c r="BM98" i="39"/>
  <c r="BQ98" i="39"/>
  <c r="BR98" i="39"/>
  <c r="BS98" i="39"/>
  <c r="BT98" i="39"/>
  <c r="BU98" i="39"/>
  <c r="BW98" i="39"/>
  <c r="BX98" i="39"/>
  <c r="BY98" i="39"/>
  <c r="BZ98" i="39"/>
  <c r="CA98" i="39"/>
  <c r="CD98" i="39"/>
  <c r="CE98" i="39"/>
  <c r="CF98" i="39"/>
  <c r="CG98" i="39"/>
  <c r="CH98" i="39"/>
  <c r="CI98" i="39"/>
  <c r="CK98" i="39"/>
  <c r="CL98" i="39"/>
  <c r="CM98" i="39"/>
  <c r="CN98" i="39"/>
  <c r="CO98" i="39"/>
  <c r="CS98" i="39"/>
  <c r="CT98" i="39"/>
  <c r="CU98" i="39"/>
  <c r="CV98" i="39"/>
  <c r="CW98" i="39"/>
  <c r="CX98" i="39"/>
  <c r="CY98" i="39"/>
  <c r="CZ98" i="39"/>
  <c r="DA98" i="39"/>
  <c r="DB98" i="39"/>
  <c r="DC98" i="39"/>
  <c r="DG98" i="39"/>
  <c r="DH98" i="39"/>
  <c r="DI98" i="39"/>
  <c r="DJ98" i="39"/>
  <c r="DK98" i="39"/>
  <c r="DM98" i="39"/>
  <c r="DN98" i="39"/>
  <c r="DO98" i="39"/>
  <c r="DP98" i="39"/>
  <c r="DQ98" i="39"/>
  <c r="DT98" i="39"/>
  <c r="DU98" i="39"/>
  <c r="DV98" i="39"/>
  <c r="DW98" i="39"/>
  <c r="DX98" i="39"/>
  <c r="DY98" i="39"/>
  <c r="EA98" i="39"/>
  <c r="EB98" i="39"/>
  <c r="EC98" i="39"/>
  <c r="ED98" i="39"/>
  <c r="EE98" i="39"/>
  <c r="EI98" i="39"/>
  <c r="EJ98" i="39"/>
  <c r="EK98" i="39"/>
  <c r="EL98" i="39"/>
  <c r="EM98" i="39"/>
  <c r="EN98" i="39"/>
  <c r="EO98" i="39"/>
  <c r="EP98" i="39"/>
  <c r="EQ98" i="39"/>
  <c r="ER98" i="39"/>
  <c r="ES98" i="39"/>
  <c r="L99" i="39"/>
  <c r="N99" i="39"/>
  <c r="O99" i="39"/>
  <c r="P99" i="39"/>
  <c r="Q99" i="39"/>
  <c r="R99" i="39"/>
  <c r="S99" i="39"/>
  <c r="T99" i="39"/>
  <c r="U99" i="39"/>
  <c r="V99" i="39"/>
  <c r="W99" i="39"/>
  <c r="Z99" i="39"/>
  <c r="AB99" i="39"/>
  <c r="AC99" i="39"/>
  <c r="AD99" i="39"/>
  <c r="AE99" i="39"/>
  <c r="AF99" i="39"/>
  <c r="AH99" i="39"/>
  <c r="AI99" i="39"/>
  <c r="AJ99" i="39"/>
  <c r="AK99" i="39"/>
  <c r="AN99" i="39"/>
  <c r="AO99" i="39"/>
  <c r="AP99" i="39"/>
  <c r="AQ99" i="39"/>
  <c r="AR99" i="39"/>
  <c r="AS99" i="39"/>
  <c r="AT99" i="39"/>
  <c r="AV99" i="39"/>
  <c r="AW99" i="39"/>
  <c r="AX99" i="39"/>
  <c r="AY99" i="39"/>
  <c r="BB99" i="39"/>
  <c r="BD99" i="39"/>
  <c r="BE99" i="39"/>
  <c r="BF99" i="39"/>
  <c r="BG99" i="39"/>
  <c r="BH99" i="39"/>
  <c r="BI99" i="39"/>
  <c r="BJ99" i="39"/>
  <c r="BK99" i="39"/>
  <c r="BL99" i="39"/>
  <c r="BM99" i="39"/>
  <c r="BP99" i="39"/>
  <c r="BR99" i="39"/>
  <c r="BS99" i="39"/>
  <c r="BT99" i="39"/>
  <c r="BU99" i="39"/>
  <c r="BV99" i="39"/>
  <c r="BX99" i="39"/>
  <c r="BY99" i="39"/>
  <c r="BZ99" i="39"/>
  <c r="CA99" i="39"/>
  <c r="CD99" i="39"/>
  <c r="CE99" i="39"/>
  <c r="CF99" i="39"/>
  <c r="CG99" i="39"/>
  <c r="CH99" i="39"/>
  <c r="CI99" i="39"/>
  <c r="CJ99" i="39"/>
  <c r="CL99" i="39"/>
  <c r="CM99" i="39"/>
  <c r="CN99" i="39"/>
  <c r="CO99" i="39"/>
  <c r="CR99" i="39"/>
  <c r="CT99" i="39"/>
  <c r="CU99" i="39"/>
  <c r="CV99" i="39"/>
  <c r="CW99" i="39"/>
  <c r="CX99" i="39"/>
  <c r="CY99" i="39"/>
  <c r="CZ99" i="39"/>
  <c r="DA99" i="39"/>
  <c r="DB99" i="39"/>
  <c r="DC99" i="39"/>
  <c r="DF99" i="39"/>
  <c r="DH99" i="39"/>
  <c r="DI99" i="39"/>
  <c r="DJ99" i="39"/>
  <c r="DK99" i="39"/>
  <c r="DL99" i="39"/>
  <c r="DN99" i="39"/>
  <c r="DO99" i="39"/>
  <c r="DP99" i="39"/>
  <c r="DQ99" i="39"/>
  <c r="DT99" i="39"/>
  <c r="DU99" i="39"/>
  <c r="DV99" i="39"/>
  <c r="DW99" i="39"/>
  <c r="DX99" i="39"/>
  <c r="DY99" i="39"/>
  <c r="DZ99" i="39"/>
  <c r="EB99" i="39"/>
  <c r="EC99" i="39"/>
  <c r="ED99" i="39"/>
  <c r="EE99" i="39"/>
  <c r="EH99" i="39"/>
  <c r="EJ99" i="39"/>
  <c r="EK99" i="39"/>
  <c r="EL99" i="39"/>
  <c r="EM99" i="39"/>
  <c r="EN99" i="39"/>
  <c r="EO99" i="39"/>
  <c r="EP99" i="39"/>
  <c r="EQ99" i="39"/>
  <c r="ER99" i="39"/>
  <c r="ES99" i="39"/>
  <c r="L100" i="39"/>
  <c r="M100" i="39"/>
  <c r="N100" i="39"/>
  <c r="O100" i="39"/>
  <c r="P100" i="39"/>
  <c r="Q100" i="39"/>
  <c r="R100" i="39"/>
  <c r="T100" i="39"/>
  <c r="U100" i="39"/>
  <c r="V100" i="39"/>
  <c r="W100" i="39"/>
  <c r="Z100" i="39"/>
  <c r="AA100" i="39"/>
  <c r="AB100" i="39"/>
  <c r="AC100" i="39"/>
  <c r="AD100" i="39"/>
  <c r="AE100" i="39"/>
  <c r="AF100" i="39"/>
  <c r="AH100" i="39"/>
  <c r="AI100" i="39"/>
  <c r="AJ100" i="39"/>
  <c r="AK100" i="39"/>
  <c r="AN100" i="39"/>
  <c r="AP100" i="39"/>
  <c r="AQ100" i="39"/>
  <c r="AR100" i="39"/>
  <c r="AS100" i="39"/>
  <c r="AT100" i="39"/>
  <c r="AU100" i="39"/>
  <c r="AV100" i="39"/>
  <c r="AW100" i="39"/>
  <c r="AX100" i="39"/>
  <c r="AY100" i="39"/>
  <c r="BB100" i="39"/>
  <c r="BD100" i="39"/>
  <c r="BE100" i="39"/>
  <c r="BF100" i="39"/>
  <c r="BG100" i="39"/>
  <c r="BH100" i="39"/>
  <c r="BJ100" i="39"/>
  <c r="BK100" i="39"/>
  <c r="BL100" i="39"/>
  <c r="BM100" i="39"/>
  <c r="BP100" i="39"/>
  <c r="BQ100" i="39"/>
  <c r="BR100" i="39"/>
  <c r="BS100" i="39"/>
  <c r="BT100" i="39"/>
  <c r="BU100" i="39"/>
  <c r="BV100" i="39"/>
  <c r="BX100" i="39"/>
  <c r="BY100" i="39"/>
  <c r="BZ100" i="39"/>
  <c r="CA100" i="39"/>
  <c r="CD100" i="39"/>
  <c r="CE100" i="39"/>
  <c r="CG100" i="39"/>
  <c r="CH100" i="39"/>
  <c r="CI100" i="39"/>
  <c r="CJ100" i="39"/>
  <c r="CK100" i="39"/>
  <c r="CL100" i="39"/>
  <c r="CM100" i="39"/>
  <c r="CN100" i="39"/>
  <c r="CO100" i="39"/>
  <c r="CR100" i="39"/>
  <c r="CS100" i="39"/>
  <c r="CU100" i="39"/>
  <c r="CV100" i="39"/>
  <c r="CW100" i="39"/>
  <c r="CX100" i="39"/>
  <c r="CZ100" i="39"/>
  <c r="DA100" i="39"/>
  <c r="DB100" i="39"/>
  <c r="DC100" i="39"/>
  <c r="DF100" i="39"/>
  <c r="DG100" i="39"/>
  <c r="DH100" i="39"/>
  <c r="DI100" i="39"/>
  <c r="DJ100" i="39"/>
  <c r="DK100" i="39"/>
  <c r="DL100" i="39"/>
  <c r="DN100" i="39"/>
  <c r="DO100" i="39"/>
  <c r="DP100" i="39"/>
  <c r="DQ100" i="39"/>
  <c r="DT100" i="39"/>
  <c r="DV100" i="39"/>
  <c r="DW100" i="39"/>
  <c r="DX100" i="39"/>
  <c r="DY100" i="39"/>
  <c r="DZ100" i="39"/>
  <c r="EA100" i="39"/>
  <c r="EB100" i="39"/>
  <c r="EC100" i="39"/>
  <c r="ED100" i="39"/>
  <c r="EE100" i="39"/>
  <c r="EH100" i="39"/>
  <c r="EJ100" i="39"/>
  <c r="EK100" i="39"/>
  <c r="EL100" i="39"/>
  <c r="EM100" i="39"/>
  <c r="EN100" i="39"/>
  <c r="EP100" i="39"/>
  <c r="EQ100" i="39"/>
  <c r="ER100" i="39"/>
  <c r="ES100" i="39"/>
  <c r="M102" i="39"/>
  <c r="N102" i="39"/>
  <c r="O102" i="39"/>
  <c r="P102" i="39"/>
  <c r="Q102" i="39"/>
  <c r="R102" i="39"/>
  <c r="T102" i="39"/>
  <c r="U102" i="39"/>
  <c r="V102" i="39"/>
  <c r="W102" i="39"/>
  <c r="AA102" i="39"/>
  <c r="AB102" i="39"/>
  <c r="AC102" i="39"/>
  <c r="AD102" i="39"/>
  <c r="AE102" i="39"/>
  <c r="AH102" i="39"/>
  <c r="AI102" i="39"/>
  <c r="AJ102" i="39"/>
  <c r="AK102" i="39"/>
  <c r="AN102" i="39"/>
  <c r="AP102" i="39"/>
  <c r="AQ102" i="39"/>
  <c r="AR102" i="39"/>
  <c r="AS102" i="39"/>
  <c r="AU102" i="39"/>
  <c r="AV102" i="39"/>
  <c r="AW102" i="39"/>
  <c r="AX102" i="39"/>
  <c r="AY102" i="39"/>
  <c r="BD102" i="39"/>
  <c r="BE102" i="39"/>
  <c r="BF102" i="39"/>
  <c r="BG102" i="39"/>
  <c r="BH102" i="39"/>
  <c r="BJ102" i="39"/>
  <c r="BK102" i="39"/>
  <c r="BL102" i="39"/>
  <c r="BM102" i="39"/>
  <c r="BQ102" i="39"/>
  <c r="BR102" i="39"/>
  <c r="BS102" i="39"/>
  <c r="BT102" i="39"/>
  <c r="BU102" i="39"/>
  <c r="BX102" i="39"/>
  <c r="BY102" i="39"/>
  <c r="BZ102" i="39"/>
  <c r="CA102" i="39"/>
  <c r="CD102" i="39"/>
  <c r="CE102" i="39"/>
  <c r="CG102" i="39"/>
  <c r="CH102" i="39"/>
  <c r="CI102" i="39"/>
  <c r="CK102" i="39"/>
  <c r="CL102" i="39"/>
  <c r="CM102" i="39"/>
  <c r="CN102" i="39"/>
  <c r="CO102" i="39"/>
  <c r="CS102" i="39"/>
  <c r="CU102" i="39"/>
  <c r="CV102" i="39"/>
  <c r="CW102" i="39"/>
  <c r="CX102" i="39"/>
  <c r="CZ102" i="39"/>
  <c r="DA102" i="39"/>
  <c r="DB102" i="39"/>
  <c r="DC102" i="39"/>
  <c r="DG102" i="39"/>
  <c r="DH102" i="39"/>
  <c r="DI102" i="39"/>
  <c r="DJ102" i="39"/>
  <c r="DK102" i="39"/>
  <c r="DN102" i="39"/>
  <c r="DO102" i="39"/>
  <c r="DP102" i="39"/>
  <c r="DQ102" i="39"/>
  <c r="DT102" i="39"/>
  <c r="DV102" i="39"/>
  <c r="DW102" i="39"/>
  <c r="DX102" i="39"/>
  <c r="DY102" i="39"/>
  <c r="EA102" i="39"/>
  <c r="EB102" i="39"/>
  <c r="EC102" i="39"/>
  <c r="ED102" i="39"/>
  <c r="EE102" i="39"/>
  <c r="EJ102" i="39"/>
  <c r="EK102" i="39"/>
  <c r="EL102" i="39"/>
  <c r="EM102" i="39"/>
  <c r="EN102" i="39"/>
  <c r="EP102" i="39"/>
  <c r="EQ102" i="39"/>
  <c r="ER102" i="39"/>
  <c r="ES102" i="39"/>
  <c r="L103" i="39"/>
  <c r="M103" i="39"/>
  <c r="O103" i="39"/>
  <c r="P103" i="39"/>
  <c r="Q103" i="39"/>
  <c r="R103" i="39"/>
  <c r="S103" i="39"/>
  <c r="T103" i="39"/>
  <c r="U103" i="39"/>
  <c r="V103" i="39"/>
  <c r="W103" i="39"/>
  <c r="Z103" i="39"/>
  <c r="AA103" i="39"/>
  <c r="AC103" i="39"/>
  <c r="AD103" i="39"/>
  <c r="AE103" i="39"/>
  <c r="AF103" i="39"/>
  <c r="AG103" i="39"/>
  <c r="AI103" i="39"/>
  <c r="AJ103" i="39"/>
  <c r="AK103" i="39"/>
  <c r="AN103" i="39"/>
  <c r="AO103" i="39"/>
  <c r="AP103" i="39"/>
  <c r="AQ103" i="39"/>
  <c r="AR103" i="39"/>
  <c r="AS103" i="39"/>
  <c r="AT103" i="39"/>
  <c r="AU103" i="39"/>
  <c r="AW103" i="39"/>
  <c r="AX103" i="39"/>
  <c r="AY103" i="39"/>
  <c r="BB103" i="39"/>
  <c r="BC103" i="39"/>
  <c r="BE103" i="39"/>
  <c r="BF103" i="39"/>
  <c r="BG103" i="39"/>
  <c r="BH103" i="39"/>
  <c r="BI103" i="39"/>
  <c r="BJ103" i="39"/>
  <c r="BK103" i="39"/>
  <c r="BL103" i="39"/>
  <c r="BM103" i="39"/>
  <c r="BP103" i="39"/>
  <c r="BQ103" i="39"/>
  <c r="BS103" i="39"/>
  <c r="BT103" i="39"/>
  <c r="BU103" i="39"/>
  <c r="BV103" i="39"/>
  <c r="BW103" i="39"/>
  <c r="BY103" i="39"/>
  <c r="BZ103" i="39"/>
  <c r="CA103" i="39"/>
  <c r="CD103" i="39"/>
  <c r="CE103" i="39"/>
  <c r="CF103" i="39"/>
  <c r="CG103" i="39"/>
  <c r="CH103" i="39"/>
  <c r="CI103" i="39"/>
  <c r="CJ103" i="39"/>
  <c r="CK103" i="39"/>
  <c r="CM103" i="39"/>
  <c r="CN103" i="39"/>
  <c r="CO103" i="39"/>
  <c r="CR103" i="39"/>
  <c r="CS103" i="39"/>
  <c r="CU103" i="39"/>
  <c r="CV103" i="39"/>
  <c r="CW103" i="39"/>
  <c r="CX103" i="39"/>
  <c r="CY103" i="39"/>
  <c r="CZ103" i="39"/>
  <c r="DA103" i="39"/>
  <c r="DB103" i="39"/>
  <c r="DC103" i="39"/>
  <c r="DF103" i="39"/>
  <c r="DG103" i="39"/>
  <c r="DI103" i="39"/>
  <c r="DJ103" i="39"/>
  <c r="DK103" i="39"/>
  <c r="DL103" i="39"/>
  <c r="DM103" i="39"/>
  <c r="DO103" i="39"/>
  <c r="DP103" i="39"/>
  <c r="DQ103" i="39"/>
  <c r="DT103" i="39"/>
  <c r="DU103" i="39"/>
  <c r="DV103" i="39"/>
  <c r="DW103" i="39"/>
  <c r="DX103" i="39"/>
  <c r="DY103" i="39"/>
  <c r="DZ103" i="39"/>
  <c r="EA103" i="39"/>
  <c r="EC103" i="39"/>
  <c r="ED103" i="39"/>
  <c r="EE103" i="39"/>
  <c r="EH103" i="39"/>
  <c r="EI103" i="39"/>
  <c r="EK103" i="39"/>
  <c r="EL103" i="39"/>
  <c r="EM103" i="39"/>
  <c r="EN103" i="39"/>
  <c r="EO103" i="39"/>
  <c r="EP103" i="39"/>
  <c r="EQ103" i="39"/>
  <c r="ER103" i="39"/>
  <c r="ES103" i="39"/>
  <c r="L104" i="39"/>
  <c r="M104" i="39"/>
  <c r="N104" i="39"/>
  <c r="O104" i="39"/>
  <c r="P104" i="39"/>
  <c r="Q104" i="39"/>
  <c r="R104" i="39"/>
  <c r="T104" i="39"/>
  <c r="U104" i="39"/>
  <c r="V104" i="39"/>
  <c r="W104" i="39"/>
  <c r="Z104" i="39"/>
  <c r="AA104" i="39"/>
  <c r="AB104" i="39"/>
  <c r="AC104" i="39"/>
  <c r="AD104" i="39"/>
  <c r="AE104" i="39"/>
  <c r="AF104" i="39"/>
  <c r="AH104" i="39"/>
  <c r="AI104" i="39"/>
  <c r="AJ104" i="39"/>
  <c r="AK104" i="39"/>
  <c r="AN104" i="39"/>
  <c r="AP104" i="39"/>
  <c r="AQ104" i="39"/>
  <c r="AR104" i="39"/>
  <c r="AS104" i="39"/>
  <c r="AT104" i="39"/>
  <c r="AU104" i="39"/>
  <c r="AV104" i="39"/>
  <c r="AW104" i="39"/>
  <c r="AX104" i="39"/>
  <c r="AY104" i="39"/>
  <c r="BB104" i="39"/>
  <c r="BD104" i="39"/>
  <c r="BE104" i="39"/>
  <c r="BF104" i="39"/>
  <c r="BG104" i="39"/>
  <c r="BH104" i="39"/>
  <c r="BJ104" i="39"/>
  <c r="BK104" i="39"/>
  <c r="BL104" i="39"/>
  <c r="BM104" i="39"/>
  <c r="BP104" i="39"/>
  <c r="BQ104" i="39"/>
  <c r="BR104" i="39"/>
  <c r="BS104" i="39"/>
  <c r="BT104" i="39"/>
  <c r="BU104" i="39"/>
  <c r="BV104" i="39"/>
  <c r="BX104" i="39"/>
  <c r="BY104" i="39"/>
  <c r="BZ104" i="39"/>
  <c r="CA104" i="39"/>
  <c r="CD104" i="39"/>
  <c r="CE104" i="39"/>
  <c r="CG104" i="39"/>
  <c r="CH104" i="39"/>
  <c r="CI104" i="39"/>
  <c r="CJ104" i="39"/>
  <c r="CK104" i="39"/>
  <c r="CL104" i="39"/>
  <c r="CM104" i="39"/>
  <c r="CN104" i="39"/>
  <c r="CO104" i="39"/>
  <c r="CR104" i="39"/>
  <c r="CS104" i="39"/>
  <c r="CU104" i="39"/>
  <c r="CV104" i="39"/>
  <c r="CW104" i="39"/>
  <c r="CX104" i="39"/>
  <c r="CZ104" i="39"/>
  <c r="DA104" i="39"/>
  <c r="DB104" i="39"/>
  <c r="DC104" i="39"/>
  <c r="DF104" i="39"/>
  <c r="DG104" i="39"/>
  <c r="DH104" i="39"/>
  <c r="DI104" i="39"/>
  <c r="DJ104" i="39"/>
  <c r="DK104" i="39"/>
  <c r="DL104" i="39"/>
  <c r="DN104" i="39"/>
  <c r="DO104" i="39"/>
  <c r="DP104" i="39"/>
  <c r="DQ104" i="39"/>
  <c r="DT104" i="39"/>
  <c r="DV104" i="39"/>
  <c r="DW104" i="39"/>
  <c r="DX104" i="39"/>
  <c r="DY104" i="39"/>
  <c r="DZ104" i="39"/>
  <c r="EA104" i="39"/>
  <c r="EB104" i="39"/>
  <c r="EC104" i="39"/>
  <c r="ED104" i="39"/>
  <c r="EE104" i="39"/>
  <c r="EH104" i="39"/>
  <c r="EJ104" i="39"/>
  <c r="EK104" i="39"/>
  <c r="EL104" i="39"/>
  <c r="EM104" i="39"/>
  <c r="EN104" i="39"/>
  <c r="EP104" i="39"/>
  <c r="EQ104" i="39"/>
  <c r="ER104" i="39"/>
  <c r="ES104" i="39"/>
  <c r="M105" i="39"/>
  <c r="N105" i="39"/>
  <c r="O105" i="39"/>
  <c r="P105" i="39"/>
  <c r="Q105" i="39"/>
  <c r="R105" i="39"/>
  <c r="T105" i="39"/>
  <c r="U105" i="39"/>
  <c r="V105" i="39"/>
  <c r="W105" i="39"/>
  <c r="AA105" i="39"/>
  <c r="AB105" i="39"/>
  <c r="AC105" i="39"/>
  <c r="AD105" i="39"/>
  <c r="AE105" i="39"/>
  <c r="AH105" i="39"/>
  <c r="AI105" i="39"/>
  <c r="AJ105" i="39"/>
  <c r="AK105" i="39"/>
  <c r="AN105" i="39"/>
  <c r="AP105" i="39"/>
  <c r="AQ105" i="39"/>
  <c r="AR105" i="39"/>
  <c r="AS105" i="39"/>
  <c r="AU105" i="39"/>
  <c r="AV105" i="39"/>
  <c r="AW105" i="39"/>
  <c r="AX105" i="39"/>
  <c r="AY105" i="39"/>
  <c r="BD105" i="39"/>
  <c r="BE105" i="39"/>
  <c r="BF105" i="39"/>
  <c r="BG105" i="39"/>
  <c r="BH105" i="39"/>
  <c r="BJ105" i="39"/>
  <c r="BK105" i="39"/>
  <c r="BL105" i="39"/>
  <c r="BM105" i="39"/>
  <c r="BQ105" i="39"/>
  <c r="BR105" i="39"/>
  <c r="BS105" i="39"/>
  <c r="BT105" i="39"/>
  <c r="BU105" i="39"/>
  <c r="BX105" i="39"/>
  <c r="BY105" i="39"/>
  <c r="BZ105" i="39"/>
  <c r="CA105" i="39"/>
  <c r="CD105" i="39"/>
  <c r="CE105" i="39"/>
  <c r="CG105" i="39"/>
  <c r="CH105" i="39"/>
  <c r="CI105" i="39"/>
  <c r="CK105" i="39"/>
  <c r="CL105" i="39"/>
  <c r="CM105" i="39"/>
  <c r="CN105" i="39"/>
  <c r="CO105" i="39"/>
  <c r="CS105" i="39"/>
  <c r="CU105" i="39"/>
  <c r="CV105" i="39"/>
  <c r="CW105" i="39"/>
  <c r="CX105" i="39"/>
  <c r="CZ105" i="39"/>
  <c r="DA105" i="39"/>
  <c r="DB105" i="39"/>
  <c r="DC105" i="39"/>
  <c r="DG105" i="39"/>
  <c r="DH105" i="39"/>
  <c r="DI105" i="39"/>
  <c r="DJ105" i="39"/>
  <c r="DK105" i="39"/>
  <c r="DN105" i="39"/>
  <c r="DO105" i="39"/>
  <c r="DP105" i="39"/>
  <c r="DQ105" i="39"/>
  <c r="DT105" i="39"/>
  <c r="DV105" i="39"/>
  <c r="DW105" i="39"/>
  <c r="DX105" i="39"/>
  <c r="DY105" i="39"/>
  <c r="EA105" i="39"/>
  <c r="EB105" i="39"/>
  <c r="EC105" i="39"/>
  <c r="ED105" i="39"/>
  <c r="EE105" i="39"/>
  <c r="EJ105" i="39"/>
  <c r="EK105" i="39"/>
  <c r="EL105" i="39"/>
  <c r="EM105" i="39"/>
  <c r="EN105" i="39"/>
  <c r="EP105" i="39"/>
  <c r="EQ105" i="39"/>
  <c r="ER105" i="39"/>
  <c r="ES105" i="39"/>
  <c r="L106" i="39"/>
  <c r="M106" i="39"/>
  <c r="M107" i="39"/>
  <c r="N107" i="39"/>
  <c r="O107" i="39"/>
  <c r="P107" i="39"/>
  <c r="Q107" i="39"/>
  <c r="R107" i="39"/>
  <c r="S107" i="39"/>
  <c r="T107" i="39"/>
  <c r="U107" i="39"/>
  <c r="V107" i="39"/>
  <c r="W107" i="39"/>
  <c r="AA107" i="39"/>
  <c r="AB107" i="39"/>
  <c r="AC107" i="39"/>
  <c r="AD107" i="39"/>
  <c r="AE107" i="39"/>
  <c r="AF107" i="39"/>
  <c r="AG107" i="39"/>
  <c r="AH107" i="39"/>
  <c r="AI107" i="39"/>
  <c r="AJ107" i="39"/>
  <c r="AK107" i="39"/>
  <c r="AO107" i="39"/>
  <c r="AP107" i="39"/>
  <c r="AQ107" i="39"/>
  <c r="AR107" i="39"/>
  <c r="AS107" i="39"/>
  <c r="AT107" i="39"/>
  <c r="AU107" i="39"/>
  <c r="AV107" i="39"/>
  <c r="AW107" i="39"/>
  <c r="AX107" i="39"/>
  <c r="AY107" i="39"/>
  <c r="BC107" i="39"/>
  <c r="BD107" i="39"/>
  <c r="BE107" i="39"/>
  <c r="BF107" i="39"/>
  <c r="BG107" i="39"/>
  <c r="BH107" i="39"/>
  <c r="BI107" i="39"/>
  <c r="BJ107" i="39"/>
  <c r="BK107" i="39"/>
  <c r="BL107" i="39"/>
  <c r="BM107" i="39"/>
  <c r="BQ107" i="39"/>
  <c r="BR107" i="39"/>
  <c r="BS107" i="39"/>
  <c r="BT107" i="39"/>
  <c r="BU107" i="39"/>
  <c r="BV107" i="39"/>
  <c r="BW107" i="39"/>
  <c r="BX107" i="39"/>
  <c r="BY107" i="39"/>
  <c r="BZ107" i="39"/>
  <c r="CA107" i="39"/>
  <c r="CE107" i="39"/>
  <c r="CF107" i="39"/>
  <c r="CG107" i="39"/>
  <c r="CH107" i="39"/>
  <c r="CI107" i="39"/>
  <c r="CJ107" i="39"/>
  <c r="CK107" i="39"/>
  <c r="CL107" i="39"/>
  <c r="CM107" i="39"/>
  <c r="CN107" i="39"/>
  <c r="CO107" i="39"/>
  <c r="CS107" i="39"/>
  <c r="CT107" i="39"/>
  <c r="CU107" i="39"/>
  <c r="CV107" i="39"/>
  <c r="CW107" i="39"/>
  <c r="CX107" i="39"/>
  <c r="CY107" i="39"/>
  <c r="CZ107" i="39"/>
  <c r="DA107" i="39"/>
  <c r="DB107" i="39"/>
  <c r="DC107" i="39"/>
  <c r="DG107" i="39"/>
  <c r="DH107" i="39"/>
  <c r="DI107" i="39"/>
  <c r="DJ107" i="39"/>
  <c r="DK107" i="39"/>
  <c r="DL107" i="39"/>
  <c r="DM107" i="39"/>
  <c r="DN107" i="39"/>
  <c r="DO107" i="39"/>
  <c r="DP107" i="39"/>
  <c r="DQ107" i="39"/>
  <c r="DU107" i="39"/>
  <c r="DV107" i="39"/>
  <c r="DW107" i="39"/>
  <c r="DX107" i="39"/>
  <c r="DY107" i="39"/>
  <c r="DZ107" i="39"/>
  <c r="EA107" i="39"/>
  <c r="EB107" i="39"/>
  <c r="EC107" i="39"/>
  <c r="ED107" i="39"/>
  <c r="EE107" i="39"/>
  <c r="EI107" i="39"/>
  <c r="EJ107" i="39"/>
  <c r="EK107" i="39"/>
  <c r="EL107" i="39"/>
  <c r="EM107" i="39"/>
  <c r="EN107" i="39"/>
  <c r="EO107" i="39"/>
  <c r="EP107" i="39"/>
  <c r="EQ107" i="39"/>
  <c r="ER107" i="39"/>
  <c r="ES107" i="39"/>
  <c r="N80" i="39"/>
  <c r="O80" i="39"/>
  <c r="P80" i="39"/>
  <c r="Q80" i="39"/>
  <c r="R80" i="39"/>
  <c r="S80" i="39"/>
  <c r="T80" i="39"/>
  <c r="U80" i="39"/>
  <c r="V80" i="39"/>
  <c r="W80" i="39"/>
  <c r="AB80" i="39"/>
  <c r="AC80" i="39"/>
  <c r="AD80" i="39"/>
  <c r="AE80" i="39"/>
  <c r="AH80" i="39"/>
  <c r="AI80" i="39"/>
  <c r="AJ80" i="39"/>
  <c r="AK80" i="39"/>
  <c r="AN80" i="39"/>
  <c r="AO80" i="39"/>
  <c r="AP80" i="39"/>
  <c r="AQ80" i="39"/>
  <c r="AR80" i="39"/>
  <c r="AS80" i="39"/>
  <c r="AV80" i="39"/>
  <c r="AW80" i="39"/>
  <c r="AX80" i="39"/>
  <c r="AY80" i="39"/>
  <c r="BD80" i="39"/>
  <c r="BE80" i="39"/>
  <c r="BF80" i="39"/>
  <c r="BG80" i="39"/>
  <c r="BH80" i="39"/>
  <c r="BI80" i="39"/>
  <c r="BJ80" i="39"/>
  <c r="BK80" i="39"/>
  <c r="BL80" i="39"/>
  <c r="BM80" i="39"/>
  <c r="BR80" i="39"/>
  <c r="BS80" i="39"/>
  <c r="BT80" i="39"/>
  <c r="BU80" i="39"/>
  <c r="BX80" i="39"/>
  <c r="BY80" i="39"/>
  <c r="BZ80" i="39"/>
  <c r="CA80" i="39"/>
  <c r="CD80" i="39"/>
  <c r="CE80" i="39"/>
  <c r="CF80" i="39"/>
  <c r="CG80" i="39"/>
  <c r="CH80" i="39"/>
  <c r="CI80" i="39"/>
  <c r="CL80" i="39"/>
  <c r="CM80" i="39"/>
  <c r="CN80" i="39"/>
  <c r="CO80" i="39"/>
  <c r="CT80" i="39"/>
  <c r="CU80" i="39"/>
  <c r="CV80" i="39"/>
  <c r="CW80" i="39"/>
  <c r="CX80" i="39"/>
  <c r="CY80" i="39"/>
  <c r="CZ80" i="39"/>
  <c r="DA80" i="39"/>
  <c r="DB80" i="39"/>
  <c r="DC80" i="39"/>
  <c r="DH80" i="39"/>
  <c r="DI80" i="39"/>
  <c r="DJ80" i="39"/>
  <c r="DK80" i="39"/>
  <c r="DN80" i="39"/>
  <c r="DO80" i="39"/>
  <c r="DP80" i="39"/>
  <c r="DQ80" i="39"/>
  <c r="DT80" i="39"/>
  <c r="DU80" i="39"/>
  <c r="DV80" i="39"/>
  <c r="DW80" i="39"/>
  <c r="DX80" i="39"/>
  <c r="DY80" i="39"/>
  <c r="EB80" i="39"/>
  <c r="EC80" i="39"/>
  <c r="ED80" i="39"/>
  <c r="EE80" i="39"/>
  <c r="EJ80" i="39"/>
  <c r="EK80" i="39"/>
  <c r="EL80" i="39"/>
  <c r="EM80" i="39"/>
  <c r="EN80" i="39"/>
  <c r="EO80" i="39"/>
  <c r="EP80" i="39"/>
  <c r="EQ80" i="39"/>
  <c r="ER80" i="39"/>
  <c r="ES80" i="39"/>
  <c r="M81" i="39"/>
  <c r="M82" i="39"/>
  <c r="H15" i="29" s="1"/>
  <c r="N82" i="39"/>
  <c r="I15" i="29" s="1"/>
  <c r="O82" i="39"/>
  <c r="J15" i="29" s="1"/>
  <c r="P82" i="39"/>
  <c r="K15" i="29" s="1"/>
  <c r="Q82" i="39"/>
  <c r="L15" i="29" s="1"/>
  <c r="R82" i="39"/>
  <c r="M15" i="29" s="1"/>
  <c r="S82" i="39"/>
  <c r="N15" i="29" s="1"/>
  <c r="T82" i="39"/>
  <c r="O15" i="29" s="1"/>
  <c r="U82" i="39"/>
  <c r="P15" i="29" s="1"/>
  <c r="V82" i="39"/>
  <c r="Q15" i="29" s="1"/>
  <c r="W82" i="39"/>
  <c r="R15" i="29" s="1"/>
  <c r="Z82" i="39"/>
  <c r="T15" i="29" s="1"/>
  <c r="AA82" i="39"/>
  <c r="U15" i="29" s="1"/>
  <c r="AB82" i="39"/>
  <c r="V15" i="29" s="1"/>
  <c r="AC82" i="39"/>
  <c r="W15" i="29" s="1"/>
  <c r="AD82" i="39"/>
  <c r="X15" i="29" s="1"/>
  <c r="AE82" i="39"/>
  <c r="Y15" i="29" s="1"/>
  <c r="AF82" i="39"/>
  <c r="Z15" i="29" s="1"/>
  <c r="AG82" i="39"/>
  <c r="AA15" i="29" s="1"/>
  <c r="AI82" i="39"/>
  <c r="AC15" i="29" s="1"/>
  <c r="AJ82" i="39"/>
  <c r="AD15" i="29" s="1"/>
  <c r="AK82" i="39"/>
  <c r="AE15" i="29" s="1"/>
  <c r="AN82" i="39"/>
  <c r="AG15" i="29" s="1"/>
  <c r="AO82" i="39"/>
  <c r="AH15" i="29" s="1"/>
  <c r="AP82" i="39"/>
  <c r="AI15" i="29" s="1"/>
  <c r="AQ82" i="39"/>
  <c r="AJ15" i="29" s="1"/>
  <c r="AR82" i="39"/>
  <c r="AK15" i="29" s="1"/>
  <c r="AS82" i="39"/>
  <c r="AL15" i="29" s="1"/>
  <c r="AT82" i="39"/>
  <c r="AM15" i="29" s="1"/>
  <c r="AU82" i="39"/>
  <c r="AN15" i="29" s="1"/>
  <c r="AW82" i="39"/>
  <c r="AP15" i="29" s="1"/>
  <c r="AX82" i="39"/>
  <c r="AQ15" i="29" s="1"/>
  <c r="AY82" i="39"/>
  <c r="AR15" i="29" s="1"/>
  <c r="BB82" i="39"/>
  <c r="AT15" i="29" s="1"/>
  <c r="BC82" i="39"/>
  <c r="AU15" i="29" s="1"/>
  <c r="BE82" i="39"/>
  <c r="AW15" i="29" s="1"/>
  <c r="BF82" i="39"/>
  <c r="AX15" i="29" s="1"/>
  <c r="BG82" i="39"/>
  <c r="AY15" i="29" s="1"/>
  <c r="BH82" i="39"/>
  <c r="AZ15" i="29" s="1"/>
  <c r="BI82" i="39"/>
  <c r="BA15" i="29" s="1"/>
  <c r="BJ82" i="39"/>
  <c r="BB15" i="29" s="1"/>
  <c r="BK82" i="39"/>
  <c r="BC15" i="29" s="1"/>
  <c r="BL82" i="39"/>
  <c r="BD15" i="29" s="1"/>
  <c r="BM82" i="39"/>
  <c r="BE15" i="29" s="1"/>
  <c r="BP82" i="39"/>
  <c r="BG15" i="29" s="1"/>
  <c r="BQ82" i="39"/>
  <c r="BS82" i="39"/>
  <c r="BJ15" i="29" s="1"/>
  <c r="BT82" i="39"/>
  <c r="BK15" i="29" s="1"/>
  <c r="BU82" i="39"/>
  <c r="BL15" i="29" s="1"/>
  <c r="BV82" i="39"/>
  <c r="BM15" i="29" s="1"/>
  <c r="BW82" i="39"/>
  <c r="BN15" i="29" s="1"/>
  <c r="BY82" i="39"/>
  <c r="BP15" i="29" s="1"/>
  <c r="BZ82" i="39"/>
  <c r="BQ15" i="29" s="1"/>
  <c r="CA82" i="39"/>
  <c r="BR15" i="29" s="1"/>
  <c r="CD82" i="39"/>
  <c r="BT15" i="29" s="1"/>
  <c r="CE82" i="39"/>
  <c r="BU15" i="29" s="1"/>
  <c r="CF82" i="39"/>
  <c r="BV15" i="29" s="1"/>
  <c r="CG82" i="39"/>
  <c r="BW15" i="29" s="1"/>
  <c r="CH82" i="39"/>
  <c r="BX15" i="29" s="1"/>
  <c r="CI82" i="39"/>
  <c r="BY15" i="29" s="1"/>
  <c r="CJ82" i="39"/>
  <c r="BZ15" i="29" s="1"/>
  <c r="CK82" i="39"/>
  <c r="CA15" i="29" s="1"/>
  <c r="CM82" i="39"/>
  <c r="CC15" i="29" s="1"/>
  <c r="CN82" i="39"/>
  <c r="CD15" i="29" s="1"/>
  <c r="CO82" i="39"/>
  <c r="CE15" i="29" s="1"/>
  <c r="CR82" i="39"/>
  <c r="CG15" i="29" s="1"/>
  <c r="CS82" i="39"/>
  <c r="CH15" i="29" s="1"/>
  <c r="CU82" i="39"/>
  <c r="CJ15" i="29" s="1"/>
  <c r="CV82" i="39"/>
  <c r="CK15" i="29" s="1"/>
  <c r="CW82" i="39"/>
  <c r="CL15" i="29" s="1"/>
  <c r="CX82" i="39"/>
  <c r="CM15" i="29" s="1"/>
  <c r="CY82" i="39"/>
  <c r="CN15" i="29" s="1"/>
  <c r="CZ82" i="39"/>
  <c r="CO15" i="29" s="1"/>
  <c r="DA82" i="39"/>
  <c r="CP15" i="29" s="1"/>
  <c r="DB82" i="39"/>
  <c r="CQ15" i="29" s="1"/>
  <c r="DC82" i="39"/>
  <c r="CR15" i="29" s="1"/>
  <c r="DF82" i="39"/>
  <c r="CT15" i="29" s="1"/>
  <c r="DG82" i="39"/>
  <c r="CU15" i="29" s="1"/>
  <c r="DI82" i="39"/>
  <c r="CW15" i="29" s="1"/>
  <c r="DJ82" i="39"/>
  <c r="CX15" i="29" s="1"/>
  <c r="DK82" i="39"/>
  <c r="CY15" i="29" s="1"/>
  <c r="DL82" i="39"/>
  <c r="CZ15" i="29" s="1"/>
  <c r="DM82" i="39"/>
  <c r="DA15" i="29" s="1"/>
  <c r="DO82" i="39"/>
  <c r="DC15" i="29" s="1"/>
  <c r="DP82" i="39"/>
  <c r="DD15" i="29" s="1"/>
  <c r="DQ82" i="39"/>
  <c r="DE15" i="29" s="1"/>
  <c r="DT82" i="39"/>
  <c r="DG15" i="29" s="1"/>
  <c r="DU82" i="39"/>
  <c r="DH15" i="29" s="1"/>
  <c r="DV82" i="39"/>
  <c r="DI15" i="29" s="1"/>
  <c r="DW82" i="39"/>
  <c r="DJ15" i="29" s="1"/>
  <c r="DX82" i="39"/>
  <c r="DK15" i="29" s="1"/>
  <c r="DY82" i="39"/>
  <c r="DL15" i="29" s="1"/>
  <c r="DZ82" i="39"/>
  <c r="DM15" i="29" s="1"/>
  <c r="EA82" i="39"/>
  <c r="DN15" i="29" s="1"/>
  <c r="EC82" i="39"/>
  <c r="DP15" i="29" s="1"/>
  <c r="ED82" i="39"/>
  <c r="EE82" i="39"/>
  <c r="DR15" i="29" s="1"/>
  <c r="EH82" i="39"/>
  <c r="DT15" i="29" s="1"/>
  <c r="EI82" i="39"/>
  <c r="DU15" i="29" s="1"/>
  <c r="EK82" i="39"/>
  <c r="DW15" i="29" s="1"/>
  <c r="EL82" i="39"/>
  <c r="DX15" i="29" s="1"/>
  <c r="EM82" i="39"/>
  <c r="DY15" i="29" s="1"/>
  <c r="EN82" i="39"/>
  <c r="DZ15" i="29" s="1"/>
  <c r="EO82" i="39"/>
  <c r="EA15" i="29" s="1"/>
  <c r="EP82" i="39"/>
  <c r="EB15" i="29" s="1"/>
  <c r="EQ82" i="39"/>
  <c r="EC15" i="29" s="1"/>
  <c r="ER82" i="39"/>
  <c r="ED15" i="29" s="1"/>
  <c r="L82" i="39"/>
  <c r="G15" i="29" s="1"/>
  <c r="L81" i="39"/>
  <c r="FC38" i="40"/>
  <c r="EQ38" i="40"/>
  <c r="FF38" i="40" s="1"/>
  <c r="DA38" i="40"/>
  <c r="BK38" i="40"/>
  <c r="EZ38" i="40" s="1"/>
  <c r="EF72" i="39"/>
  <c r="CP72" i="39"/>
  <c r="AZ72" i="39"/>
  <c r="ET71" i="39"/>
  <c r="DD71" i="39"/>
  <c r="BN71" i="39"/>
  <c r="EF68" i="39"/>
  <c r="CP68" i="39"/>
  <c r="AZ68" i="39"/>
  <c r="ET67" i="39"/>
  <c r="DD67" i="39"/>
  <c r="BN67" i="39"/>
  <c r="ET66" i="39"/>
  <c r="DD66" i="39"/>
  <c r="BN66" i="39"/>
  <c r="ET53" i="39"/>
  <c r="DD53" i="39"/>
  <c r="BN53" i="39"/>
  <c r="BN50" i="39"/>
  <c r="ET48" i="39"/>
  <c r="DD48" i="39"/>
  <c r="CB48" i="39"/>
  <c r="BN48" i="39"/>
  <c r="H16" i="41"/>
  <c r="H15" i="41"/>
  <c r="H14" i="41"/>
  <c r="H13" i="41"/>
  <c r="H12" i="41"/>
  <c r="H11" i="41"/>
  <c r="H10" i="41"/>
  <c r="H9" i="41"/>
  <c r="H8" i="41"/>
  <c r="H7" i="41"/>
  <c r="H6" i="41"/>
  <c r="H5" i="41"/>
  <c r="F4" i="41"/>
  <c r="H4" i="41" s="1"/>
  <c r="H16" i="29" l="1"/>
  <c r="G16" i="29"/>
  <c r="H17" i="41"/>
  <c r="EC12" i="40" l="1"/>
  <c r="CM12" i="40"/>
  <c r="AW12" i="40"/>
  <c r="AA31" i="40"/>
  <c r="Q28" i="40"/>
  <c r="N29" i="40"/>
  <c r="L31" i="40"/>
  <c r="Q31" i="40"/>
  <c r="S31" i="40"/>
  <c r="T31" i="40"/>
  <c r="C11" i="40"/>
  <c r="C33" i="40"/>
  <c r="C32" i="40"/>
  <c r="C31" i="40"/>
  <c r="C30" i="40"/>
  <c r="C29" i="40"/>
  <c r="C28" i="40"/>
  <c r="C27" i="40"/>
  <c r="C25" i="40"/>
  <c r="C24" i="40"/>
  <c r="C23" i="40"/>
  <c r="C21" i="40"/>
  <c r="C20" i="40"/>
  <c r="C19" i="40"/>
  <c r="C18" i="40"/>
  <c r="C17" i="40"/>
  <c r="C16" i="40"/>
  <c r="C15" i="40"/>
  <c r="C14" i="40"/>
  <c r="C13" i="40"/>
  <c r="A4" i="40"/>
  <c r="A2" i="40"/>
  <c r="A1" i="40"/>
  <c r="EF15" i="39"/>
  <c r="ET13" i="39"/>
  <c r="ET80" i="39" s="1"/>
  <c r="BN13" i="39"/>
  <c r="BN80" i="39" s="1"/>
  <c r="AZ36" i="39"/>
  <c r="AZ32" i="39"/>
  <c r="AZ31" i="39"/>
  <c r="AZ18" i="39"/>
  <c r="AZ15" i="39"/>
  <c r="AZ13" i="39"/>
  <c r="F44" i="39"/>
  <c r="C44" i="39"/>
  <c r="F43" i="39"/>
  <c r="F42" i="39"/>
  <c r="C42" i="39"/>
  <c r="F41" i="39"/>
  <c r="F40" i="39"/>
  <c r="F39" i="39"/>
  <c r="F38" i="39"/>
  <c r="F36" i="39"/>
  <c r="F35" i="39"/>
  <c r="F34" i="39"/>
  <c r="F32" i="39"/>
  <c r="F31" i="39"/>
  <c r="F30" i="39"/>
  <c r="F29" i="39"/>
  <c r="F28" i="39"/>
  <c r="F27" i="39"/>
  <c r="F26" i="39"/>
  <c r="C26" i="39"/>
  <c r="F25" i="39"/>
  <c r="C25" i="39"/>
  <c r="F24" i="39"/>
  <c r="C24" i="39"/>
  <c r="C14" i="39"/>
  <c r="C13" i="39"/>
  <c r="ES50" i="39" s="1"/>
  <c r="ET50" i="39" s="1"/>
  <c r="C12" i="39"/>
  <c r="A4" i="39"/>
  <c r="A2" i="39"/>
  <c r="A1" i="39"/>
  <c r="F26" i="8"/>
  <c r="F19" i="8"/>
  <c r="U59" i="28"/>
  <c r="N12" i="28"/>
  <c r="S20" i="28" s="1"/>
  <c r="W22" i="28" s="1"/>
  <c r="N11" i="28"/>
  <c r="N20" i="28" s="1"/>
  <c r="Q25" i="28" s="1"/>
  <c r="AB13" i="28"/>
  <c r="AB12" i="28"/>
  <c r="D21" i="35" l="1"/>
  <c r="D22" i="35" s="1"/>
  <c r="AB14" i="28"/>
  <c r="D31" i="1"/>
  <c r="D29" i="1" s="1"/>
  <c r="AZ24" i="40"/>
  <c r="EO50" i="40"/>
  <c r="EG50" i="40"/>
  <c r="DU50" i="40"/>
  <c r="DN50" i="40"/>
  <c r="DF50" i="40"/>
  <c r="CT50" i="40"/>
  <c r="CI50" i="40"/>
  <c r="BS50" i="40"/>
  <c r="EL50" i="40"/>
  <c r="EI50" i="40"/>
  <c r="DZ50" i="40"/>
  <c r="DG50" i="40"/>
  <c r="CZ50" i="40"/>
  <c r="CQ50" i="40"/>
  <c r="CL50" i="40"/>
  <c r="CB50" i="40"/>
  <c r="BR50" i="40"/>
  <c r="BC50" i="40"/>
  <c r="AO50" i="40"/>
  <c r="EH50" i="40"/>
  <c r="DY50" i="40"/>
  <c r="DE50" i="40"/>
  <c r="CY50" i="40"/>
  <c r="CP50" i="40"/>
  <c r="CK50" i="40"/>
  <c r="CA50" i="40"/>
  <c r="BQ50" i="40"/>
  <c r="BJ50" i="40"/>
  <c r="BB50" i="40"/>
  <c r="AP50" i="40"/>
  <c r="EE50" i="40"/>
  <c r="EQ50" i="40" s="1"/>
  <c r="FF50" i="40" s="1"/>
  <c r="DS50" i="40"/>
  <c r="DH50" i="40"/>
  <c r="CW50" i="40"/>
  <c r="CC50" i="40"/>
  <c r="BO50" i="40"/>
  <c r="BD50" i="40"/>
  <c r="AS50" i="40"/>
  <c r="Y50" i="40"/>
  <c r="AG50" i="40"/>
  <c r="AT50" i="40"/>
  <c r="Z50" i="40"/>
  <c r="AH50" i="40"/>
  <c r="DR50" i="40"/>
  <c r="DD50" i="40"/>
  <c r="CV50" i="40"/>
  <c r="BN50" i="40"/>
  <c r="BA50" i="40"/>
  <c r="EJ50" i="40"/>
  <c r="EA50" i="40"/>
  <c r="CU50" i="40"/>
  <c r="BT50" i="40"/>
  <c r="BF50" i="40"/>
  <c r="AU50" i="40"/>
  <c r="AC50" i="40"/>
  <c r="CR50" i="40"/>
  <c r="CH50" i="40"/>
  <c r="BI50" i="40"/>
  <c r="EF50" i="40"/>
  <c r="DX50" i="40"/>
  <c r="DM50" i="40"/>
  <c r="CS50" i="40"/>
  <c r="BP50" i="40"/>
  <c r="BE50" i="40"/>
  <c r="AV50" i="40"/>
  <c r="AD50" i="40"/>
  <c r="AE50" i="40"/>
  <c r="EP50" i="40"/>
  <c r="DJ50" i="40"/>
  <c r="AK50" i="40"/>
  <c r="AM50" i="40"/>
  <c r="X50" i="40"/>
  <c r="EM50" i="40"/>
  <c r="DV50" i="40"/>
  <c r="DL50" i="40"/>
  <c r="AZ50" i="40"/>
  <c r="DQ50" i="40"/>
  <c r="BX50" i="40"/>
  <c r="AL50" i="40"/>
  <c r="EN50" i="40"/>
  <c r="DI50" i="40"/>
  <c r="CF50" i="40"/>
  <c r="BW50" i="40"/>
  <c r="DT50" i="40"/>
  <c r="DK50" i="40"/>
  <c r="CO50" i="40"/>
  <c r="CJ50" i="40"/>
  <c r="AY50" i="40"/>
  <c r="AF50" i="40"/>
  <c r="EK50" i="40"/>
  <c r="EB50" i="40"/>
  <c r="CX50" i="40"/>
  <c r="CD50" i="40"/>
  <c r="AR50" i="40"/>
  <c r="BV50" i="40"/>
  <c r="BH50" i="40"/>
  <c r="AA50" i="40"/>
  <c r="BG50" i="40"/>
  <c r="AB50" i="40"/>
  <c r="BU50" i="40"/>
  <c r="CE50" i="40"/>
  <c r="AN50" i="40"/>
  <c r="BH33" i="40"/>
  <c r="EP59" i="40"/>
  <c r="EH59" i="40"/>
  <c r="DW59" i="40"/>
  <c r="DK59" i="40"/>
  <c r="CU59" i="40"/>
  <c r="CJ59" i="40"/>
  <c r="CB59" i="40"/>
  <c r="BX59" i="40"/>
  <c r="BP59" i="40"/>
  <c r="BH59" i="40"/>
  <c r="AZ59" i="40"/>
  <c r="EM59" i="40"/>
  <c r="EB59" i="40"/>
  <c r="DT59" i="40"/>
  <c r="EO59" i="40"/>
  <c r="DV59" i="40"/>
  <c r="DN59" i="40"/>
  <c r="DE59" i="40"/>
  <c r="CT59" i="40"/>
  <c r="CF59" i="40"/>
  <c r="BQ59" i="40"/>
  <c r="BF59" i="40"/>
  <c r="EN59" i="40"/>
  <c r="DU59" i="40"/>
  <c r="DM59" i="40"/>
  <c r="DD59" i="40"/>
  <c r="CS59" i="40"/>
  <c r="CE59" i="40"/>
  <c r="BO59" i="40"/>
  <c r="BE59" i="40"/>
  <c r="AP59" i="40"/>
  <c r="EK59" i="40"/>
  <c r="DF59" i="40"/>
  <c r="CQ59" i="40"/>
  <c r="CI59" i="40"/>
  <c r="BA59" i="40"/>
  <c r="AM59" i="40"/>
  <c r="AV59" i="40"/>
  <c r="Y59" i="40"/>
  <c r="AG59" i="40"/>
  <c r="AN59" i="40"/>
  <c r="EJ59" i="40"/>
  <c r="EA59" i="40"/>
  <c r="CP59" i="40"/>
  <c r="CH59" i="40"/>
  <c r="BW59" i="40"/>
  <c r="EF59" i="40"/>
  <c r="DH59" i="40"/>
  <c r="CX59" i="40"/>
  <c r="CC59" i="40"/>
  <c r="BV59" i="40"/>
  <c r="AE59" i="40"/>
  <c r="AH59" i="40"/>
  <c r="CL59" i="40"/>
  <c r="AR59" i="40"/>
  <c r="AS59" i="40"/>
  <c r="DG59" i="40"/>
  <c r="CW59" i="40"/>
  <c r="BU59" i="40"/>
  <c r="AL59" i="40"/>
  <c r="AF59" i="40"/>
  <c r="DX59" i="40"/>
  <c r="BR59" i="40"/>
  <c r="BG59" i="40"/>
  <c r="EL59" i="40"/>
  <c r="DS59" i="40"/>
  <c r="DL59" i="40"/>
  <c r="CK59" i="40"/>
  <c r="BN59" i="40"/>
  <c r="BD59" i="40"/>
  <c r="AB59" i="40"/>
  <c r="EI59" i="40"/>
  <c r="DR59" i="40"/>
  <c r="DJ59" i="40"/>
  <c r="CZ59" i="40"/>
  <c r="DZ59" i="40"/>
  <c r="CV59" i="40"/>
  <c r="BT59" i="40"/>
  <c r="BJ59" i="40"/>
  <c r="AO59" i="40"/>
  <c r="X59" i="40"/>
  <c r="AA59" i="40"/>
  <c r="CG59" i="40"/>
  <c r="DY59" i="40"/>
  <c r="CR59" i="40"/>
  <c r="BS59" i="40"/>
  <c r="BI59" i="40"/>
  <c r="AQ59" i="40"/>
  <c r="Z59" i="40"/>
  <c r="EG59" i="40"/>
  <c r="DI59" i="40"/>
  <c r="CY59" i="40"/>
  <c r="CD59" i="40"/>
  <c r="BB59" i="40"/>
  <c r="AU59" i="40"/>
  <c r="AC59" i="40"/>
  <c r="AD59" i="40"/>
  <c r="AT59" i="40"/>
  <c r="BC59" i="40"/>
  <c r="AO25" i="40"/>
  <c r="EK51" i="40"/>
  <c r="EA51" i="40"/>
  <c r="DR51" i="40"/>
  <c r="DK51" i="40"/>
  <c r="CX51" i="40"/>
  <c r="CP51" i="40"/>
  <c r="CE51" i="40"/>
  <c r="BX51" i="40"/>
  <c r="BP51" i="40"/>
  <c r="EP51" i="40"/>
  <c r="EH51" i="40"/>
  <c r="EG51" i="40"/>
  <c r="DW51" i="40"/>
  <c r="DN51" i="40"/>
  <c r="DE51" i="40"/>
  <c r="CW51" i="40"/>
  <c r="CJ51" i="40"/>
  <c r="BQ51" i="40"/>
  <c r="BG51" i="40"/>
  <c r="AY51" i="40"/>
  <c r="BK51" i="40" s="1"/>
  <c r="EZ51" i="40" s="1"/>
  <c r="AM51" i="40"/>
  <c r="AV51" i="40"/>
  <c r="EF51" i="40"/>
  <c r="DV51" i="40"/>
  <c r="DM51" i="40"/>
  <c r="DC51" i="40"/>
  <c r="CV51" i="40"/>
  <c r="CI51" i="40"/>
  <c r="BO51" i="40"/>
  <c r="BF51" i="40"/>
  <c r="AN51" i="40"/>
  <c r="EI51" i="40"/>
  <c r="DT51" i="40"/>
  <c r="DH51" i="40"/>
  <c r="CY51" i="40"/>
  <c r="CC51" i="40"/>
  <c r="BR51" i="40"/>
  <c r="BB51" i="40"/>
  <c r="AS51" i="40"/>
  <c r="AE51" i="40"/>
  <c r="AT51" i="40"/>
  <c r="EE51" i="40"/>
  <c r="DS51" i="40"/>
  <c r="DG51" i="40"/>
  <c r="CU51" i="40"/>
  <c r="CB51" i="40"/>
  <c r="BM51" i="40"/>
  <c r="BA51" i="40"/>
  <c r="EN51" i="40"/>
  <c r="DF51" i="40"/>
  <c r="CF51" i="40"/>
  <c r="BV51" i="40"/>
  <c r="BH51" i="40"/>
  <c r="AC51" i="40"/>
  <c r="CA51" i="40"/>
  <c r="BT51" i="40"/>
  <c r="BD51" i="40"/>
  <c r="AL51" i="40"/>
  <c r="AF51" i="40"/>
  <c r="DY51" i="40"/>
  <c r="AP51" i="40"/>
  <c r="EM51" i="40"/>
  <c r="CZ51" i="40"/>
  <c r="CD51" i="40"/>
  <c r="BU51" i="40"/>
  <c r="BE51" i="40"/>
  <c r="AD51" i="40"/>
  <c r="CR51" i="40"/>
  <c r="AZ51" i="40"/>
  <c r="AH51" i="40"/>
  <c r="DL51" i="40"/>
  <c r="CL51" i="40"/>
  <c r="CO51" i="40"/>
  <c r="CK51" i="40"/>
  <c r="EL51" i="40"/>
  <c r="EB51" i="40"/>
  <c r="CT51" i="40"/>
  <c r="Y51" i="40"/>
  <c r="DU51" i="40"/>
  <c r="CQ51" i="40"/>
  <c r="AQ51" i="40"/>
  <c r="Z51" i="40"/>
  <c r="DQ51" i="40"/>
  <c r="DJ51" i="40"/>
  <c r="EJ51" i="40"/>
  <c r="DZ51" i="40"/>
  <c r="CS51" i="40"/>
  <c r="BS51" i="40"/>
  <c r="BC51" i="40"/>
  <c r="AO51" i="40"/>
  <c r="AK51" i="40"/>
  <c r="AG51" i="40"/>
  <c r="EO51" i="40"/>
  <c r="DI51" i="40"/>
  <c r="BI51" i="40"/>
  <c r="AB51" i="40"/>
  <c r="CG51" i="40"/>
  <c r="BW51" i="40"/>
  <c r="W51" i="40"/>
  <c r="AU51" i="40"/>
  <c r="BJ51" i="40"/>
  <c r="AA51" i="40"/>
  <c r="S25" i="40"/>
  <c r="AQ29" i="40"/>
  <c r="EI55" i="40"/>
  <c r="DX55" i="40"/>
  <c r="DK55" i="40"/>
  <c r="CV55" i="40"/>
  <c r="CL55" i="40"/>
  <c r="CC55" i="40"/>
  <c r="BX55" i="40"/>
  <c r="BP55" i="40"/>
  <c r="EN55" i="40"/>
  <c r="EF55" i="40"/>
  <c r="EP55" i="40"/>
  <c r="EE55" i="40"/>
  <c r="EQ55" i="40" s="1"/>
  <c r="FF55" i="40" s="1"/>
  <c r="EA55" i="40"/>
  <c r="DQ55" i="40"/>
  <c r="DI55" i="40"/>
  <c r="CZ55" i="40"/>
  <c r="CQ55" i="40"/>
  <c r="CB55" i="40"/>
  <c r="BU55" i="40"/>
  <c r="BE55" i="40"/>
  <c r="EO55" i="40"/>
  <c r="DZ55" i="40"/>
  <c r="DH55" i="40"/>
  <c r="CY55" i="40"/>
  <c r="CP55" i="40"/>
  <c r="CK55" i="40"/>
  <c r="CA55" i="40"/>
  <c r="BT55" i="40"/>
  <c r="BD55" i="40"/>
  <c r="AO55" i="40"/>
  <c r="DV55" i="40"/>
  <c r="DM55" i="40"/>
  <c r="CF55" i="40"/>
  <c r="BV55" i="40"/>
  <c r="BJ55" i="40"/>
  <c r="AZ55" i="40"/>
  <c r="AQ55" i="40"/>
  <c r="X55" i="40"/>
  <c r="AG55" i="40"/>
  <c r="AR55" i="40"/>
  <c r="EM55" i="40"/>
  <c r="DU55" i="40"/>
  <c r="DL55" i="40"/>
  <c r="CX55" i="40"/>
  <c r="CE55" i="40"/>
  <c r="BS55" i="40"/>
  <c r="BI55" i="40"/>
  <c r="AY55" i="40"/>
  <c r="DF55" i="40"/>
  <c r="CW55" i="40"/>
  <c r="CD55" i="40"/>
  <c r="BB55" i="40"/>
  <c r="AT55" i="40"/>
  <c r="AK55" i="40"/>
  <c r="AA55" i="40"/>
  <c r="EB55" i="40"/>
  <c r="BR55" i="40"/>
  <c r="BH55" i="40"/>
  <c r="AE55" i="40"/>
  <c r="BM55" i="40"/>
  <c r="DD55" i="40"/>
  <c r="CU55" i="40"/>
  <c r="BW55" i="40"/>
  <c r="BA55" i="40"/>
  <c r="AU55" i="40"/>
  <c r="AB55" i="40"/>
  <c r="EJ55" i="40"/>
  <c r="DT55" i="40"/>
  <c r="CR55" i="40"/>
  <c r="DN55" i="40"/>
  <c r="CJ55" i="40"/>
  <c r="AF55" i="40"/>
  <c r="DJ55" i="40"/>
  <c r="CH55" i="40"/>
  <c r="EL55" i="40"/>
  <c r="DC55" i="40"/>
  <c r="CT55" i="40"/>
  <c r="AV55" i="40"/>
  <c r="AC55" i="40"/>
  <c r="AL55" i="40"/>
  <c r="DS55" i="40"/>
  <c r="CO55" i="40"/>
  <c r="BG55" i="40"/>
  <c r="AM55" i="40"/>
  <c r="W55" i="40"/>
  <c r="DR55" i="40"/>
  <c r="EK55" i="40"/>
  <c r="DW55" i="40"/>
  <c r="CS55" i="40"/>
  <c r="BQ55" i="40"/>
  <c r="AD55" i="40"/>
  <c r="BN55" i="40"/>
  <c r="EH55" i="40"/>
  <c r="EG55" i="40"/>
  <c r="DG55" i="40"/>
  <c r="CG55" i="40"/>
  <c r="AN55" i="40"/>
  <c r="AP55" i="40"/>
  <c r="Z55" i="40"/>
  <c r="BC55" i="40"/>
  <c r="BF55" i="40"/>
  <c r="AH55" i="40"/>
  <c r="CI30" i="40"/>
  <c r="EN56" i="40"/>
  <c r="EE56" i="40"/>
  <c r="DU56" i="40"/>
  <c r="DG56" i="40"/>
  <c r="CS56" i="40"/>
  <c r="CH56" i="40"/>
  <c r="BU56" i="40"/>
  <c r="EK56" i="40"/>
  <c r="EP56" i="40"/>
  <c r="DX56" i="40"/>
  <c r="DF56" i="40"/>
  <c r="CX56" i="40"/>
  <c r="CJ56" i="40"/>
  <c r="CA56" i="40"/>
  <c r="BR56" i="40"/>
  <c r="BJ56" i="40"/>
  <c r="BB56" i="40"/>
  <c r="EO56" i="40"/>
  <c r="DW56" i="40"/>
  <c r="DE56" i="40"/>
  <c r="CW56" i="40"/>
  <c r="CI56" i="40"/>
  <c r="BQ56" i="40"/>
  <c r="BI56" i="40"/>
  <c r="BA56" i="40"/>
  <c r="AM56" i="40"/>
  <c r="AU56" i="40"/>
  <c r="AK56" i="40"/>
  <c r="EG56" i="40"/>
  <c r="DY56" i="40"/>
  <c r="DM56" i="40"/>
  <c r="CO56" i="40"/>
  <c r="CF56" i="40"/>
  <c r="BW56" i="40"/>
  <c r="AP56" i="40"/>
  <c r="AE56" i="40"/>
  <c r="AQ56" i="40"/>
  <c r="DV56" i="40"/>
  <c r="DL56" i="40"/>
  <c r="CZ56" i="40"/>
  <c r="CE56" i="40"/>
  <c r="BV56" i="40"/>
  <c r="BH56" i="40"/>
  <c r="EI56" i="40"/>
  <c r="DR56" i="40"/>
  <c r="DK56" i="40"/>
  <c r="CK56" i="40"/>
  <c r="BM56" i="40"/>
  <c r="BE56" i="40"/>
  <c r="AT56" i="40"/>
  <c r="Y56" i="40"/>
  <c r="AA56" i="40"/>
  <c r="EA56" i="40"/>
  <c r="CB56" i="40"/>
  <c r="CT56" i="40"/>
  <c r="EH56" i="40"/>
  <c r="DQ56" i="40"/>
  <c r="DI56" i="40"/>
  <c r="CG56" i="40"/>
  <c r="BD56" i="40"/>
  <c r="AV56" i="40"/>
  <c r="Z56" i="40"/>
  <c r="DC56" i="40"/>
  <c r="CU56" i="40"/>
  <c r="BS56" i="40"/>
  <c r="AN56" i="40"/>
  <c r="W56" i="40"/>
  <c r="AO56" i="40"/>
  <c r="DT56" i="40"/>
  <c r="DH56" i="40"/>
  <c r="CY56" i="40"/>
  <c r="CD56" i="40"/>
  <c r="BC56" i="40"/>
  <c r="AC56" i="40"/>
  <c r="EM56" i="40"/>
  <c r="DZ56" i="40"/>
  <c r="BP56" i="40"/>
  <c r="AF56" i="40"/>
  <c r="EL56" i="40"/>
  <c r="CR56" i="40"/>
  <c r="EB56" i="40"/>
  <c r="DD56" i="40"/>
  <c r="CV56" i="40"/>
  <c r="CC56" i="40"/>
  <c r="BX56" i="40"/>
  <c r="AY56" i="40"/>
  <c r="AL56" i="40"/>
  <c r="AB56" i="40"/>
  <c r="EJ56" i="40"/>
  <c r="DS56" i="40"/>
  <c r="DN56" i="40"/>
  <c r="CP56" i="40"/>
  <c r="CL56" i="40"/>
  <c r="BN56" i="40"/>
  <c r="AH56" i="40"/>
  <c r="BG56" i="40"/>
  <c r="AS56" i="40"/>
  <c r="AG56" i="40"/>
  <c r="BO56" i="40"/>
  <c r="BF56" i="40"/>
  <c r="AR56" i="40"/>
  <c r="X56" i="40"/>
  <c r="K25" i="40"/>
  <c r="J24" i="40"/>
  <c r="W25" i="40"/>
  <c r="O25" i="40"/>
  <c r="EK57" i="40"/>
  <c r="DZ57" i="40"/>
  <c r="DQ57" i="40"/>
  <c r="DN57" i="40"/>
  <c r="DE57" i="40"/>
  <c r="CX57" i="40"/>
  <c r="CO57" i="40"/>
  <c r="CD57" i="40"/>
  <c r="BR57" i="40"/>
  <c r="BC57" i="40"/>
  <c r="EP57" i="40"/>
  <c r="EH57" i="40"/>
  <c r="DV57" i="40"/>
  <c r="EO57" i="40"/>
  <c r="DU57" i="40"/>
  <c r="DF57" i="40"/>
  <c r="CV57" i="40"/>
  <c r="CH57" i="40"/>
  <c r="BQ57" i="40"/>
  <c r="BH57" i="40"/>
  <c r="EN57" i="40"/>
  <c r="DT57" i="40"/>
  <c r="DD57" i="40"/>
  <c r="CU57" i="40"/>
  <c r="CF57" i="40"/>
  <c r="BP57" i="40"/>
  <c r="BG57" i="40"/>
  <c r="AS57" i="40"/>
  <c r="EI57" i="40"/>
  <c r="EA57" i="40"/>
  <c r="CP57" i="40"/>
  <c r="CI57" i="40"/>
  <c r="BX57" i="40"/>
  <c r="AY57" i="40"/>
  <c r="AN57" i="40"/>
  <c r="AB57" i="40"/>
  <c r="AO57" i="40"/>
  <c r="AK57" i="40"/>
  <c r="EG57" i="40"/>
  <c r="DY57" i="40"/>
  <c r="DM57" i="40"/>
  <c r="CE57" i="40"/>
  <c r="BW57" i="40"/>
  <c r="BJ57" i="40"/>
  <c r="DX57" i="40"/>
  <c r="CS57" i="40"/>
  <c r="BS57" i="40"/>
  <c r="BI57" i="40"/>
  <c r="AV57" i="40"/>
  <c r="X57" i="40"/>
  <c r="AH57" i="40"/>
  <c r="BE57" i="40"/>
  <c r="AL57" i="40"/>
  <c r="Z57" i="40"/>
  <c r="EE57" i="40"/>
  <c r="CZ57" i="40"/>
  <c r="AE57" i="40"/>
  <c r="EM57" i="40"/>
  <c r="DS57" i="40"/>
  <c r="CR57" i="40"/>
  <c r="CL57" i="40"/>
  <c r="BO57" i="40"/>
  <c r="BF57" i="40"/>
  <c r="Y57" i="40"/>
  <c r="DI57" i="40"/>
  <c r="CC57" i="40"/>
  <c r="AC57" i="40"/>
  <c r="CY57" i="40"/>
  <c r="EL57" i="40"/>
  <c r="DR57" i="40"/>
  <c r="DL57" i="40"/>
  <c r="CK57" i="40"/>
  <c r="BN57" i="40"/>
  <c r="BB57" i="40"/>
  <c r="AP57" i="40"/>
  <c r="DH57" i="40"/>
  <c r="CB57" i="40"/>
  <c r="BA57" i="40"/>
  <c r="AR57" i="40"/>
  <c r="DG57" i="40"/>
  <c r="EJ57" i="40"/>
  <c r="DK57" i="40"/>
  <c r="CJ57" i="40"/>
  <c r="BD57" i="40"/>
  <c r="AM57" i="40"/>
  <c r="AA57" i="40"/>
  <c r="CW57" i="40"/>
  <c r="EB57" i="40"/>
  <c r="CT57" i="40"/>
  <c r="CA57" i="40"/>
  <c r="AG57" i="40"/>
  <c r="BU57" i="40"/>
  <c r="AU57" i="40"/>
  <c r="BV57" i="40"/>
  <c r="AT57" i="40"/>
  <c r="AF57" i="40"/>
  <c r="R24" i="40"/>
  <c r="O31" i="40"/>
  <c r="Q33" i="40"/>
  <c r="DX26" i="40"/>
  <c r="EP52" i="40"/>
  <c r="EH52" i="40"/>
  <c r="DW52" i="40"/>
  <c r="DG52" i="40"/>
  <c r="CU52" i="40"/>
  <c r="CJ52" i="40"/>
  <c r="CB52" i="40"/>
  <c r="BU52" i="40"/>
  <c r="EM52" i="40"/>
  <c r="EG52" i="40"/>
  <c r="DU52" i="40"/>
  <c r="DL52" i="40"/>
  <c r="CV52" i="40"/>
  <c r="CG52" i="40"/>
  <c r="BX52" i="40"/>
  <c r="BN52" i="40"/>
  <c r="BD52" i="40"/>
  <c r="AS52" i="40"/>
  <c r="EE52" i="40"/>
  <c r="DT52" i="40"/>
  <c r="DK52" i="40"/>
  <c r="CT52" i="40"/>
  <c r="CF52" i="40"/>
  <c r="BW52" i="40"/>
  <c r="BM52" i="40"/>
  <c r="BC52" i="40"/>
  <c r="AL52" i="40"/>
  <c r="AT52" i="40"/>
  <c r="EK52" i="40"/>
  <c r="DV52" i="40"/>
  <c r="DH52" i="40"/>
  <c r="CY52" i="40"/>
  <c r="CD52" i="40"/>
  <c r="BQ52" i="40"/>
  <c r="BA52" i="40"/>
  <c r="AR52" i="40"/>
  <c r="AB52" i="40"/>
  <c r="AU52" i="40"/>
  <c r="EJ52" i="40"/>
  <c r="DS52" i="40"/>
  <c r="DF52" i="40"/>
  <c r="CX52" i="40"/>
  <c r="CC52" i="40"/>
  <c r="BP52" i="40"/>
  <c r="BJ52" i="40"/>
  <c r="AY52" i="40"/>
  <c r="DR52" i="40"/>
  <c r="DM52" i="40"/>
  <c r="CO52" i="40"/>
  <c r="CK52" i="40"/>
  <c r="BI52" i="40"/>
  <c r="AN52" i="40"/>
  <c r="AA52" i="40"/>
  <c r="AK52" i="40"/>
  <c r="CW52" i="40"/>
  <c r="BS52" i="40"/>
  <c r="EL52" i="40"/>
  <c r="EI52" i="40"/>
  <c r="DQ52" i="40"/>
  <c r="DI52" i="40"/>
  <c r="CI52" i="40"/>
  <c r="BH52" i="40"/>
  <c r="AO52" i="40"/>
  <c r="AC52" i="40"/>
  <c r="EN52" i="40"/>
  <c r="EA52" i="40"/>
  <c r="DC52" i="40"/>
  <c r="AV52" i="40"/>
  <c r="DZ52" i="40"/>
  <c r="CS52" i="40"/>
  <c r="BR52" i="40"/>
  <c r="X52" i="40"/>
  <c r="DY52" i="40"/>
  <c r="DE52" i="40"/>
  <c r="CH52" i="40"/>
  <c r="BG52" i="40"/>
  <c r="AP52" i="40"/>
  <c r="AE52" i="40"/>
  <c r="CA52" i="40"/>
  <c r="CM52" i="40" s="1"/>
  <c r="FB52" i="40" s="1"/>
  <c r="BE52" i="40"/>
  <c r="AG52" i="40"/>
  <c r="BB52" i="40"/>
  <c r="AH52" i="40"/>
  <c r="CR52" i="40"/>
  <c r="EO52" i="40"/>
  <c r="EB52" i="40"/>
  <c r="DD52" i="40"/>
  <c r="CZ52" i="40"/>
  <c r="CE52" i="40"/>
  <c r="BV52" i="40"/>
  <c r="BF52" i="40"/>
  <c r="AQ52" i="40"/>
  <c r="AF52" i="40"/>
  <c r="DX52" i="40"/>
  <c r="DN52" i="40"/>
  <c r="CP52" i="40"/>
  <c r="Y52" i="40"/>
  <c r="CL52" i="40"/>
  <c r="Z52" i="40"/>
  <c r="BO52" i="40"/>
  <c r="W52" i="40"/>
  <c r="AM52" i="40"/>
  <c r="M33" i="40"/>
  <c r="BR28" i="40"/>
  <c r="EM54" i="40"/>
  <c r="EB54" i="40"/>
  <c r="DS54" i="40"/>
  <c r="DN54" i="40"/>
  <c r="DE54" i="40"/>
  <c r="CZ54" i="40"/>
  <c r="CR54" i="40"/>
  <c r="CF54" i="40"/>
  <c r="BR54" i="40"/>
  <c r="EJ54" i="40"/>
  <c r="EG54" i="40"/>
  <c r="DR54" i="40"/>
  <c r="DK54" i="40"/>
  <c r="CT54" i="40"/>
  <c r="CD54" i="40"/>
  <c r="BW54" i="40"/>
  <c r="BI54" i="40"/>
  <c r="BA54" i="40"/>
  <c r="EP54" i="40"/>
  <c r="EE54" i="40"/>
  <c r="EA54" i="40"/>
  <c r="DQ54" i="40"/>
  <c r="DI54" i="40"/>
  <c r="CS54" i="40"/>
  <c r="CC54" i="40"/>
  <c r="BV54" i="40"/>
  <c r="BH54" i="40"/>
  <c r="AY54" i="40"/>
  <c r="AR54" i="40"/>
  <c r="EN54" i="40"/>
  <c r="DV54" i="40"/>
  <c r="DL54" i="40"/>
  <c r="CY54" i="40"/>
  <c r="CE54" i="40"/>
  <c r="BS54" i="40"/>
  <c r="BB54" i="40"/>
  <c r="AS54" i="40"/>
  <c r="Z54" i="40"/>
  <c r="AT54" i="40"/>
  <c r="EL54" i="40"/>
  <c r="DU54" i="40"/>
  <c r="DH54" i="40"/>
  <c r="CX54" i="40"/>
  <c r="CB54" i="40"/>
  <c r="BQ54" i="40"/>
  <c r="EK54" i="40"/>
  <c r="DY54" i="40"/>
  <c r="CU54" i="40"/>
  <c r="BP54" i="40"/>
  <c r="AO54" i="40"/>
  <c r="AA54" i="40"/>
  <c r="BJ54" i="40"/>
  <c r="AU54" i="40"/>
  <c r="AC54" i="40"/>
  <c r="DG54" i="40"/>
  <c r="DD54" i="40"/>
  <c r="EI54" i="40"/>
  <c r="DX54" i="40"/>
  <c r="CP54" i="40"/>
  <c r="CL54" i="40"/>
  <c r="BO54" i="40"/>
  <c r="AP54" i="40"/>
  <c r="AK54" i="40"/>
  <c r="AB54" i="40"/>
  <c r="CI54" i="40"/>
  <c r="BF54" i="40"/>
  <c r="AF54" i="40"/>
  <c r="BE54" i="40"/>
  <c r="AL54" i="40"/>
  <c r="CW54" i="40"/>
  <c r="EH54" i="40"/>
  <c r="DT54" i="40"/>
  <c r="CO54" i="40"/>
  <c r="CK54" i="40"/>
  <c r="BN54" i="40"/>
  <c r="DF54" i="40"/>
  <c r="CH54" i="40"/>
  <c r="CA54" i="40"/>
  <c r="DM54" i="40"/>
  <c r="CJ54" i="40"/>
  <c r="BG54" i="40"/>
  <c r="AV54" i="40"/>
  <c r="AE54" i="40"/>
  <c r="AG54" i="40"/>
  <c r="EO54" i="40"/>
  <c r="DZ54" i="40"/>
  <c r="CV54" i="40"/>
  <c r="AN54" i="40"/>
  <c r="Y54" i="40"/>
  <c r="AM54" i="40"/>
  <c r="BX54" i="40"/>
  <c r="AH54" i="40"/>
  <c r="BU54" i="40"/>
  <c r="BC54" i="40"/>
  <c r="BD54" i="40"/>
  <c r="X54" i="40"/>
  <c r="X58" i="40"/>
  <c r="W58" i="40"/>
  <c r="N24" i="40"/>
  <c r="M31" i="40"/>
  <c r="EY12" i="40"/>
  <c r="FB12" i="40"/>
  <c r="CJ48" i="39"/>
  <c r="EB50" i="39"/>
  <c r="EB82" i="39" s="1"/>
  <c r="DO15" i="29" s="1"/>
  <c r="AV50" i="39"/>
  <c r="AV82" i="39" s="1"/>
  <c r="AO15" i="29" s="1"/>
  <c r="BP48" i="39"/>
  <c r="DH50" i="39"/>
  <c r="DH82" i="39" s="1"/>
  <c r="CV15" i="29" s="1"/>
  <c r="AT48" i="39"/>
  <c r="DZ48" i="39"/>
  <c r="CL50" i="39"/>
  <c r="CL82" i="39" s="1"/>
  <c r="CB15" i="29" s="1"/>
  <c r="DF48" i="39"/>
  <c r="BR50" i="39"/>
  <c r="BR82" i="39" s="1"/>
  <c r="BI15" i="29" s="1"/>
  <c r="FE12" i="40"/>
  <c r="AB49" i="39"/>
  <c r="AB51" i="39" s="1"/>
  <c r="Z48" i="39"/>
  <c r="Z76" i="39"/>
  <c r="ES15" i="39"/>
  <c r="ES82" i="39" s="1"/>
  <c r="EE15" i="29" s="1"/>
  <c r="CB50" i="39"/>
  <c r="DD50" i="39"/>
  <c r="N14" i="39"/>
  <c r="N81" i="39" s="1"/>
  <c r="BD15" i="39"/>
  <c r="BD82" i="39" s="1"/>
  <c r="AV15" i="29" s="1"/>
  <c r="CR13" i="39"/>
  <c r="CR80" i="39" s="1"/>
  <c r="DN15" i="39"/>
  <c r="EH13" i="39"/>
  <c r="EH80" i="39" s="1"/>
  <c r="AF13" i="39"/>
  <c r="AL13" i="39" s="1"/>
  <c r="L13" i="39"/>
  <c r="BV13" i="39"/>
  <c r="BV80" i="39" s="1"/>
  <c r="BX15" i="39"/>
  <c r="DL13" i="39"/>
  <c r="AH15" i="39"/>
  <c r="EJ15" i="39"/>
  <c r="BB13" i="39"/>
  <c r="CT15" i="39"/>
  <c r="R30" i="40"/>
  <c r="AA26" i="40"/>
  <c r="W30" i="40"/>
  <c r="AS24" i="40"/>
  <c r="AK26" i="40"/>
  <c r="AS28" i="40"/>
  <c r="AP30" i="40"/>
  <c r="AZ26" i="40"/>
  <c r="BH29" i="40"/>
  <c r="BM26" i="40"/>
  <c r="BV33" i="40"/>
  <c r="CB26" i="40"/>
  <c r="EN31" i="40"/>
  <c r="EJ31" i="40"/>
  <c r="EB31" i="40"/>
  <c r="DW31" i="40"/>
  <c r="DS31" i="40"/>
  <c r="EM31" i="40"/>
  <c r="EI31" i="40"/>
  <c r="EK31" i="40"/>
  <c r="EA31" i="40"/>
  <c r="DU31" i="40"/>
  <c r="DJ31" i="40"/>
  <c r="DD31" i="40"/>
  <c r="CZ31" i="40"/>
  <c r="CR31" i="40"/>
  <c r="CK31" i="40"/>
  <c r="CF31" i="40"/>
  <c r="CB31" i="40"/>
  <c r="BX31" i="40"/>
  <c r="BT31" i="40"/>
  <c r="BP31" i="40"/>
  <c r="EP31" i="40"/>
  <c r="EH31" i="40"/>
  <c r="DZ31" i="40"/>
  <c r="DT31" i="40"/>
  <c r="DN31" i="40"/>
  <c r="DH31" i="40"/>
  <c r="DC31" i="40"/>
  <c r="DQ31" i="40"/>
  <c r="DF31" i="40"/>
  <c r="CW31" i="40"/>
  <c r="CP31" i="40"/>
  <c r="CH31" i="40"/>
  <c r="CA31" i="40"/>
  <c r="EF31" i="40"/>
  <c r="DX31" i="40"/>
  <c r="DM31" i="40"/>
  <c r="CU31" i="40"/>
  <c r="CL31" i="40"/>
  <c r="CE31" i="40"/>
  <c r="CY31" i="40"/>
  <c r="CD31" i="40"/>
  <c r="BW31" i="40"/>
  <c r="BR31" i="40"/>
  <c r="BM31" i="40"/>
  <c r="BJ31" i="40"/>
  <c r="BB31" i="40"/>
  <c r="AV31" i="40"/>
  <c r="AR31" i="40"/>
  <c r="AN31" i="40"/>
  <c r="EO31" i="40"/>
  <c r="CX31" i="40"/>
  <c r="BV31" i="40"/>
  <c r="BQ31" i="40"/>
  <c r="BI31" i="40"/>
  <c r="BE31" i="40"/>
  <c r="AU31" i="40"/>
  <c r="AQ31" i="40"/>
  <c r="AM31" i="40"/>
  <c r="DV31" i="40"/>
  <c r="DL31" i="40"/>
  <c r="CT31" i="40"/>
  <c r="CJ31" i="40"/>
  <c r="BO31" i="40"/>
  <c r="CS31" i="40"/>
  <c r="BG31" i="40"/>
  <c r="AO31" i="40"/>
  <c r="AH31" i="40"/>
  <c r="AD31" i="40"/>
  <c r="Z31" i="40"/>
  <c r="BN31" i="40"/>
  <c r="BD31" i="40"/>
  <c r="AT31" i="40"/>
  <c r="AG31" i="40"/>
  <c r="Y31" i="40"/>
  <c r="DG31" i="40"/>
  <c r="CI31" i="40"/>
  <c r="BC31" i="40"/>
  <c r="AS31" i="40"/>
  <c r="AK31" i="40"/>
  <c r="AF31" i="40"/>
  <c r="AB31" i="40"/>
  <c r="X31" i="40"/>
  <c r="DI12" i="40"/>
  <c r="AC12" i="40"/>
  <c r="CO12" i="40"/>
  <c r="S26" i="40"/>
  <c r="O26" i="40"/>
  <c r="R25" i="40"/>
  <c r="N25" i="40"/>
  <c r="Q24" i="40"/>
  <c r="M24" i="40"/>
  <c r="I32" i="40"/>
  <c r="T33" i="40"/>
  <c r="P33" i="40"/>
  <c r="L33" i="40"/>
  <c r="R31" i="40"/>
  <c r="N31" i="40"/>
  <c r="J31" i="40"/>
  <c r="Q30" i="40"/>
  <c r="T29" i="40"/>
  <c r="L29" i="40"/>
  <c r="O28" i="40"/>
  <c r="W24" i="40"/>
  <c r="AA25" i="40"/>
  <c r="W29" i="40"/>
  <c r="AA30" i="40"/>
  <c r="AK25" i="40"/>
  <c r="AO26" i="40"/>
  <c r="AL29" i="40"/>
  <c r="AU30" i="40"/>
  <c r="AP33" i="40"/>
  <c r="BH26" i="40"/>
  <c r="BD30" i="40"/>
  <c r="AZ33" i="40"/>
  <c r="DL29" i="40"/>
  <c r="EP30" i="40"/>
  <c r="EH30" i="40"/>
  <c r="EA30" i="40"/>
  <c r="DV30" i="40"/>
  <c r="EO30" i="40"/>
  <c r="EK30" i="40"/>
  <c r="EF30" i="40"/>
  <c r="EM30" i="40"/>
  <c r="EB30" i="40"/>
  <c r="DU30" i="40"/>
  <c r="DL30" i="40"/>
  <c r="DG30" i="40"/>
  <c r="CX30" i="40"/>
  <c r="CT30" i="40"/>
  <c r="CO30" i="40"/>
  <c r="CJ30" i="40"/>
  <c r="CF30" i="40"/>
  <c r="CB30" i="40"/>
  <c r="BX30" i="40"/>
  <c r="BT30" i="40"/>
  <c r="BP30" i="40"/>
  <c r="EJ30" i="40"/>
  <c r="DZ30" i="40"/>
  <c r="DT30" i="40"/>
  <c r="DJ30" i="40"/>
  <c r="DF30" i="40"/>
  <c r="EE30" i="40"/>
  <c r="DQ30" i="40"/>
  <c r="DH30" i="40"/>
  <c r="CP30" i="40"/>
  <c r="CH30" i="40"/>
  <c r="DX30" i="40"/>
  <c r="DN30" i="40"/>
  <c r="DD30" i="40"/>
  <c r="CZ30" i="40"/>
  <c r="CU30" i="40"/>
  <c r="CL30" i="40"/>
  <c r="CG30" i="40"/>
  <c r="CA30" i="40"/>
  <c r="DW30" i="40"/>
  <c r="DM30" i="40"/>
  <c r="CY30" i="40"/>
  <c r="CE30" i="40"/>
  <c r="BS30" i="40"/>
  <c r="BN30" i="40"/>
  <c r="BJ30" i="40"/>
  <c r="BB30" i="40"/>
  <c r="AV30" i="40"/>
  <c r="AR30" i="40"/>
  <c r="AN30" i="40"/>
  <c r="DS30" i="40"/>
  <c r="DI30" i="40"/>
  <c r="CW30" i="40"/>
  <c r="CD30" i="40"/>
  <c r="BW30" i="40"/>
  <c r="BR30" i="40"/>
  <c r="BM30" i="40"/>
  <c r="BI30" i="40"/>
  <c r="BE30" i="40"/>
  <c r="EN30" i="40"/>
  <c r="DC30" i="40"/>
  <c r="CS30" i="40"/>
  <c r="CK30" i="40"/>
  <c r="BV30" i="40"/>
  <c r="BQ30" i="40"/>
  <c r="BC30" i="40"/>
  <c r="AT30" i="40"/>
  <c r="AO30" i="40"/>
  <c r="AH30" i="40"/>
  <c r="AD30" i="40"/>
  <c r="Z30" i="40"/>
  <c r="L30" i="40"/>
  <c r="CR30" i="40"/>
  <c r="BH30" i="40"/>
  <c r="AZ30" i="40"/>
  <c r="AS30" i="40"/>
  <c r="AM30" i="40"/>
  <c r="AG30" i="40"/>
  <c r="AC30" i="40"/>
  <c r="Y30" i="40"/>
  <c r="EI30" i="40"/>
  <c r="BG30" i="40"/>
  <c r="AY30" i="40"/>
  <c r="AQ30" i="40"/>
  <c r="AF30" i="40"/>
  <c r="AB30" i="40"/>
  <c r="X30" i="40"/>
  <c r="J30" i="40"/>
  <c r="N30" i="40"/>
  <c r="T26" i="40"/>
  <c r="EN24" i="40"/>
  <c r="EJ24" i="40"/>
  <c r="EF24" i="40"/>
  <c r="EO24" i="40"/>
  <c r="EI24" i="40"/>
  <c r="DZ24" i="40"/>
  <c r="DV24" i="40"/>
  <c r="DR24" i="40"/>
  <c r="DN24" i="40"/>
  <c r="DJ24" i="40"/>
  <c r="DE24" i="40"/>
  <c r="CZ24" i="40"/>
  <c r="CV24" i="40"/>
  <c r="CR24" i="40"/>
  <c r="CL24" i="40"/>
  <c r="CH24" i="40"/>
  <c r="CC24" i="40"/>
  <c r="EM24" i="40"/>
  <c r="EH24" i="40"/>
  <c r="DY24" i="40"/>
  <c r="DU24" i="40"/>
  <c r="DQ24" i="40"/>
  <c r="DM24" i="40"/>
  <c r="DH24" i="40"/>
  <c r="DD24" i="40"/>
  <c r="EP24" i="40"/>
  <c r="DW24" i="40"/>
  <c r="DK24" i="40"/>
  <c r="CW24" i="40"/>
  <c r="CQ24" i="40"/>
  <c r="CF24" i="40"/>
  <c r="CA24" i="40"/>
  <c r="EL24" i="40"/>
  <c r="EB24" i="40"/>
  <c r="DT24" i="40"/>
  <c r="DG24" i="40"/>
  <c r="CU24" i="40"/>
  <c r="CP24" i="40"/>
  <c r="CK24" i="40"/>
  <c r="CE24" i="40"/>
  <c r="EA24" i="40"/>
  <c r="CY24" i="40"/>
  <c r="CJ24" i="40"/>
  <c r="BX24" i="40"/>
  <c r="BT24" i="40"/>
  <c r="BP24" i="40"/>
  <c r="BJ24" i="40"/>
  <c r="BF24" i="40"/>
  <c r="BB24" i="40"/>
  <c r="DX24" i="40"/>
  <c r="DL24" i="40"/>
  <c r="CX24" i="40"/>
  <c r="CI24" i="40"/>
  <c r="BW24" i="40"/>
  <c r="BO24" i="40"/>
  <c r="BI24" i="40"/>
  <c r="BE24" i="40"/>
  <c r="BA24" i="40"/>
  <c r="EK24" i="40"/>
  <c r="DS24" i="40"/>
  <c r="DF24" i="40"/>
  <c r="CT24" i="40"/>
  <c r="CD24" i="40"/>
  <c r="BV24" i="40"/>
  <c r="BR24" i="40"/>
  <c r="BN24" i="40"/>
  <c r="EG24" i="40"/>
  <c r="BQ24" i="40"/>
  <c r="BG24" i="40"/>
  <c r="AV24" i="40"/>
  <c r="AR24" i="40"/>
  <c r="AN24" i="40"/>
  <c r="AH24" i="40"/>
  <c r="AD24" i="40"/>
  <c r="Z24" i="40"/>
  <c r="CB24" i="40"/>
  <c r="BM24" i="40"/>
  <c r="BD24" i="40"/>
  <c r="AU24" i="40"/>
  <c r="AQ24" i="40"/>
  <c r="AM24" i="40"/>
  <c r="AG24" i="40"/>
  <c r="Y24" i="40"/>
  <c r="DC24" i="40"/>
  <c r="CS24" i="40"/>
  <c r="BC24" i="40"/>
  <c r="AT24" i="40"/>
  <c r="AP24" i="40"/>
  <c r="AL24" i="40"/>
  <c r="AF24" i="40"/>
  <c r="AB24" i="40"/>
  <c r="X24" i="40"/>
  <c r="EN28" i="40"/>
  <c r="EJ28" i="40"/>
  <c r="EM28" i="40"/>
  <c r="EI28" i="40"/>
  <c r="EK28" i="40"/>
  <c r="EB28" i="40"/>
  <c r="DW28" i="40"/>
  <c r="DS28" i="40"/>
  <c r="DL28" i="40"/>
  <c r="DF28" i="40"/>
  <c r="CZ28" i="40"/>
  <c r="CR28" i="40"/>
  <c r="CJ28" i="40"/>
  <c r="CE28" i="40"/>
  <c r="CA28" i="40"/>
  <c r="BX28" i="40"/>
  <c r="BT28" i="40"/>
  <c r="BP28" i="40"/>
  <c r="EP28" i="40"/>
  <c r="EH28" i="40"/>
  <c r="EA28" i="40"/>
  <c r="DV28" i="40"/>
  <c r="DJ28" i="40"/>
  <c r="DD28" i="40"/>
  <c r="DT28" i="40"/>
  <c r="DM28" i="40"/>
  <c r="CW28" i="40"/>
  <c r="CP28" i="40"/>
  <c r="CK28" i="40"/>
  <c r="CD28" i="40"/>
  <c r="EF28" i="40"/>
  <c r="DZ28" i="40"/>
  <c r="DQ28" i="40"/>
  <c r="DH28" i="40"/>
  <c r="CU28" i="40"/>
  <c r="CI28" i="40"/>
  <c r="DX28" i="40"/>
  <c r="CY28" i="40"/>
  <c r="CH28" i="40"/>
  <c r="BV28" i="40"/>
  <c r="BQ28" i="40"/>
  <c r="BJ28" i="40"/>
  <c r="BB28" i="40"/>
  <c r="AV28" i="40"/>
  <c r="AR28" i="40"/>
  <c r="AN28" i="40"/>
  <c r="EO28" i="40"/>
  <c r="DU28" i="40"/>
  <c r="DN28" i="40"/>
  <c r="CX28" i="40"/>
  <c r="CF28" i="40"/>
  <c r="BO28" i="40"/>
  <c r="BI28" i="40"/>
  <c r="BE28" i="40"/>
  <c r="DG28" i="40"/>
  <c r="CT28" i="40"/>
  <c r="CB28" i="40"/>
  <c r="BN28" i="40"/>
  <c r="DC28" i="40"/>
  <c r="BM28" i="40"/>
  <c r="BC28" i="40"/>
  <c r="AQ28" i="40"/>
  <c r="AH28" i="40"/>
  <c r="AD28" i="40"/>
  <c r="Z28" i="40"/>
  <c r="J28" i="40"/>
  <c r="N28" i="40"/>
  <c r="R28" i="40"/>
  <c r="CL28" i="40"/>
  <c r="BH28" i="40"/>
  <c r="AZ28" i="40"/>
  <c r="AU28" i="40"/>
  <c r="AP28" i="40"/>
  <c r="AK28" i="40"/>
  <c r="AG28" i="40"/>
  <c r="Y28" i="40"/>
  <c r="BW28" i="40"/>
  <c r="BG28" i="40"/>
  <c r="AT28" i="40"/>
  <c r="AO28" i="40"/>
  <c r="AF28" i="40"/>
  <c r="AB28" i="40"/>
  <c r="X28" i="40"/>
  <c r="L28" i="40"/>
  <c r="T28" i="40"/>
  <c r="R26" i="40"/>
  <c r="N26" i="40"/>
  <c r="J26" i="40"/>
  <c r="Q25" i="40"/>
  <c r="M25" i="40"/>
  <c r="T24" i="40"/>
  <c r="P24" i="40"/>
  <c r="L24" i="40"/>
  <c r="I29" i="40"/>
  <c r="S33" i="40"/>
  <c r="O33" i="40"/>
  <c r="K33" i="40"/>
  <c r="J32" i="40"/>
  <c r="T30" i="40"/>
  <c r="O30" i="40"/>
  <c r="R29" i="40"/>
  <c r="J29" i="40"/>
  <c r="M28" i="40"/>
  <c r="AA24" i="40"/>
  <c r="AE25" i="40"/>
  <c r="W28" i="40"/>
  <c r="AA29" i="40"/>
  <c r="AA33" i="40"/>
  <c r="AK24" i="40"/>
  <c r="AT26" i="40"/>
  <c r="AP31" i="40"/>
  <c r="BH24" i="40"/>
  <c r="BD28" i="40"/>
  <c r="AZ31" i="40"/>
  <c r="BO30" i="40"/>
  <c r="EP26" i="40"/>
  <c r="EH26" i="40"/>
  <c r="EO26" i="40"/>
  <c r="EK26" i="40"/>
  <c r="EF26" i="40"/>
  <c r="EM26" i="40"/>
  <c r="EA26" i="40"/>
  <c r="DV26" i="40"/>
  <c r="DM26" i="40"/>
  <c r="DH26" i="40"/>
  <c r="DC26" i="40"/>
  <c r="CX26" i="40"/>
  <c r="CT26" i="40"/>
  <c r="CO26" i="40"/>
  <c r="CI26" i="40"/>
  <c r="CE26" i="40"/>
  <c r="CA26" i="40"/>
  <c r="EJ26" i="40"/>
  <c r="DZ26" i="40"/>
  <c r="DU26" i="40"/>
  <c r="DQ26" i="40"/>
  <c r="DL26" i="40"/>
  <c r="DG26" i="40"/>
  <c r="EE26" i="40"/>
  <c r="DW26" i="40"/>
  <c r="DN26" i="40"/>
  <c r="DD26" i="40"/>
  <c r="CP26" i="40"/>
  <c r="CK26" i="40"/>
  <c r="CF26" i="40"/>
  <c r="DT26" i="40"/>
  <c r="DJ26" i="40"/>
  <c r="CZ26" i="40"/>
  <c r="CU26" i="40"/>
  <c r="CJ26" i="40"/>
  <c r="CD26" i="40"/>
  <c r="DS26" i="40"/>
  <c r="DI26" i="40"/>
  <c r="CY26" i="40"/>
  <c r="CH26" i="40"/>
  <c r="BX26" i="40"/>
  <c r="BT26" i="40"/>
  <c r="BP26" i="40"/>
  <c r="BJ26" i="40"/>
  <c r="BB26" i="40"/>
  <c r="AV26" i="40"/>
  <c r="AR26" i="40"/>
  <c r="DF26" i="40"/>
  <c r="CW26" i="40"/>
  <c r="CG26" i="40"/>
  <c r="BW26" i="40"/>
  <c r="BS26" i="40"/>
  <c r="BO26" i="40"/>
  <c r="BI26" i="40"/>
  <c r="BE26" i="40"/>
  <c r="EN26" i="40"/>
  <c r="EB26" i="40"/>
  <c r="CS26" i="40"/>
  <c r="BV26" i="40"/>
  <c r="BR26" i="40"/>
  <c r="BN26" i="40"/>
  <c r="CR26" i="40"/>
  <c r="BG26" i="40"/>
  <c r="AY26" i="40"/>
  <c r="AS26" i="40"/>
  <c r="AN26" i="40"/>
  <c r="AH26" i="40"/>
  <c r="AD26" i="40"/>
  <c r="Z26" i="40"/>
  <c r="BD26" i="40"/>
  <c r="AQ26" i="40"/>
  <c r="AM26" i="40"/>
  <c r="AG26" i="40"/>
  <c r="AC26" i="40"/>
  <c r="Y26" i="40"/>
  <c r="CL26" i="40"/>
  <c r="BQ26" i="40"/>
  <c r="BC26" i="40"/>
  <c r="AU26" i="40"/>
  <c r="AP26" i="40"/>
  <c r="AF26" i="40"/>
  <c r="AB26" i="40"/>
  <c r="X26" i="40"/>
  <c r="L26" i="40"/>
  <c r="EO25" i="40"/>
  <c r="EK25" i="40"/>
  <c r="EG25" i="40"/>
  <c r="EN25" i="40"/>
  <c r="EP25" i="40"/>
  <c r="EI25" i="40"/>
  <c r="DZ25" i="40"/>
  <c r="DV25" i="40"/>
  <c r="DR25" i="40"/>
  <c r="DK25" i="40"/>
  <c r="DF25" i="40"/>
  <c r="CW25" i="40"/>
  <c r="CS25" i="40"/>
  <c r="CI25" i="40"/>
  <c r="CD25" i="40"/>
  <c r="EM25" i="40"/>
  <c r="EH25" i="40"/>
  <c r="DY25" i="40"/>
  <c r="DU25" i="40"/>
  <c r="DQ25" i="40"/>
  <c r="DN25" i="40"/>
  <c r="DE25" i="40"/>
  <c r="EA25" i="40"/>
  <c r="DS25" i="40"/>
  <c r="DG25" i="40"/>
  <c r="CV25" i="40"/>
  <c r="CQ25" i="40"/>
  <c r="CL25" i="40"/>
  <c r="CF25" i="40"/>
  <c r="CA25" i="40"/>
  <c r="EL25" i="40"/>
  <c r="DX25" i="40"/>
  <c r="DM25" i="40"/>
  <c r="DD25" i="40"/>
  <c r="CZ25" i="40"/>
  <c r="CU25" i="40"/>
  <c r="CK25" i="40"/>
  <c r="CE25" i="40"/>
  <c r="EJ25" i="40"/>
  <c r="DC25" i="40"/>
  <c r="CY25" i="40"/>
  <c r="CJ25" i="40"/>
  <c r="BX25" i="40"/>
  <c r="BP25" i="40"/>
  <c r="BJ25" i="40"/>
  <c r="BF25" i="40"/>
  <c r="BB25" i="40"/>
  <c r="EB25" i="40"/>
  <c r="CX25" i="40"/>
  <c r="CH25" i="40"/>
  <c r="BW25" i="40"/>
  <c r="BO25" i="40"/>
  <c r="BI25" i="40"/>
  <c r="BE25" i="40"/>
  <c r="BA25" i="40"/>
  <c r="DW25" i="40"/>
  <c r="DL25" i="40"/>
  <c r="CT25" i="40"/>
  <c r="CC25" i="40"/>
  <c r="BV25" i="40"/>
  <c r="BR25" i="40"/>
  <c r="BN25" i="40"/>
  <c r="DT25" i="40"/>
  <c r="CB25" i="40"/>
  <c r="BU25" i="40"/>
  <c r="BC25" i="40"/>
  <c r="AV25" i="40"/>
  <c r="AR25" i="40"/>
  <c r="AN25" i="40"/>
  <c r="AH25" i="40"/>
  <c r="Z25" i="40"/>
  <c r="DH25" i="40"/>
  <c r="CR25" i="40"/>
  <c r="BQ25" i="40"/>
  <c r="BH25" i="40"/>
  <c r="AU25" i="40"/>
  <c r="AQ25" i="40"/>
  <c r="AM25" i="40"/>
  <c r="AG25" i="40"/>
  <c r="AC25" i="40"/>
  <c r="Y25" i="40"/>
  <c r="BM25" i="40"/>
  <c r="BG25" i="40"/>
  <c r="AT25" i="40"/>
  <c r="AP25" i="40"/>
  <c r="AL25" i="40"/>
  <c r="AF25" i="40"/>
  <c r="AB25" i="40"/>
  <c r="X25" i="40"/>
  <c r="EO29" i="40"/>
  <c r="EK29" i="40"/>
  <c r="EF29" i="40"/>
  <c r="DZ29" i="40"/>
  <c r="DU29" i="40"/>
  <c r="DQ29" i="40"/>
  <c r="EN29" i="40"/>
  <c r="EJ29" i="40"/>
  <c r="EE29" i="40"/>
  <c r="EP29" i="40"/>
  <c r="EH29" i="40"/>
  <c r="EB29" i="40"/>
  <c r="DV29" i="40"/>
  <c r="DN29" i="40"/>
  <c r="DI29" i="40"/>
  <c r="DD29" i="40"/>
  <c r="CW29" i="40"/>
  <c r="CS29" i="40"/>
  <c r="CJ29" i="40"/>
  <c r="CF29" i="40"/>
  <c r="CB29" i="40"/>
  <c r="BX29" i="40"/>
  <c r="BT29" i="40"/>
  <c r="BP29" i="40"/>
  <c r="EM29" i="40"/>
  <c r="EA29" i="40"/>
  <c r="DT29" i="40"/>
  <c r="DM29" i="40"/>
  <c r="DH29" i="40"/>
  <c r="DC29" i="40"/>
  <c r="DR29" i="40"/>
  <c r="DJ29" i="40"/>
  <c r="CV29" i="40"/>
  <c r="CP29" i="40"/>
  <c r="CI29" i="40"/>
  <c r="CD29" i="40"/>
  <c r="EL29" i="40"/>
  <c r="DX29" i="40"/>
  <c r="DG29" i="40"/>
  <c r="CZ29" i="40"/>
  <c r="CU29" i="40"/>
  <c r="CO29" i="40"/>
  <c r="CH29" i="40"/>
  <c r="CC29" i="40"/>
  <c r="EI29" i="40"/>
  <c r="DF29" i="40"/>
  <c r="CY29" i="40"/>
  <c r="CG29" i="40"/>
  <c r="BO29" i="40"/>
  <c r="BJ29" i="40"/>
  <c r="BF29" i="40"/>
  <c r="BB29" i="40"/>
  <c r="AV29" i="40"/>
  <c r="AR29" i="40"/>
  <c r="AN29" i="40"/>
  <c r="CX29" i="40"/>
  <c r="CE29" i="40"/>
  <c r="BS29" i="40"/>
  <c r="BN29" i="40"/>
  <c r="BI29" i="40"/>
  <c r="BE29" i="40"/>
  <c r="DW29" i="40"/>
  <c r="CT29" i="40"/>
  <c r="CL29" i="40"/>
  <c r="CA29" i="40"/>
  <c r="BW29" i="40"/>
  <c r="BR29" i="40"/>
  <c r="BM29" i="40"/>
  <c r="CK29" i="40"/>
  <c r="BV29" i="40"/>
  <c r="BG29" i="40"/>
  <c r="AY29" i="40"/>
  <c r="AU29" i="40"/>
  <c r="AP29" i="40"/>
  <c r="AK29" i="40"/>
  <c r="AH29" i="40"/>
  <c r="AD29" i="40"/>
  <c r="Z29" i="40"/>
  <c r="O29" i="40"/>
  <c r="S29" i="40"/>
  <c r="BQ29" i="40"/>
  <c r="BD29" i="40"/>
  <c r="AT29" i="40"/>
  <c r="AO29" i="40"/>
  <c r="AG29" i="40"/>
  <c r="AC29" i="40"/>
  <c r="Y29" i="40"/>
  <c r="DS29" i="40"/>
  <c r="CR29" i="40"/>
  <c r="BC29" i="40"/>
  <c r="AS29" i="40"/>
  <c r="AM29" i="40"/>
  <c r="AF29" i="40"/>
  <c r="AB29" i="40"/>
  <c r="X29" i="40"/>
  <c r="M29" i="40"/>
  <c r="Q29" i="40"/>
  <c r="EO33" i="40"/>
  <c r="EK33" i="40"/>
  <c r="EG33" i="40"/>
  <c r="DY33" i="40"/>
  <c r="DU33" i="40"/>
  <c r="EN33" i="40"/>
  <c r="EJ33" i="40"/>
  <c r="EF33" i="40"/>
  <c r="EP33" i="40"/>
  <c r="EH33" i="40"/>
  <c r="EA33" i="40"/>
  <c r="DV33" i="40"/>
  <c r="DL33" i="40"/>
  <c r="DH33" i="40"/>
  <c r="DD33" i="40"/>
  <c r="CX33" i="40"/>
  <c r="CT33" i="40"/>
  <c r="CP33" i="40"/>
  <c r="CK33" i="40"/>
  <c r="CG33" i="40"/>
  <c r="CC33" i="40"/>
  <c r="BX33" i="40"/>
  <c r="BT33" i="40"/>
  <c r="BP33" i="40"/>
  <c r="EM33" i="40"/>
  <c r="DZ33" i="40"/>
  <c r="DT33" i="40"/>
  <c r="DK33" i="40"/>
  <c r="DG33" i="40"/>
  <c r="CW33" i="40"/>
  <c r="CS33" i="40"/>
  <c r="EB33" i="40"/>
  <c r="DR33" i="40"/>
  <c r="DM33" i="40"/>
  <c r="DE33" i="40"/>
  <c r="CU33" i="40"/>
  <c r="CJ33" i="40"/>
  <c r="CE33" i="40"/>
  <c r="EL33" i="40"/>
  <c r="DX33" i="40"/>
  <c r="DJ33" i="40"/>
  <c r="CZ33" i="40"/>
  <c r="CR33" i="40"/>
  <c r="CI33" i="40"/>
  <c r="CD33" i="40"/>
  <c r="EI33" i="40"/>
  <c r="DW33" i="40"/>
  <c r="DI33" i="40"/>
  <c r="CY33" i="40"/>
  <c r="CB33" i="40"/>
  <c r="BU33" i="40"/>
  <c r="BO33" i="40"/>
  <c r="BJ33" i="40"/>
  <c r="BF33" i="40"/>
  <c r="BB33" i="40"/>
  <c r="AV33" i="40"/>
  <c r="AR33" i="40"/>
  <c r="AN33" i="40"/>
  <c r="DS33" i="40"/>
  <c r="DF33" i="40"/>
  <c r="CV33" i="40"/>
  <c r="CL33" i="40"/>
  <c r="BS33" i="40"/>
  <c r="BN33" i="40"/>
  <c r="BI33" i="40"/>
  <c r="BE33" i="40"/>
  <c r="BA33" i="40"/>
  <c r="AU33" i="40"/>
  <c r="AQ33" i="40"/>
  <c r="AM33" i="40"/>
  <c r="CQ33" i="40"/>
  <c r="CH33" i="40"/>
  <c r="BW33" i="40"/>
  <c r="BR33" i="40"/>
  <c r="CF33" i="40"/>
  <c r="BQ33" i="40"/>
  <c r="BG33" i="40"/>
  <c r="AO33" i="40"/>
  <c r="AH33" i="40"/>
  <c r="AD33" i="40"/>
  <c r="Z33" i="40"/>
  <c r="DN33" i="40"/>
  <c r="BD33" i="40"/>
  <c r="AT33" i="40"/>
  <c r="AL33" i="40"/>
  <c r="AG33" i="40"/>
  <c r="AC33" i="40"/>
  <c r="Y33" i="40"/>
  <c r="BC33" i="40"/>
  <c r="AS33" i="40"/>
  <c r="AF33" i="40"/>
  <c r="AB33" i="40"/>
  <c r="X33" i="40"/>
  <c r="I26" i="40"/>
  <c r="Q26" i="40"/>
  <c r="M26" i="40"/>
  <c r="T25" i="40"/>
  <c r="P25" i="40"/>
  <c r="L25" i="40"/>
  <c r="S24" i="40"/>
  <c r="O24" i="40"/>
  <c r="K24" i="40"/>
  <c r="I30" i="40"/>
  <c r="R33" i="40"/>
  <c r="N33" i="40"/>
  <c r="J33" i="40"/>
  <c r="S30" i="40"/>
  <c r="M30" i="40"/>
  <c r="P29" i="40"/>
  <c r="S28" i="40"/>
  <c r="AE24" i="40"/>
  <c r="W26" i="40"/>
  <c r="AA28" i="40"/>
  <c r="W31" i="40"/>
  <c r="AE33" i="40"/>
  <c r="AO24" i="40"/>
  <c r="AS25" i="40"/>
  <c r="AM28" i="40"/>
  <c r="AK30" i="40"/>
  <c r="BD25" i="40"/>
  <c r="AZ29" i="40"/>
  <c r="BH31" i="40"/>
  <c r="BU24" i="40"/>
  <c r="CS28" i="40"/>
  <c r="EI26" i="40"/>
  <c r="DM13" i="39"/>
  <c r="CS13" i="39"/>
  <c r="BN15" i="39"/>
  <c r="BN82" i="39" s="1"/>
  <c r="K13" i="5" s="1"/>
  <c r="EF32" i="39"/>
  <c r="EF13" i="39"/>
  <c r="EF31" i="39"/>
  <c r="CP15" i="39"/>
  <c r="CP18" i="39"/>
  <c r="N49" i="28"/>
  <c r="S49" i="28"/>
  <c r="W25" i="28"/>
  <c r="N13" i="28"/>
  <c r="U28" i="28" s="1"/>
  <c r="W24" i="28"/>
  <c r="W21" i="28"/>
  <c r="W23" i="28"/>
  <c r="W26" i="28"/>
  <c r="Q24" i="28"/>
  <c r="Q21" i="28"/>
  <c r="Q23" i="28"/>
  <c r="Q26" i="28"/>
  <c r="Q22" i="28"/>
  <c r="I12" i="2"/>
  <c r="M40" i="2"/>
  <c r="M39" i="2"/>
  <c r="N9" i="8"/>
  <c r="R24" i="29" s="1"/>
  <c r="K9" i="8"/>
  <c r="R22" i="29" s="1"/>
  <c r="F47" i="8"/>
  <c r="F46" i="8"/>
  <c r="E46" i="8"/>
  <c r="E48" i="8" s="1"/>
  <c r="E49" i="8" s="1"/>
  <c r="E20" i="8" s="1"/>
  <c r="O9" i="8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Q25" i="29" s="1"/>
  <c r="R25" i="29" s="1"/>
  <c r="F16" i="8"/>
  <c r="K10" i="8" s="1"/>
  <c r="AE22" i="29" s="1"/>
  <c r="N10" i="8"/>
  <c r="AE24" i="29" s="1"/>
  <c r="F27" i="8"/>
  <c r="F33" i="8" s="1"/>
  <c r="E12" i="5"/>
  <c r="C36" i="8"/>
  <c r="D36" i="8"/>
  <c r="C37" i="8"/>
  <c r="D37" i="8"/>
  <c r="C38" i="8"/>
  <c r="D38" i="8"/>
  <c r="C39" i="8"/>
  <c r="D39" i="8"/>
  <c r="D35" i="8"/>
  <c r="C35" i="8"/>
  <c r="D30" i="8"/>
  <c r="C31" i="8"/>
  <c r="D31" i="8"/>
  <c r="C32" i="8"/>
  <c r="D32" i="8"/>
  <c r="C33" i="8"/>
  <c r="D33" i="8"/>
  <c r="D29" i="8"/>
  <c r="P11" i="11"/>
  <c r="T30" i="29" s="1"/>
  <c r="U30" i="29" s="1"/>
  <c r="V30" i="29" s="1"/>
  <c r="W30" i="29" s="1"/>
  <c r="X30" i="29" s="1"/>
  <c r="Y30" i="29" s="1"/>
  <c r="Z30" i="29" s="1"/>
  <c r="AA30" i="29" s="1"/>
  <c r="AB30" i="29" s="1"/>
  <c r="AC30" i="29" s="1"/>
  <c r="AD30" i="29" s="1"/>
  <c r="AE30" i="29" s="1"/>
  <c r="P10" i="1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Q30" i="29" s="1"/>
  <c r="R30" i="29" s="1"/>
  <c r="O11" i="11"/>
  <c r="O10" i="11"/>
  <c r="J11" i="11"/>
  <c r="J10" i="11"/>
  <c r="I11" i="11"/>
  <c r="I10" i="11"/>
  <c r="L22" i="10"/>
  <c r="E29" i="11" s="1"/>
  <c r="L16" i="10"/>
  <c r="D29" i="11" s="1"/>
  <c r="D31" i="11"/>
  <c r="E31" i="11" s="1"/>
  <c r="D30" i="11"/>
  <c r="E30" i="11" s="1"/>
  <c r="H23" i="28"/>
  <c r="C13" i="29"/>
  <c r="E10" i="28"/>
  <c r="W59" i="28"/>
  <c r="W58" i="28"/>
  <c r="W36" i="28"/>
  <c r="W37" i="28"/>
  <c r="W38" i="28"/>
  <c r="W39" i="28"/>
  <c r="W40" i="28"/>
  <c r="W41" i="28"/>
  <c r="W42" i="28"/>
  <c r="W43" i="28"/>
  <c r="W56" i="28"/>
  <c r="H16" i="28" s="1"/>
  <c r="E20" i="14" s="1"/>
  <c r="S53" i="28"/>
  <c r="N21" i="10"/>
  <c r="O21" i="10" s="1"/>
  <c r="R21" i="10" s="1"/>
  <c r="N20" i="10"/>
  <c r="T20" i="10" s="1"/>
  <c r="N19" i="10"/>
  <c r="O19" i="10" s="1"/>
  <c r="T19" i="10" s="1"/>
  <c r="N18" i="10"/>
  <c r="O18" i="10" s="1"/>
  <c r="DR50" i="39" l="1"/>
  <c r="DA51" i="40"/>
  <c r="FC51" i="40" s="1"/>
  <c r="AW52" i="40"/>
  <c r="EY52" i="40" s="1"/>
  <c r="DA50" i="40"/>
  <c r="FC50" i="40" s="1"/>
  <c r="DA55" i="40"/>
  <c r="FC55" i="40" s="1"/>
  <c r="EQ51" i="40"/>
  <c r="FF51" i="40" s="1"/>
  <c r="EC52" i="40"/>
  <c r="FE52" i="40" s="1"/>
  <c r="EC56" i="40"/>
  <c r="FE56" i="40" s="1"/>
  <c r="BK55" i="40"/>
  <c r="EZ55" i="40" s="1"/>
  <c r="AW56" i="40"/>
  <c r="EY56" i="40" s="1"/>
  <c r="CP50" i="39"/>
  <c r="CP82" i="39" s="1"/>
  <c r="K15" i="5" s="1"/>
  <c r="CM56" i="40"/>
  <c r="FB56" i="40" s="1"/>
  <c r="BK50" i="40"/>
  <c r="EZ50" i="40" s="1"/>
  <c r="EF50" i="39"/>
  <c r="EF82" i="39" s="1"/>
  <c r="K18" i="5" s="1"/>
  <c r="AZ50" i="39"/>
  <c r="AZ82" i="39" s="1"/>
  <c r="K12" i="5" s="1"/>
  <c r="AI12" i="40"/>
  <c r="DD15" i="39"/>
  <c r="DD82" i="39" s="1"/>
  <c r="K16" i="5" s="1"/>
  <c r="CT82" i="39"/>
  <c r="CI15" i="29" s="1"/>
  <c r="DL80" i="39"/>
  <c r="AF80" i="39"/>
  <c r="AT80" i="39"/>
  <c r="AQ38" i="40"/>
  <c r="CS80" i="39"/>
  <c r="DO12" i="40"/>
  <c r="BB80" i="39"/>
  <c r="CB15" i="39"/>
  <c r="CB82" i="39" s="1"/>
  <c r="K14" i="5" s="1"/>
  <c r="BX82" i="39"/>
  <c r="BO15" i="29" s="1"/>
  <c r="Z80" i="39"/>
  <c r="W38" i="40"/>
  <c r="DF80" i="39"/>
  <c r="DC38" i="40"/>
  <c r="CJ80" i="39"/>
  <c r="CG38" i="40"/>
  <c r="ET15" i="39"/>
  <c r="ET82" i="39" s="1"/>
  <c r="K19" i="5" s="1"/>
  <c r="EJ82" i="39"/>
  <c r="DV15" i="29" s="1"/>
  <c r="DR15" i="39"/>
  <c r="DR82" i="39" s="1"/>
  <c r="K17" i="5" s="1"/>
  <c r="DN82" i="39"/>
  <c r="DB15" i="29" s="1"/>
  <c r="BP80" i="39"/>
  <c r="BM38" i="40"/>
  <c r="DM80" i="39"/>
  <c r="DA12" i="40"/>
  <c r="AL15" i="39"/>
  <c r="AL82" i="39" s="1"/>
  <c r="K11" i="5" s="1"/>
  <c r="AH82" i="39"/>
  <c r="AB15" i="29" s="1"/>
  <c r="L80" i="39"/>
  <c r="AA76" i="39"/>
  <c r="W60" i="40"/>
  <c r="DZ80" i="39"/>
  <c r="DW38" i="40"/>
  <c r="BS12" i="40"/>
  <c r="DG48" i="39"/>
  <c r="DG80" i="39" s="1"/>
  <c r="DR48" i="39"/>
  <c r="EF48" i="39"/>
  <c r="EF80" i="39" s="1"/>
  <c r="EA48" i="39"/>
  <c r="EA80" i="39" s="1"/>
  <c r="M13" i="39"/>
  <c r="L41" i="39"/>
  <c r="L108" i="39" s="1"/>
  <c r="DD13" i="39"/>
  <c r="DD80" i="39" s="1"/>
  <c r="AZ48" i="39"/>
  <c r="AZ80" i="39" s="1"/>
  <c r="AU48" i="39"/>
  <c r="AU80" i="39" s="1"/>
  <c r="AL49" i="39"/>
  <c r="AC49" i="39"/>
  <c r="AD49" i="39" s="1"/>
  <c r="AE49" i="39" s="1"/>
  <c r="AF49" i="39" s="1"/>
  <c r="AG49" i="39" s="1"/>
  <c r="CK48" i="39"/>
  <c r="CK80" i="39" s="1"/>
  <c r="CP48" i="39"/>
  <c r="BQ48" i="39"/>
  <c r="BQ80" i="39" s="1"/>
  <c r="AA48" i="39"/>
  <c r="AA80" i="39" s="1"/>
  <c r="AL48" i="39"/>
  <c r="AL80" i="39" s="1"/>
  <c r="EE12" i="40"/>
  <c r="EC24" i="40"/>
  <c r="FE24" i="40" s="1"/>
  <c r="AY25" i="40"/>
  <c r="I25" i="40"/>
  <c r="BC13" i="39"/>
  <c r="BC80" i="39" s="1"/>
  <c r="AY12" i="40"/>
  <c r="EI13" i="39"/>
  <c r="EI80" i="39" s="1"/>
  <c r="K26" i="40"/>
  <c r="K30" i="40"/>
  <c r="K31" i="40"/>
  <c r="DR13" i="39"/>
  <c r="DR80" i="39" s="1"/>
  <c r="BW13" i="39"/>
  <c r="BW80" i="39" s="1"/>
  <c r="I12" i="40"/>
  <c r="X13" i="39"/>
  <c r="X80" i="39" s="1"/>
  <c r="AG13" i="39"/>
  <c r="AG80" i="39" s="1"/>
  <c r="AW25" i="40"/>
  <c r="EY25" i="40" s="1"/>
  <c r="AW24" i="40"/>
  <c r="EY24" i="40" s="1"/>
  <c r="AW29" i="40"/>
  <c r="EY29" i="40" s="1"/>
  <c r="CO25" i="40"/>
  <c r="EC25" i="40"/>
  <c r="FE25" i="40" s="1"/>
  <c r="EF18" i="39"/>
  <c r="CB13" i="39"/>
  <c r="CB80" i="39" s="1"/>
  <c r="X14" i="39"/>
  <c r="X81" i="39" s="1"/>
  <c r="O14" i="39"/>
  <c r="O81" i="39" s="1"/>
  <c r="N16" i="39"/>
  <c r="N83" i="39" s="1"/>
  <c r="I14" i="29" s="1"/>
  <c r="I16" i="29" s="1"/>
  <c r="F48" i="8"/>
  <c r="F49" i="8" s="1"/>
  <c r="F20" i="8" s="1"/>
  <c r="O10" i="8" s="1"/>
  <c r="T25" i="29" s="1"/>
  <c r="U25" i="29" s="1"/>
  <c r="V25" i="29" s="1"/>
  <c r="W25" i="29" s="1"/>
  <c r="X25" i="29" s="1"/>
  <c r="Y25" i="29" s="1"/>
  <c r="Z25" i="29" s="1"/>
  <c r="AA25" i="29" s="1"/>
  <c r="AB25" i="29" s="1"/>
  <c r="AC25" i="29" s="1"/>
  <c r="AD25" i="29" s="1"/>
  <c r="AE25" i="29" s="1"/>
  <c r="W28" i="28"/>
  <c r="U29" i="28"/>
  <c r="W16" i="28"/>
  <c r="H10" i="28" s="1"/>
  <c r="E14" i="14" s="1"/>
  <c r="C20" i="35"/>
  <c r="D15" i="36"/>
  <c r="W17" i="28"/>
  <c r="W57" i="28"/>
  <c r="H17" i="28" s="1"/>
  <c r="W35" i="28"/>
  <c r="H13" i="28" s="1"/>
  <c r="E17" i="14" s="1"/>
  <c r="F31" i="8"/>
  <c r="F37" i="8" s="1"/>
  <c r="F32" i="8"/>
  <c r="F38" i="8" s="1"/>
  <c r="D22" i="11"/>
  <c r="N10" i="11" s="1"/>
  <c r="G29" i="29" s="1"/>
  <c r="E22" i="11"/>
  <c r="N11" i="11" s="1"/>
  <c r="T29" i="29" s="1"/>
  <c r="F39" i="8"/>
  <c r="T22" i="10"/>
  <c r="V18" i="10"/>
  <c r="O20" i="10"/>
  <c r="EC38" i="40" l="1"/>
  <c r="FC12" i="40"/>
  <c r="EX12" i="40"/>
  <c r="BK12" i="40"/>
  <c r="M80" i="39"/>
  <c r="DO38" i="40"/>
  <c r="FD12" i="40"/>
  <c r="EQ12" i="40"/>
  <c r="BY38" i="40"/>
  <c r="AI38" i="40"/>
  <c r="U12" i="40"/>
  <c r="BY12" i="40"/>
  <c r="AB76" i="39"/>
  <c r="X60" i="40"/>
  <c r="CM38" i="40"/>
  <c r="AW38" i="40"/>
  <c r="AB74" i="39"/>
  <c r="Y58" i="40" s="1"/>
  <c r="AC51" i="39"/>
  <c r="AD51" i="39" s="1"/>
  <c r="AE51" i="39" s="1"/>
  <c r="AF51" i="39" s="1"/>
  <c r="AG51" i="39" s="1"/>
  <c r="AH51" i="39" s="1"/>
  <c r="AI51" i="39" s="1"/>
  <c r="AJ51" i="39" s="1"/>
  <c r="AK51" i="39" s="1"/>
  <c r="AN51" i="39" s="1"/>
  <c r="AH49" i="39"/>
  <c r="AI49" i="39" s="1"/>
  <c r="AJ49" i="39" s="1"/>
  <c r="AK49" i="39" s="1"/>
  <c r="AN49" i="39" s="1"/>
  <c r="AO49" i="39" s="1"/>
  <c r="AP49" i="39" s="1"/>
  <c r="M41" i="39"/>
  <c r="M108" i="39" s="1"/>
  <c r="I34" i="40"/>
  <c r="K28" i="40"/>
  <c r="BS25" i="40"/>
  <c r="EE25" i="40"/>
  <c r="DI25" i="40"/>
  <c r="CG28" i="40"/>
  <c r="CP13" i="39"/>
  <c r="CP80" i="39" s="1"/>
  <c r="CG31" i="40"/>
  <c r="O16" i="39"/>
  <c r="N39" i="39"/>
  <c r="P14" i="39"/>
  <c r="P81" i="39" s="1"/>
  <c r="O11" i="8"/>
  <c r="AG25" i="29" s="1"/>
  <c r="AH25" i="29" s="1"/>
  <c r="AI25" i="29" s="1"/>
  <c r="AJ25" i="29" s="1"/>
  <c r="AK25" i="29" s="1"/>
  <c r="AL25" i="29" s="1"/>
  <c r="AM25" i="29" s="1"/>
  <c r="AN25" i="29" s="1"/>
  <c r="AO25" i="29" s="1"/>
  <c r="AP25" i="29" s="1"/>
  <c r="AQ25" i="29" s="1"/>
  <c r="AR25" i="29" s="1"/>
  <c r="U30" i="28"/>
  <c r="W29" i="28"/>
  <c r="H11" i="28"/>
  <c r="E15" i="14" s="1"/>
  <c r="G10" i="10"/>
  <c r="E16" i="11"/>
  <c r="E19" i="11" s="1"/>
  <c r="H11" i="11" s="1"/>
  <c r="T27" i="29" s="1"/>
  <c r="U27" i="29" s="1"/>
  <c r="V27" i="29" s="1"/>
  <c r="W27" i="29" s="1"/>
  <c r="X27" i="29" s="1"/>
  <c r="Y27" i="29" s="1"/>
  <c r="Z27" i="29" s="1"/>
  <c r="AA27" i="29" s="1"/>
  <c r="AB27" i="29" s="1"/>
  <c r="AC27" i="29" s="1"/>
  <c r="AD27" i="29" s="1"/>
  <c r="AE27" i="29" s="1"/>
  <c r="R20" i="10"/>
  <c r="R22" i="10" s="1"/>
  <c r="V20" i="10"/>
  <c r="V22" i="10" s="1"/>
  <c r="O22" i="10"/>
  <c r="FA12" i="40" l="1"/>
  <c r="EW12" i="40"/>
  <c r="EX38" i="40"/>
  <c r="FF12" i="40"/>
  <c r="EY38" i="40"/>
  <c r="AC76" i="39"/>
  <c r="Y60" i="40"/>
  <c r="EZ12" i="40"/>
  <c r="FB38" i="40"/>
  <c r="K32" i="40"/>
  <c r="N106" i="39"/>
  <c r="FA38" i="40"/>
  <c r="FD38" i="40"/>
  <c r="FE38" i="40"/>
  <c r="P16" i="39"/>
  <c r="O83" i="39"/>
  <c r="J14" i="29" s="1"/>
  <c r="J16" i="29" s="1"/>
  <c r="AL51" i="39"/>
  <c r="AZ49" i="39"/>
  <c r="AQ49" i="39"/>
  <c r="AR49" i="39" s="1"/>
  <c r="AS49" i="39" s="1"/>
  <c r="AT49" i="39" s="1"/>
  <c r="AU49" i="39" s="1"/>
  <c r="AV49" i="39" s="1"/>
  <c r="AC74" i="39"/>
  <c r="J34" i="40"/>
  <c r="N41" i="39"/>
  <c r="N108" i="39" s="1"/>
  <c r="AO51" i="39"/>
  <c r="AP51" i="39" s="1"/>
  <c r="AQ51" i="39" s="1"/>
  <c r="AR51" i="39" s="1"/>
  <c r="AS51" i="39" s="1"/>
  <c r="AT51" i="39" s="1"/>
  <c r="AU51" i="39" s="1"/>
  <c r="AV51" i="39" s="1"/>
  <c r="AW51" i="39" s="1"/>
  <c r="AX51" i="39" s="1"/>
  <c r="AY51" i="39" s="1"/>
  <c r="BB51" i="39" s="1"/>
  <c r="CP31" i="39"/>
  <c r="CG24" i="40"/>
  <c r="CM24" i="40" s="1"/>
  <c r="FB24" i="40" s="1"/>
  <c r="CP32" i="39"/>
  <c r="CG25" i="40"/>
  <c r="CM25" i="40" s="1"/>
  <c r="FB25" i="40" s="1"/>
  <c r="O39" i="39"/>
  <c r="O106" i="39" s="1"/>
  <c r="Q14" i="39"/>
  <c r="Q81" i="39" s="1"/>
  <c r="O12" i="8"/>
  <c r="AT25" i="29" s="1"/>
  <c r="AU25" i="29" s="1"/>
  <c r="AV25" i="29" s="1"/>
  <c r="AW25" i="29" s="1"/>
  <c r="AX25" i="29" s="1"/>
  <c r="AY25" i="29" s="1"/>
  <c r="AZ25" i="29" s="1"/>
  <c r="BA25" i="29" s="1"/>
  <c r="BB25" i="29" s="1"/>
  <c r="BC25" i="29" s="1"/>
  <c r="BD25" i="29" s="1"/>
  <c r="BE25" i="29" s="1"/>
  <c r="U31" i="28"/>
  <c r="W30" i="28"/>
  <c r="F15" i="8"/>
  <c r="J10" i="8" s="1"/>
  <c r="T21" i="29" s="1"/>
  <c r="U21" i="29" s="1"/>
  <c r="V21" i="29" s="1"/>
  <c r="W21" i="29" s="1"/>
  <c r="X21" i="29" s="1"/>
  <c r="Y21" i="29" s="1"/>
  <c r="Z21" i="29" s="1"/>
  <c r="AA21" i="29" s="1"/>
  <c r="AB21" i="29" s="1"/>
  <c r="AC21" i="29" s="1"/>
  <c r="AD21" i="29" s="1"/>
  <c r="F10" i="10"/>
  <c r="E21" i="11"/>
  <c r="H10" i="10"/>
  <c r="AE21" i="29" l="1"/>
  <c r="AD76" i="39"/>
  <c r="Z60" i="40"/>
  <c r="AD74" i="39"/>
  <c r="Z58" i="40"/>
  <c r="AZ51" i="39"/>
  <c r="Q16" i="39"/>
  <c r="P83" i="39"/>
  <c r="K14" i="29" s="1"/>
  <c r="K16" i="29" s="1"/>
  <c r="BC51" i="39"/>
  <c r="BD51" i="39" s="1"/>
  <c r="BE51" i="39" s="1"/>
  <c r="BF51" i="39" s="1"/>
  <c r="BG51" i="39" s="1"/>
  <c r="BH51" i="39" s="1"/>
  <c r="BI51" i="39" s="1"/>
  <c r="BJ51" i="39" s="1"/>
  <c r="BK51" i="39" s="1"/>
  <c r="BL51" i="39" s="1"/>
  <c r="BM51" i="39" s="1"/>
  <c r="BP51" i="39" s="1"/>
  <c r="K34" i="40"/>
  <c r="O41" i="39"/>
  <c r="O108" i="39" s="1"/>
  <c r="AW49" i="39"/>
  <c r="AX49" i="39" s="1"/>
  <c r="AY49" i="39" s="1"/>
  <c r="BB49" i="39" s="1"/>
  <c r="BC49" i="39" s="1"/>
  <c r="P39" i="39"/>
  <c r="P106" i="39" s="1"/>
  <c r="L32" i="40"/>
  <c r="R14" i="39"/>
  <c r="R81" i="39" s="1"/>
  <c r="O13" i="8"/>
  <c r="BG25" i="29" s="1"/>
  <c r="BH25" i="29" s="1"/>
  <c r="BI25" i="29" s="1"/>
  <c r="BJ25" i="29" s="1"/>
  <c r="BK25" i="29" s="1"/>
  <c r="BL25" i="29" s="1"/>
  <c r="BM25" i="29" s="1"/>
  <c r="BN25" i="29" s="1"/>
  <c r="BO25" i="29" s="1"/>
  <c r="BP25" i="29" s="1"/>
  <c r="BQ25" i="29" s="1"/>
  <c r="BR25" i="29" s="1"/>
  <c r="U32" i="28"/>
  <c r="W31" i="28"/>
  <c r="M11" i="11"/>
  <c r="T28" i="29" s="1"/>
  <c r="U28" i="29" s="1"/>
  <c r="V28" i="29" s="1"/>
  <c r="W28" i="29" s="1"/>
  <c r="X28" i="29" s="1"/>
  <c r="Y28" i="29" s="1"/>
  <c r="Z28" i="29" s="1"/>
  <c r="AA28" i="29" s="1"/>
  <c r="AB28" i="29" s="1"/>
  <c r="AC28" i="29" s="1"/>
  <c r="AD28" i="29" s="1"/>
  <c r="AE28" i="29" s="1"/>
  <c r="E25" i="11"/>
  <c r="R16" i="39" l="1"/>
  <c r="Q83" i="39"/>
  <c r="L14" i="29" s="1"/>
  <c r="L16" i="29" s="1"/>
  <c r="AE76" i="39"/>
  <c r="AA60" i="40"/>
  <c r="AE74" i="39"/>
  <c r="AA58" i="40"/>
  <c r="BQ51" i="39"/>
  <c r="BR51" i="39" s="1"/>
  <c r="BS51" i="39" s="1"/>
  <c r="BT51" i="39" s="1"/>
  <c r="BU51" i="39" s="1"/>
  <c r="BV51" i="39" s="1"/>
  <c r="BW51" i="39" s="1"/>
  <c r="BX51" i="39" s="1"/>
  <c r="BY51" i="39" s="1"/>
  <c r="BZ51" i="39" s="1"/>
  <c r="CA51" i="39" s="1"/>
  <c r="CD51" i="39" s="1"/>
  <c r="BD49" i="39"/>
  <c r="P41" i="39"/>
  <c r="P108" i="39" s="1"/>
  <c r="L34" i="40"/>
  <c r="BN51" i="39"/>
  <c r="Q39" i="39"/>
  <c r="Q106" i="39" s="1"/>
  <c r="M32" i="40"/>
  <c r="S14" i="39"/>
  <c r="S81" i="39" s="1"/>
  <c r="O14" i="8"/>
  <c r="BT25" i="29" s="1"/>
  <c r="BU25" i="29" s="1"/>
  <c r="BV25" i="29" s="1"/>
  <c r="BW25" i="29" s="1"/>
  <c r="BX25" i="29" s="1"/>
  <c r="BY25" i="29" s="1"/>
  <c r="BZ25" i="29" s="1"/>
  <c r="CA25" i="29" s="1"/>
  <c r="CB25" i="29" s="1"/>
  <c r="CC25" i="29" s="1"/>
  <c r="CD25" i="29" s="1"/>
  <c r="CE25" i="29" s="1"/>
  <c r="U33" i="28"/>
  <c r="W32" i="28"/>
  <c r="S16" i="39" l="1"/>
  <c r="R83" i="39"/>
  <c r="M14" i="29" s="1"/>
  <c r="M16" i="29" s="1"/>
  <c r="AF74" i="39"/>
  <c r="AB58" i="40"/>
  <c r="AF76" i="39"/>
  <c r="AB60" i="40"/>
  <c r="CB51" i="39"/>
  <c r="CE51" i="39"/>
  <c r="CF51" i="39" s="1"/>
  <c r="CG51" i="39" s="1"/>
  <c r="CH51" i="39" s="1"/>
  <c r="CI51" i="39" s="1"/>
  <c r="CJ51" i="39" s="1"/>
  <c r="CK51" i="39" s="1"/>
  <c r="CL51" i="39" s="1"/>
  <c r="CM51" i="39" s="1"/>
  <c r="CN51" i="39" s="1"/>
  <c r="CO51" i="39" s="1"/>
  <c r="CR51" i="39" s="1"/>
  <c r="Q41" i="39"/>
  <c r="Q108" i="39" s="1"/>
  <c r="M34" i="40"/>
  <c r="BE49" i="39"/>
  <c r="BN49" i="39"/>
  <c r="R39" i="39"/>
  <c r="R106" i="39" s="1"/>
  <c r="N32" i="40"/>
  <c r="T14" i="39"/>
  <c r="T81" i="39" s="1"/>
  <c r="O15" i="8"/>
  <c r="CG25" i="29" s="1"/>
  <c r="CH25" i="29" s="1"/>
  <c r="CI25" i="29" s="1"/>
  <c r="CJ25" i="29" s="1"/>
  <c r="CK25" i="29" s="1"/>
  <c r="CL25" i="29" s="1"/>
  <c r="CM25" i="29" s="1"/>
  <c r="CN25" i="29" s="1"/>
  <c r="CO25" i="29" s="1"/>
  <c r="CP25" i="29" s="1"/>
  <c r="CQ25" i="29" s="1"/>
  <c r="CR25" i="29" s="1"/>
  <c r="U34" i="28"/>
  <c r="W33" i="28"/>
  <c r="AG74" i="39" l="1"/>
  <c r="AC58" i="40"/>
  <c r="T16" i="39"/>
  <c r="S83" i="39"/>
  <c r="N14" i="29" s="1"/>
  <c r="N16" i="29" s="1"/>
  <c r="AG76" i="39"/>
  <c r="AC60" i="40"/>
  <c r="CP51" i="39"/>
  <c r="R41" i="39"/>
  <c r="R108" i="39" s="1"/>
  <c r="N34" i="40"/>
  <c r="BF49" i="39"/>
  <c r="CS51" i="39"/>
  <c r="CT51" i="39" s="1"/>
  <c r="CU51" i="39" s="1"/>
  <c r="CV51" i="39" s="1"/>
  <c r="CW51" i="39" s="1"/>
  <c r="CX51" i="39" s="1"/>
  <c r="CY51" i="39" s="1"/>
  <c r="CZ51" i="39" s="1"/>
  <c r="DA51" i="39" s="1"/>
  <c r="DB51" i="39" s="1"/>
  <c r="DC51" i="39" s="1"/>
  <c r="DF51" i="39" s="1"/>
  <c r="S39" i="39"/>
  <c r="S106" i="39" s="1"/>
  <c r="O32" i="40"/>
  <c r="U14" i="39"/>
  <c r="U81" i="39" s="1"/>
  <c r="O16" i="8"/>
  <c r="CT25" i="29" s="1"/>
  <c r="CU25" i="29" s="1"/>
  <c r="CV25" i="29" s="1"/>
  <c r="CW25" i="29" s="1"/>
  <c r="CX25" i="29" s="1"/>
  <c r="CY25" i="29" s="1"/>
  <c r="CZ25" i="29" s="1"/>
  <c r="DA25" i="29" s="1"/>
  <c r="DB25" i="29" s="1"/>
  <c r="DC25" i="29" s="1"/>
  <c r="DD25" i="29" s="1"/>
  <c r="DE25" i="29" s="1"/>
  <c r="W34" i="28"/>
  <c r="W27" i="28" s="1"/>
  <c r="H12" i="28" s="1"/>
  <c r="E16" i="14" s="1"/>
  <c r="U44" i="28"/>
  <c r="E28" i="5"/>
  <c r="Q56" i="28"/>
  <c r="N53" i="28"/>
  <c r="L57" i="1"/>
  <c r="L58" i="1"/>
  <c r="AH76" i="39" l="1"/>
  <c r="AD60" i="40"/>
  <c r="U16" i="39"/>
  <c r="T83" i="39"/>
  <c r="O14" i="29" s="1"/>
  <c r="O16" i="29" s="1"/>
  <c r="DD51" i="39"/>
  <c r="AH74" i="39"/>
  <c r="AD58" i="40"/>
  <c r="DG51" i="39"/>
  <c r="DH51" i="39" s="1"/>
  <c r="DI51" i="39" s="1"/>
  <c r="DJ51" i="39" s="1"/>
  <c r="DK51" i="39" s="1"/>
  <c r="DL51" i="39" s="1"/>
  <c r="DM51" i="39" s="1"/>
  <c r="DN51" i="39" s="1"/>
  <c r="DO51" i="39" s="1"/>
  <c r="DP51" i="39" s="1"/>
  <c r="DQ51" i="39" s="1"/>
  <c r="DT51" i="39" s="1"/>
  <c r="S41" i="39"/>
  <c r="S108" i="39" s="1"/>
  <c r="O34" i="40"/>
  <c r="BG49" i="39"/>
  <c r="T39" i="39"/>
  <c r="T106" i="39" s="1"/>
  <c r="P32" i="40"/>
  <c r="V14" i="39"/>
  <c r="V81" i="39" s="1"/>
  <c r="O17" i="8"/>
  <c r="DG25" i="29" s="1"/>
  <c r="DH25" i="29" s="1"/>
  <c r="DI25" i="29" s="1"/>
  <c r="DJ25" i="29" s="1"/>
  <c r="DK25" i="29" s="1"/>
  <c r="DL25" i="29" s="1"/>
  <c r="DM25" i="29" s="1"/>
  <c r="DN25" i="29" s="1"/>
  <c r="DO25" i="29" s="1"/>
  <c r="DP25" i="29" s="1"/>
  <c r="DQ25" i="29" s="1"/>
  <c r="DR25" i="29" s="1"/>
  <c r="U46" i="28"/>
  <c r="W44" i="28"/>
  <c r="H14" i="28" s="1"/>
  <c r="E18" i="14" s="1"/>
  <c r="F28" i="2"/>
  <c r="AI74" i="39" l="1"/>
  <c r="AE58" i="40"/>
  <c r="V16" i="39"/>
  <c r="U83" i="39"/>
  <c r="P14" i="29" s="1"/>
  <c r="P16" i="29" s="1"/>
  <c r="AI76" i="39"/>
  <c r="AE60" i="40"/>
  <c r="DU51" i="39"/>
  <c r="DV51" i="39" s="1"/>
  <c r="DW51" i="39" s="1"/>
  <c r="DX51" i="39" s="1"/>
  <c r="DY51" i="39" s="1"/>
  <c r="DZ51" i="39" s="1"/>
  <c r="EA51" i="39" s="1"/>
  <c r="EB51" i="39" s="1"/>
  <c r="EC51" i="39" s="1"/>
  <c r="ED51" i="39" s="1"/>
  <c r="EE51" i="39" s="1"/>
  <c r="EH51" i="39" s="1"/>
  <c r="T41" i="39"/>
  <c r="T108" i="39" s="1"/>
  <c r="P34" i="40"/>
  <c r="BH49" i="39"/>
  <c r="DR51" i="39"/>
  <c r="U39" i="39"/>
  <c r="U106" i="39" s="1"/>
  <c r="Q32" i="40"/>
  <c r="W14" i="39"/>
  <c r="O18" i="8"/>
  <c r="DT25" i="29" s="1"/>
  <c r="DU25" i="29" s="1"/>
  <c r="DV25" i="29" s="1"/>
  <c r="DW25" i="29" s="1"/>
  <c r="DX25" i="29" s="1"/>
  <c r="DY25" i="29" s="1"/>
  <c r="DZ25" i="29" s="1"/>
  <c r="EA25" i="29" s="1"/>
  <c r="EB25" i="29" s="1"/>
  <c r="EC25" i="29" s="1"/>
  <c r="ED25" i="29" s="1"/>
  <c r="EE25" i="29" s="1"/>
  <c r="U47" i="28"/>
  <c r="W47" i="28" s="1"/>
  <c r="W46" i="28"/>
  <c r="W45" i="28" s="1"/>
  <c r="H15" i="28" s="1"/>
  <c r="H19" i="28"/>
  <c r="L59" i="1"/>
  <c r="Z14" i="39" l="1"/>
  <c r="W81" i="39"/>
  <c r="AJ74" i="39"/>
  <c r="AF58" i="40"/>
  <c r="AJ76" i="39"/>
  <c r="AF60" i="40"/>
  <c r="W16" i="39"/>
  <c r="V83" i="39"/>
  <c r="Q14" i="29" s="1"/>
  <c r="Q16" i="29" s="1"/>
  <c r="EF51" i="39"/>
  <c r="U41" i="39"/>
  <c r="U108" i="39" s="1"/>
  <c r="Q34" i="40"/>
  <c r="BI49" i="39"/>
  <c r="EI51" i="39"/>
  <c r="EJ51" i="39" s="1"/>
  <c r="EK51" i="39" s="1"/>
  <c r="EL51" i="39" s="1"/>
  <c r="EM51" i="39" s="1"/>
  <c r="EN51" i="39" s="1"/>
  <c r="EO51" i="39" s="1"/>
  <c r="EP51" i="39" s="1"/>
  <c r="EQ51" i="39" s="1"/>
  <c r="ER51" i="39" s="1"/>
  <c r="ES51" i="39" s="1"/>
  <c r="V39" i="39"/>
  <c r="V106" i="39" s="1"/>
  <c r="R32" i="40"/>
  <c r="E19" i="14"/>
  <c r="E21" i="14" s="1"/>
  <c r="E22" i="14" s="1"/>
  <c r="J11" i="14" s="1"/>
  <c r="H18" i="28"/>
  <c r="H20" i="28" s="1"/>
  <c r="Q17" i="28"/>
  <c r="E11" i="28" s="1"/>
  <c r="Q27" i="28"/>
  <c r="Q35" i="28"/>
  <c r="Q45" i="28"/>
  <c r="Q57" i="28"/>
  <c r="E17" i="28" s="1"/>
  <c r="ET51" i="39" l="1"/>
  <c r="AK76" i="39"/>
  <c r="AG60" i="40"/>
  <c r="Z16" i="39"/>
  <c r="W83" i="39"/>
  <c r="R14" i="29" s="1"/>
  <c r="R16" i="29" s="1"/>
  <c r="G42" i="29" s="1"/>
  <c r="AK74" i="39"/>
  <c r="AG58" i="40"/>
  <c r="AA14" i="39"/>
  <c r="Z81" i="39"/>
  <c r="X16" i="39"/>
  <c r="X83" i="39" s="1"/>
  <c r="J10" i="5" s="1"/>
  <c r="BJ49" i="39"/>
  <c r="V41" i="39"/>
  <c r="V108" i="39" s="1"/>
  <c r="R34" i="40"/>
  <c r="W39" i="39"/>
  <c r="W106" i="39" s="1"/>
  <c r="S32" i="40"/>
  <c r="J12" i="14"/>
  <c r="J13" i="14" s="1"/>
  <c r="J14" i="14" s="1"/>
  <c r="J15" i="14" s="1"/>
  <c r="J16" i="14" s="1"/>
  <c r="J17" i="14" s="1"/>
  <c r="J18" i="14" s="1"/>
  <c r="J19" i="14" s="1"/>
  <c r="O20" i="8"/>
  <c r="O21" i="8"/>
  <c r="E16" i="28"/>
  <c r="D20" i="14" s="1"/>
  <c r="AB14" i="39" l="1"/>
  <c r="AA81" i="39"/>
  <c r="Z83" i="39"/>
  <c r="T14" i="29" s="1"/>
  <c r="T16" i="29" s="1"/>
  <c r="AA16" i="39"/>
  <c r="AN74" i="39"/>
  <c r="AH58" i="40"/>
  <c r="AI58" i="40" s="1"/>
  <c r="EX58" i="40" s="1"/>
  <c r="AL74" i="39"/>
  <c r="AN76" i="39"/>
  <c r="AH60" i="40"/>
  <c r="AI60" i="40" s="1"/>
  <c r="EX60" i="40" s="1"/>
  <c r="AL76" i="39"/>
  <c r="S34" i="40"/>
  <c r="W41" i="39"/>
  <c r="W108" i="39" s="1"/>
  <c r="BK49" i="39"/>
  <c r="AE28" i="40"/>
  <c r="AE31" i="40"/>
  <c r="AL37" i="39"/>
  <c r="AE30" i="40"/>
  <c r="AI30" i="40" s="1"/>
  <c r="EX30" i="40" s="1"/>
  <c r="AL33" i="39"/>
  <c r="AE26" i="40"/>
  <c r="AI26" i="40" s="1"/>
  <c r="EX26" i="40" s="1"/>
  <c r="Z39" i="39"/>
  <c r="Z106" i="39" s="1"/>
  <c r="T32" i="40"/>
  <c r="U32" i="40" s="1"/>
  <c r="EW32" i="40" s="1"/>
  <c r="X39" i="39"/>
  <c r="X106" i="39" s="1"/>
  <c r="J22" i="14"/>
  <c r="E14" i="28"/>
  <c r="D18" i="14" s="1"/>
  <c r="C26" i="1"/>
  <c r="E12" i="28"/>
  <c r="D16" i="14" s="1"/>
  <c r="E13" i="28"/>
  <c r="D17" i="14" s="1"/>
  <c r="E15" i="28"/>
  <c r="D19" i="14" s="1"/>
  <c r="AB81" i="39" l="1"/>
  <c r="AC14" i="39"/>
  <c r="AL14" i="39"/>
  <c r="AL81" i="39" s="1"/>
  <c r="AK60" i="40"/>
  <c r="AO76" i="39"/>
  <c r="AK58" i="40"/>
  <c r="AO74" i="39"/>
  <c r="AB16" i="39"/>
  <c r="AA83" i="39"/>
  <c r="U14" i="29" s="1"/>
  <c r="U16" i="29" s="1"/>
  <c r="BL49" i="39"/>
  <c r="Z41" i="39"/>
  <c r="Z108" i="39" s="1"/>
  <c r="T34" i="40"/>
  <c r="U34" i="40" s="1"/>
  <c r="EW34" i="40" s="1"/>
  <c r="X41" i="39"/>
  <c r="X108" i="39" s="1"/>
  <c r="W32" i="40"/>
  <c r="AA39" i="39"/>
  <c r="AA106" i="39" s="1"/>
  <c r="E19" i="28"/>
  <c r="D15" i="14"/>
  <c r="E18" i="28"/>
  <c r="D14" i="14"/>
  <c r="AB10" i="28"/>
  <c r="C30" i="1"/>
  <c r="N13" i="10"/>
  <c r="O13" i="10" s="1"/>
  <c r="T13" i="10" s="1"/>
  <c r="N12" i="10"/>
  <c r="AP74" i="39" l="1"/>
  <c r="AL58" i="40"/>
  <c r="AD14" i="39"/>
  <c r="AC81" i="39"/>
  <c r="AC16" i="39"/>
  <c r="AB83" i="39"/>
  <c r="V14" i="29" s="1"/>
  <c r="V16" i="29" s="1"/>
  <c r="AP76" i="39"/>
  <c r="AL60" i="40"/>
  <c r="BM49" i="39"/>
  <c r="W34" i="40"/>
  <c r="AA41" i="39"/>
  <c r="AA108" i="39" s="1"/>
  <c r="AB39" i="39"/>
  <c r="AB106" i="39" s="1"/>
  <c r="X32" i="40"/>
  <c r="E20" i="28"/>
  <c r="D21" i="14"/>
  <c r="D22" i="14" s="1"/>
  <c r="I10" i="14" s="1"/>
  <c r="C16" i="1"/>
  <c r="C16" i="39" s="1"/>
  <c r="E15" i="5"/>
  <c r="AQ76" i="39" l="1"/>
  <c r="AM60" i="40"/>
  <c r="AE14" i="39"/>
  <c r="AD81" i="39"/>
  <c r="AD16" i="39"/>
  <c r="AC83" i="39"/>
  <c r="W14" i="29" s="1"/>
  <c r="W16" i="29" s="1"/>
  <c r="AQ74" i="39"/>
  <c r="AM58" i="40"/>
  <c r="X34" i="40"/>
  <c r="AB41" i="39"/>
  <c r="AB108" i="39" s="1"/>
  <c r="BP49" i="39"/>
  <c r="BQ49" i="39" s="1"/>
  <c r="BR49" i="39" s="1"/>
  <c r="AC39" i="39"/>
  <c r="AC106" i="39" s="1"/>
  <c r="Y32" i="40"/>
  <c r="K10" i="14"/>
  <c r="I11" i="14"/>
  <c r="AR74" i="39" l="1"/>
  <c r="AN58" i="40"/>
  <c r="AR76" i="39"/>
  <c r="AN60" i="40"/>
  <c r="AF14" i="39"/>
  <c r="AE81" i="39"/>
  <c r="AE16" i="39"/>
  <c r="AD83" i="39"/>
  <c r="X14" i="29" s="1"/>
  <c r="X16" i="29" s="1"/>
  <c r="BS49" i="39"/>
  <c r="CB49" i="39"/>
  <c r="Y34" i="40"/>
  <c r="AC41" i="39"/>
  <c r="AC108" i="39" s="1"/>
  <c r="AD39" i="39"/>
  <c r="AD106" i="39" s="1"/>
  <c r="Z32" i="40"/>
  <c r="I12" i="14"/>
  <c r="K11" i="14"/>
  <c r="E12" i="2"/>
  <c r="M9" i="8"/>
  <c r="C12" i="35"/>
  <c r="A2" i="37"/>
  <c r="B20" i="35"/>
  <c r="B25" i="35" s="1"/>
  <c r="D8" i="36"/>
  <c r="E8" i="36" s="1"/>
  <c r="F8" i="36" s="1"/>
  <c r="G8" i="36" s="1"/>
  <c r="H8" i="36" s="1"/>
  <c r="I8" i="36" s="1"/>
  <c r="J8" i="36" s="1"/>
  <c r="K8" i="36" s="1"/>
  <c r="L8" i="36" s="1"/>
  <c r="A2" i="36"/>
  <c r="L22" i="35"/>
  <c r="K22" i="35"/>
  <c r="J22" i="35"/>
  <c r="I22" i="35"/>
  <c r="H22" i="35"/>
  <c r="G22" i="35"/>
  <c r="F22" i="35"/>
  <c r="E22" i="35"/>
  <c r="D9" i="35"/>
  <c r="E9" i="35" s="1"/>
  <c r="F9" i="35" s="1"/>
  <c r="G9" i="35" s="1"/>
  <c r="H9" i="35" s="1"/>
  <c r="I9" i="35" s="1"/>
  <c r="J9" i="35" s="1"/>
  <c r="K9" i="35" s="1"/>
  <c r="L9" i="35" s="1"/>
  <c r="A2" i="35"/>
  <c r="AG14" i="39" l="1"/>
  <c r="AF81" i="39"/>
  <c r="AS74" i="39"/>
  <c r="AO58" i="40"/>
  <c r="AF16" i="39"/>
  <c r="AE83" i="39"/>
  <c r="Y14" i="29" s="1"/>
  <c r="Y16" i="29" s="1"/>
  <c r="AS76" i="39"/>
  <c r="AO60" i="40"/>
  <c r="Z34" i="40"/>
  <c r="AD41" i="39"/>
  <c r="AD108" i="39" s="1"/>
  <c r="BT49" i="39"/>
  <c r="AE39" i="39"/>
  <c r="AE106" i="39" s="1"/>
  <c r="AA32" i="40"/>
  <c r="D12" i="35"/>
  <c r="E13" i="2"/>
  <c r="M10" i="8"/>
  <c r="I13" i="14"/>
  <c r="K12" i="14"/>
  <c r="B29" i="35"/>
  <c r="AG16" i="39" l="1"/>
  <c r="AF83" i="39"/>
  <c r="Z14" i="29" s="1"/>
  <c r="Z16" i="29" s="1"/>
  <c r="AH14" i="39"/>
  <c r="AG81" i="39"/>
  <c r="AT76" i="39"/>
  <c r="AP60" i="40"/>
  <c r="AT74" i="39"/>
  <c r="AP58" i="40"/>
  <c r="BU49" i="39"/>
  <c r="AE41" i="39"/>
  <c r="AE108" i="39" s="1"/>
  <c r="AA34" i="40"/>
  <c r="AF39" i="39"/>
  <c r="AF106" i="39" s="1"/>
  <c r="AB32" i="40"/>
  <c r="I14" i="14"/>
  <c r="K13" i="14"/>
  <c r="E14" i="2"/>
  <c r="M11" i="8"/>
  <c r="E12" i="35"/>
  <c r="AU76" i="39" l="1"/>
  <c r="AQ60" i="40"/>
  <c r="AU74" i="39"/>
  <c r="AQ58" i="40"/>
  <c r="AH16" i="39"/>
  <c r="AG83" i="39"/>
  <c r="AA14" i="29" s="1"/>
  <c r="AA16" i="29" s="1"/>
  <c r="AH81" i="39"/>
  <c r="AI14" i="39"/>
  <c r="AF41" i="39"/>
  <c r="AF108" i="39" s="1"/>
  <c r="AB34" i="40"/>
  <c r="BV49" i="39"/>
  <c r="AG39" i="39"/>
  <c r="AG106" i="39" s="1"/>
  <c r="AC32" i="40"/>
  <c r="E15" i="2"/>
  <c r="M12" i="8"/>
  <c r="F12" i="35"/>
  <c r="I15" i="14"/>
  <c r="K14" i="14"/>
  <c r="AJ14" i="39" l="1"/>
  <c r="AI81" i="39"/>
  <c r="AV74" i="39"/>
  <c r="AR58" i="40"/>
  <c r="AV76" i="39"/>
  <c r="AR60" i="40"/>
  <c r="AI16" i="39"/>
  <c r="AH83" i="39"/>
  <c r="AB14" i="29" s="1"/>
  <c r="AB16" i="29" s="1"/>
  <c r="AG41" i="39"/>
  <c r="AG108" i="39" s="1"/>
  <c r="AC34" i="40"/>
  <c r="BW49" i="39"/>
  <c r="AH39" i="39"/>
  <c r="AH106" i="39" s="1"/>
  <c r="AD32" i="40"/>
  <c r="I16" i="14"/>
  <c r="K15" i="14"/>
  <c r="E16" i="2"/>
  <c r="M13" i="8"/>
  <c r="G12" i="35"/>
  <c r="AW76" i="39" l="1"/>
  <c r="AS60" i="40"/>
  <c r="AJ16" i="39"/>
  <c r="AI83" i="39"/>
  <c r="AC14" i="29" s="1"/>
  <c r="AC16" i="29" s="1"/>
  <c r="AW74" i="39"/>
  <c r="AS58" i="40"/>
  <c r="AK14" i="39"/>
  <c r="AJ81" i="39"/>
  <c r="BX49" i="39"/>
  <c r="AD34" i="40"/>
  <c r="AH41" i="39"/>
  <c r="AH108" i="39" s="1"/>
  <c r="AI39" i="39"/>
  <c r="AI106" i="39" s="1"/>
  <c r="AE32" i="40"/>
  <c r="H12" i="35"/>
  <c r="E17" i="2"/>
  <c r="M14" i="8"/>
  <c r="I17" i="14"/>
  <c r="K16" i="14"/>
  <c r="C61" i="1"/>
  <c r="C32" i="39" s="1"/>
  <c r="C60" i="1"/>
  <c r="C31" i="39" s="1"/>
  <c r="C59" i="1"/>
  <c r="C30" i="39" s="1"/>
  <c r="C58" i="1"/>
  <c r="C29" i="39" s="1"/>
  <c r="C57" i="1"/>
  <c r="C28" i="39" s="1"/>
  <c r="C56" i="1"/>
  <c r="C27" i="39" s="1"/>
  <c r="AN14" i="39" l="1"/>
  <c r="AK81" i="39"/>
  <c r="AK16" i="39"/>
  <c r="AJ83" i="39"/>
  <c r="AD14" i="29" s="1"/>
  <c r="AD16" i="29" s="1"/>
  <c r="AX76" i="39"/>
  <c r="AT60" i="40"/>
  <c r="AX74" i="39"/>
  <c r="AT58" i="40"/>
  <c r="BY49" i="39"/>
  <c r="AI41" i="39"/>
  <c r="AI108" i="39" s="1"/>
  <c r="AE34" i="40"/>
  <c r="AJ39" i="39"/>
  <c r="AJ106" i="39" s="1"/>
  <c r="AF32" i="40"/>
  <c r="I18" i="14"/>
  <c r="K17" i="14"/>
  <c r="E18" i="2"/>
  <c r="M15" i="8"/>
  <c r="I12" i="35"/>
  <c r="J52" i="1"/>
  <c r="C64" i="1"/>
  <c r="C35" i="39" s="1"/>
  <c r="CS32" i="39" l="1"/>
  <c r="DM32" i="39"/>
  <c r="BC32" i="39"/>
  <c r="DG67" i="39"/>
  <c r="AG32" i="39"/>
  <c r="EI32" i="39"/>
  <c r="AU67" i="39"/>
  <c r="BW32" i="39"/>
  <c r="EA67" i="39"/>
  <c r="AA67" i="39"/>
  <c r="BQ67" i="39"/>
  <c r="M32" i="39"/>
  <c r="CK67" i="39"/>
  <c r="AO14" i="39"/>
  <c r="AN81" i="39"/>
  <c r="AN16" i="39"/>
  <c r="AK83" i="39"/>
  <c r="AE14" i="29" s="1"/>
  <c r="AE16" i="29" s="1"/>
  <c r="H42" i="29" s="1"/>
  <c r="AL16" i="39"/>
  <c r="AL83" i="39" s="1"/>
  <c r="J11" i="5" s="1"/>
  <c r="AY74" i="39"/>
  <c r="AU58" i="40"/>
  <c r="AY76" i="39"/>
  <c r="AU60" i="40"/>
  <c r="AJ41" i="39"/>
  <c r="AJ108" i="39" s="1"/>
  <c r="AF34" i="40"/>
  <c r="BZ49" i="39"/>
  <c r="BA26" i="40"/>
  <c r="AK39" i="39"/>
  <c r="AK106" i="39" s="1"/>
  <c r="AG32" i="40"/>
  <c r="BA28" i="40"/>
  <c r="BA31" i="40"/>
  <c r="BA30" i="40"/>
  <c r="M16" i="8"/>
  <c r="E19" i="2"/>
  <c r="J12" i="35"/>
  <c r="I19" i="14"/>
  <c r="K18" i="14"/>
  <c r="CK99" i="39" l="1"/>
  <c r="CH51" i="40"/>
  <c r="CM51" i="40" s="1"/>
  <c r="FB51" i="40" s="1"/>
  <c r="CP67" i="39"/>
  <c r="CP99" i="39" s="1"/>
  <c r="AG99" i="39"/>
  <c r="AL32" i="39"/>
  <c r="AL99" i="39" s="1"/>
  <c r="AD25" i="40"/>
  <c r="AI25" i="40" s="1"/>
  <c r="EX25" i="40" s="1"/>
  <c r="J25" i="40"/>
  <c r="U25" i="40" s="1"/>
  <c r="EW25" i="40" s="1"/>
  <c r="X32" i="39"/>
  <c r="X99" i="39" s="1"/>
  <c r="M99" i="39"/>
  <c r="DR67" i="39"/>
  <c r="DG99" i="39"/>
  <c r="DD51" i="40"/>
  <c r="DO51" i="40" s="1"/>
  <c r="FD51" i="40" s="1"/>
  <c r="AZ67" i="39"/>
  <c r="AZ99" i="39" s="1"/>
  <c r="AU99" i="39"/>
  <c r="AR51" i="40"/>
  <c r="AW51" i="40" s="1"/>
  <c r="EY51" i="40" s="1"/>
  <c r="ET32" i="39"/>
  <c r="ET99" i="39" s="1"/>
  <c r="EI99" i="39"/>
  <c r="EF25" i="40"/>
  <c r="EQ25" i="40" s="1"/>
  <c r="FF25" i="40" s="1"/>
  <c r="CB67" i="39"/>
  <c r="BQ99" i="39"/>
  <c r="BN51" i="40"/>
  <c r="BY51" i="40" s="1"/>
  <c r="FA51" i="40" s="1"/>
  <c r="BC99" i="39"/>
  <c r="AZ25" i="40"/>
  <c r="BK25" i="40" s="1"/>
  <c r="EZ25" i="40" s="1"/>
  <c r="BN32" i="39"/>
  <c r="BN99" i="39" s="1"/>
  <c r="AL67" i="39"/>
  <c r="AA99" i="39"/>
  <c r="X51" i="40"/>
  <c r="AI51" i="40" s="1"/>
  <c r="EX51" i="40" s="1"/>
  <c r="DM99" i="39"/>
  <c r="DJ25" i="40"/>
  <c r="DO25" i="40" s="1"/>
  <c r="FD25" i="40" s="1"/>
  <c r="DR32" i="39"/>
  <c r="DX51" i="40"/>
  <c r="EC51" i="40" s="1"/>
  <c r="FE51" i="40" s="1"/>
  <c r="EA99" i="39"/>
  <c r="EF67" i="39"/>
  <c r="EF99" i="39" s="1"/>
  <c r="DD32" i="39"/>
  <c r="DD99" i="39" s="1"/>
  <c r="CP25" i="40"/>
  <c r="DA25" i="40" s="1"/>
  <c r="FC25" i="40" s="1"/>
  <c r="CS99" i="39"/>
  <c r="CB32" i="39"/>
  <c r="BT25" i="40"/>
  <c r="BY25" i="40" s="1"/>
  <c r="FA25" i="40" s="1"/>
  <c r="BW99" i="39"/>
  <c r="BB76" i="39"/>
  <c r="AV60" i="40"/>
  <c r="AW60" i="40" s="1"/>
  <c r="EY60" i="40" s="1"/>
  <c r="AZ76" i="39"/>
  <c r="AN83" i="39"/>
  <c r="AG16" i="29" s="1"/>
  <c r="AO16" i="39"/>
  <c r="BB74" i="39"/>
  <c r="AV58" i="40"/>
  <c r="AZ74" i="39"/>
  <c r="AO81" i="39"/>
  <c r="AP14" i="39"/>
  <c r="CA49" i="39"/>
  <c r="AK41" i="39"/>
  <c r="AK108" i="39" s="1"/>
  <c r="AG34" i="40"/>
  <c r="AN39" i="39"/>
  <c r="AN106" i="39" s="1"/>
  <c r="AH32" i="40"/>
  <c r="AI32" i="40" s="1"/>
  <c r="EX32" i="40" s="1"/>
  <c r="AL39" i="39"/>
  <c r="AL106" i="39" s="1"/>
  <c r="K19" i="14"/>
  <c r="I22" i="14"/>
  <c r="E20" i="2"/>
  <c r="M17" i="8"/>
  <c r="K12" i="35"/>
  <c r="P19" i="30"/>
  <c r="A4" i="14"/>
  <c r="A4" i="10"/>
  <c r="A4" i="11"/>
  <c r="A4" i="8"/>
  <c r="A4" i="9"/>
  <c r="A4" i="23"/>
  <c r="A4" i="5"/>
  <c r="A4" i="17"/>
  <c r="A4" i="30"/>
  <c r="A4" i="29"/>
  <c r="A4" i="37" s="1"/>
  <c r="A4" i="36" s="1"/>
  <c r="A4" i="28"/>
  <c r="A4" i="3"/>
  <c r="A4" i="35" s="1"/>
  <c r="A4" i="2"/>
  <c r="CB99" i="39" l="1"/>
  <c r="DR99" i="39"/>
  <c r="AP81" i="39"/>
  <c r="AZ14" i="39"/>
  <c r="AZ81" i="39" s="1"/>
  <c r="AQ14" i="39"/>
  <c r="AY58" i="40"/>
  <c r="BC74" i="39"/>
  <c r="AP16" i="39"/>
  <c r="AO83" i="39"/>
  <c r="AH14" i="29" s="1"/>
  <c r="AH16" i="29" s="1"/>
  <c r="AW58" i="40"/>
  <c r="AY60" i="40"/>
  <c r="BC76" i="39"/>
  <c r="AN41" i="39"/>
  <c r="AN108" i="39" s="1"/>
  <c r="AH34" i="40"/>
  <c r="AI34" i="40" s="1"/>
  <c r="EX34" i="40" s="1"/>
  <c r="AL41" i="39"/>
  <c r="AL108" i="39" s="1"/>
  <c r="CD49" i="39"/>
  <c r="CE49" i="39" s="1"/>
  <c r="CF49" i="39" s="1"/>
  <c r="AK32" i="40"/>
  <c r="AO39" i="39"/>
  <c r="AO106" i="39" s="1"/>
  <c r="CM29" i="40"/>
  <c r="FB29" i="40" s="1"/>
  <c r="L12" i="35"/>
  <c r="M18" i="8"/>
  <c r="E21" i="2"/>
  <c r="C51" i="1"/>
  <c r="C50" i="1"/>
  <c r="C21" i="39" s="1"/>
  <c r="C22" i="39" l="1"/>
  <c r="N50" i="28"/>
  <c r="S50" i="28"/>
  <c r="CR18" i="39"/>
  <c r="L18" i="39"/>
  <c r="DL18" i="39"/>
  <c r="BV18" i="39"/>
  <c r="CS18" i="39"/>
  <c r="CS85" i="39" s="1"/>
  <c r="DF53" i="39"/>
  <c r="CJ53" i="39"/>
  <c r="Z53" i="39"/>
  <c r="DM18" i="39"/>
  <c r="DM85" i="39" s="1"/>
  <c r="AF18" i="39"/>
  <c r="EH18" i="39"/>
  <c r="BB18" i="39"/>
  <c r="AT53" i="39"/>
  <c r="DZ53" i="39"/>
  <c r="BP53" i="39"/>
  <c r="M18" i="39"/>
  <c r="AG18" i="39"/>
  <c r="AU53" i="39"/>
  <c r="BW18" i="39"/>
  <c r="BW85" i="39" s="1"/>
  <c r="EI18" i="39"/>
  <c r="EI85" i="39" s="1"/>
  <c r="DG53" i="39"/>
  <c r="DG85" i="39" s="1"/>
  <c r="BQ53" i="39"/>
  <c r="CK53" i="39"/>
  <c r="CK85" i="39" s="1"/>
  <c r="AA53" i="39"/>
  <c r="BC18" i="39"/>
  <c r="BC85" i="39" s="1"/>
  <c r="EA53" i="39"/>
  <c r="EA85" i="39" s="1"/>
  <c r="AQ16" i="39"/>
  <c r="AP83" i="39"/>
  <c r="AI14" i="29" s="1"/>
  <c r="AI16" i="29" s="1"/>
  <c r="BD76" i="39"/>
  <c r="AZ60" i="40"/>
  <c r="EY58" i="40"/>
  <c r="BD74" i="39"/>
  <c r="AZ58" i="40"/>
  <c r="AQ81" i="39"/>
  <c r="AR14" i="39"/>
  <c r="AQ19" i="39"/>
  <c r="CF54" i="39"/>
  <c r="CP49" i="39"/>
  <c r="CG49" i="39"/>
  <c r="CH49" i="39" s="1"/>
  <c r="CI49" i="39" s="1"/>
  <c r="CJ49" i="39" s="1"/>
  <c r="CK49" i="39" s="1"/>
  <c r="CL49" i="39" s="1"/>
  <c r="AO41" i="39"/>
  <c r="AO108" i="39" s="1"/>
  <c r="AK34" i="40"/>
  <c r="AP39" i="39"/>
  <c r="AP106" i="39" s="1"/>
  <c r="AL32" i="40"/>
  <c r="S54" i="28"/>
  <c r="BB85" i="39" l="1"/>
  <c r="BN18" i="39"/>
  <c r="BN85" i="39" s="1"/>
  <c r="EH85" i="39"/>
  <c r="ET18" i="39"/>
  <c r="ET85" i="39" s="1"/>
  <c r="DL85" i="39"/>
  <c r="DR18" i="39"/>
  <c r="AU85" i="39"/>
  <c r="AF85" i="39"/>
  <c r="AL18" i="39"/>
  <c r="L22" i="39"/>
  <c r="L85" i="39"/>
  <c r="L27" i="39"/>
  <c r="L25" i="39"/>
  <c r="L21" i="39"/>
  <c r="X18" i="39"/>
  <c r="X85" i="39" s="1"/>
  <c r="L24" i="39"/>
  <c r="L28" i="39"/>
  <c r="L29" i="39"/>
  <c r="L26" i="39"/>
  <c r="L23" i="39"/>
  <c r="CR85" i="39"/>
  <c r="DD18" i="39"/>
  <c r="DD85" i="39" s="1"/>
  <c r="AT85" i="39"/>
  <c r="AZ53" i="39"/>
  <c r="AZ85" i="39" s="1"/>
  <c r="AA85" i="39"/>
  <c r="AA58" i="39"/>
  <c r="X42" i="40" s="1"/>
  <c r="AA61" i="39"/>
  <c r="X45" i="40" s="1"/>
  <c r="AA57" i="39"/>
  <c r="X41" i="40" s="1"/>
  <c r="AA63" i="39"/>
  <c r="X47" i="40" s="1"/>
  <c r="AA64" i="39"/>
  <c r="X48" i="40" s="1"/>
  <c r="AA59" i="39"/>
  <c r="X43" i="40" s="1"/>
  <c r="AA62" i="39"/>
  <c r="X46" i="40" s="1"/>
  <c r="AA56" i="39"/>
  <c r="X40" i="40" s="1"/>
  <c r="AA60" i="39"/>
  <c r="X44" i="40" s="1"/>
  <c r="M85" i="39"/>
  <c r="M25" i="39"/>
  <c r="M24" i="39"/>
  <c r="M28" i="39"/>
  <c r="M23" i="39"/>
  <c r="M22" i="39"/>
  <c r="M26" i="39"/>
  <c r="M21" i="39"/>
  <c r="M29" i="39"/>
  <c r="M27" i="39"/>
  <c r="Z85" i="39"/>
  <c r="Z60" i="39"/>
  <c r="Z63" i="39"/>
  <c r="Z56" i="39"/>
  <c r="Z59" i="39"/>
  <c r="Z58" i="39"/>
  <c r="Z64" i="39"/>
  <c r="Z57" i="39"/>
  <c r="Z62" i="39"/>
  <c r="Z61" i="39"/>
  <c r="AL53" i="39"/>
  <c r="BP85" i="39"/>
  <c r="CB53" i="39"/>
  <c r="CJ85" i="39"/>
  <c r="CP53" i="39"/>
  <c r="CP85" i="39" s="1"/>
  <c r="BV85" i="39"/>
  <c r="CB18" i="39"/>
  <c r="AG85" i="39"/>
  <c r="BQ85" i="39"/>
  <c r="DZ85" i="39"/>
  <c r="EF53" i="39"/>
  <c r="EF85" i="39" s="1"/>
  <c r="DF85" i="39"/>
  <c r="DR53" i="39"/>
  <c r="N19" i="39"/>
  <c r="AB54" i="39"/>
  <c r="AP54" i="39"/>
  <c r="BD54" i="39"/>
  <c r="BE54" i="39"/>
  <c r="BF54" i="39"/>
  <c r="BG54" i="39"/>
  <c r="BH54" i="39"/>
  <c r="BI54" i="39"/>
  <c r="BJ54" i="39"/>
  <c r="AB19" i="39"/>
  <c r="BK54" i="39"/>
  <c r="BL54" i="39"/>
  <c r="BM54" i="39"/>
  <c r="BR54" i="39"/>
  <c r="BS54" i="39"/>
  <c r="BT54" i="39"/>
  <c r="BU54" i="39"/>
  <c r="BV54" i="39"/>
  <c r="BW54" i="39"/>
  <c r="BX54" i="39"/>
  <c r="BY54" i="39"/>
  <c r="BZ54" i="39"/>
  <c r="AP19" i="39"/>
  <c r="CA54" i="39"/>
  <c r="AQ26" i="39"/>
  <c r="AQ29" i="39"/>
  <c r="AQ25" i="39"/>
  <c r="AQ21" i="39"/>
  <c r="AQ23" i="39"/>
  <c r="AQ28" i="39"/>
  <c r="AQ24" i="39"/>
  <c r="AQ27" i="39"/>
  <c r="AQ22" i="39"/>
  <c r="AR81" i="39"/>
  <c r="AS14" i="39"/>
  <c r="AR19" i="39"/>
  <c r="BE76" i="39"/>
  <c r="BA60" i="40"/>
  <c r="AR16" i="39"/>
  <c r="AQ83" i="39"/>
  <c r="AJ14" i="29" s="1"/>
  <c r="AJ16" i="29" s="1"/>
  <c r="BE74" i="39"/>
  <c r="BA58" i="40"/>
  <c r="AP41" i="39"/>
  <c r="AP108" i="39" s="1"/>
  <c r="AL34" i="40"/>
  <c r="CM49" i="39"/>
  <c r="CN49" i="39" s="1"/>
  <c r="CO49" i="39" s="1"/>
  <c r="CR49" i="39" s="1"/>
  <c r="CS49" i="39" s="1"/>
  <c r="CT49" i="39" s="1"/>
  <c r="CF60" i="39"/>
  <c r="CC44" i="40" s="1"/>
  <c r="CF56" i="39"/>
  <c r="CC40" i="40" s="1"/>
  <c r="CF62" i="39"/>
  <c r="CC46" i="40" s="1"/>
  <c r="CF58" i="39"/>
  <c r="CC42" i="40" s="1"/>
  <c r="CG54" i="39"/>
  <c r="CF61" i="39"/>
  <c r="CC45" i="40" s="1"/>
  <c r="CF57" i="39"/>
  <c r="CC41" i="40" s="1"/>
  <c r="CF59" i="39"/>
  <c r="CC43" i="40" s="1"/>
  <c r="CF64" i="39"/>
  <c r="CC48" i="40" s="1"/>
  <c r="CF63" i="39"/>
  <c r="CC47" i="40" s="1"/>
  <c r="AQ39" i="39"/>
  <c r="AQ106" i="39" s="1"/>
  <c r="AM32" i="40"/>
  <c r="E27" i="8"/>
  <c r="E31" i="8" s="1"/>
  <c r="E37" i="8" s="1"/>
  <c r="I27" i="11"/>
  <c r="Q11" i="2"/>
  <c r="G14" i="2"/>
  <c r="G15" i="2"/>
  <c r="G16" i="2"/>
  <c r="G17" i="2"/>
  <c r="G18" i="2"/>
  <c r="G19" i="2"/>
  <c r="G20" i="2"/>
  <c r="G21" i="2"/>
  <c r="G12" i="2"/>
  <c r="B13" i="2"/>
  <c r="Q12" i="2"/>
  <c r="I18" i="40" l="1"/>
  <c r="L92" i="39"/>
  <c r="BW63" i="39"/>
  <c r="BT47" i="40" s="1"/>
  <c r="BW56" i="39"/>
  <c r="BT40" i="40" s="1"/>
  <c r="BW61" i="39"/>
  <c r="BT45" i="40" s="1"/>
  <c r="BW60" i="39"/>
  <c r="BT44" i="40" s="1"/>
  <c r="BW59" i="39"/>
  <c r="BT43" i="40" s="1"/>
  <c r="BW64" i="39"/>
  <c r="BT48" i="40" s="1"/>
  <c r="BW58" i="39"/>
  <c r="BT42" i="40" s="1"/>
  <c r="BW57" i="39"/>
  <c r="BT41" i="40" s="1"/>
  <c r="BW62" i="39"/>
  <c r="BT46" i="40" s="1"/>
  <c r="M94" i="39"/>
  <c r="J20" i="40"/>
  <c r="BV58" i="39"/>
  <c r="BS42" i="40" s="1"/>
  <c r="BV56" i="39"/>
  <c r="BS40" i="40" s="1"/>
  <c r="BV62" i="39"/>
  <c r="BS46" i="40" s="1"/>
  <c r="BV61" i="39"/>
  <c r="BS45" i="40" s="1"/>
  <c r="BV64" i="39"/>
  <c r="BS48" i="40" s="1"/>
  <c r="BV60" i="39"/>
  <c r="BS44" i="40" s="1"/>
  <c r="BV63" i="39"/>
  <c r="BS47" i="40" s="1"/>
  <c r="BV57" i="39"/>
  <c r="BS41" i="40" s="1"/>
  <c r="BV59" i="39"/>
  <c r="BS43" i="40" s="1"/>
  <c r="AB26" i="39"/>
  <c r="AB25" i="39"/>
  <c r="AC19" i="39"/>
  <c r="AB29" i="39"/>
  <c r="AB86" i="39"/>
  <c r="AB28" i="39"/>
  <c r="AB27" i="39"/>
  <c r="AB21" i="39"/>
  <c r="AB22" i="39"/>
  <c r="AB23" i="39"/>
  <c r="AB24" i="39"/>
  <c r="W48" i="40"/>
  <c r="J22" i="40"/>
  <c r="M96" i="39"/>
  <c r="W42" i="40"/>
  <c r="M88" i="39"/>
  <c r="J14" i="40"/>
  <c r="I19" i="40"/>
  <c r="L93" i="39"/>
  <c r="BI61" i="39"/>
  <c r="BF45" i="40" s="1"/>
  <c r="BI64" i="39"/>
  <c r="BF48" i="40" s="1"/>
  <c r="BI62" i="39"/>
  <c r="BF46" i="40" s="1"/>
  <c r="BI57" i="39"/>
  <c r="BF41" i="40" s="1"/>
  <c r="BI59" i="39"/>
  <c r="BF43" i="40" s="1"/>
  <c r="BI63" i="39"/>
  <c r="BF47" i="40" s="1"/>
  <c r="BI58" i="39"/>
  <c r="BF42" i="40" s="1"/>
  <c r="BI60" i="39"/>
  <c r="BF44" i="40" s="1"/>
  <c r="BI56" i="39"/>
  <c r="BF40" i="40" s="1"/>
  <c r="W43" i="40"/>
  <c r="J19" i="40"/>
  <c r="M93" i="39"/>
  <c r="I22" i="40"/>
  <c r="L96" i="39"/>
  <c r="I15" i="40"/>
  <c r="L89" i="39"/>
  <c r="AP27" i="39"/>
  <c r="AP26" i="39"/>
  <c r="AP28" i="39"/>
  <c r="AP24" i="39"/>
  <c r="AP29" i="39"/>
  <c r="AP25" i="39"/>
  <c r="AP86" i="39"/>
  <c r="AP21" i="39"/>
  <c r="AP23" i="39"/>
  <c r="AP22" i="39"/>
  <c r="BS61" i="39"/>
  <c r="BP45" i="40" s="1"/>
  <c r="BS56" i="39"/>
  <c r="BP40" i="40" s="1"/>
  <c r="BS63" i="39"/>
  <c r="BP47" i="40" s="1"/>
  <c r="BS64" i="39"/>
  <c r="BP48" i="40" s="1"/>
  <c r="BS57" i="39"/>
  <c r="BP41" i="40" s="1"/>
  <c r="BS60" i="39"/>
  <c r="BP44" i="40" s="1"/>
  <c r="BS62" i="39"/>
  <c r="BP46" i="40" s="1"/>
  <c r="BS59" i="39"/>
  <c r="BP43" i="40" s="1"/>
  <c r="BS58" i="39"/>
  <c r="BP42" i="40" s="1"/>
  <c r="BH63" i="39"/>
  <c r="BE47" i="40" s="1"/>
  <c r="BH59" i="39"/>
  <c r="BE43" i="40" s="1"/>
  <c r="BH61" i="39"/>
  <c r="BE45" i="40" s="1"/>
  <c r="BH57" i="39"/>
  <c r="BE41" i="40" s="1"/>
  <c r="BH56" i="39"/>
  <c r="BE40" i="40" s="1"/>
  <c r="BH64" i="39"/>
  <c r="BE48" i="40" s="1"/>
  <c r="BH58" i="39"/>
  <c r="BE42" i="40" s="1"/>
  <c r="BH60" i="39"/>
  <c r="BE44" i="40" s="1"/>
  <c r="BH62" i="39"/>
  <c r="BE46" i="40" s="1"/>
  <c r="DR85" i="39"/>
  <c r="W40" i="40"/>
  <c r="J15" i="40"/>
  <c r="M89" i="39"/>
  <c r="I21" i="40"/>
  <c r="L95" i="39"/>
  <c r="BU64" i="39"/>
  <c r="BR48" i="40" s="1"/>
  <c r="BU56" i="39"/>
  <c r="BR40" i="40" s="1"/>
  <c r="BU59" i="39"/>
  <c r="BR43" i="40" s="1"/>
  <c r="BU62" i="39"/>
  <c r="BR46" i="40" s="1"/>
  <c r="BU58" i="39"/>
  <c r="BR42" i="40" s="1"/>
  <c r="BU57" i="39"/>
  <c r="BR41" i="40" s="1"/>
  <c r="BU60" i="39"/>
  <c r="BR44" i="40" s="1"/>
  <c r="BU63" i="39"/>
  <c r="BR47" i="40" s="1"/>
  <c r="BU61" i="39"/>
  <c r="BR45" i="40" s="1"/>
  <c r="BJ61" i="39"/>
  <c r="BG45" i="40" s="1"/>
  <c r="BJ63" i="39"/>
  <c r="BG47" i="40" s="1"/>
  <c r="BJ57" i="39"/>
  <c r="BG41" i="40" s="1"/>
  <c r="BJ64" i="39"/>
  <c r="BG48" i="40" s="1"/>
  <c r="BJ60" i="39"/>
  <c r="BG44" i="40" s="1"/>
  <c r="BJ59" i="39"/>
  <c r="BG43" i="40" s="1"/>
  <c r="BJ56" i="39"/>
  <c r="BG40" i="40" s="1"/>
  <c r="BJ62" i="39"/>
  <c r="BG46" i="40" s="1"/>
  <c r="BJ58" i="39"/>
  <c r="BG42" i="40" s="1"/>
  <c r="AC54" i="39"/>
  <c r="AB59" i="39"/>
  <c r="Y43" i="40" s="1"/>
  <c r="AB57" i="39"/>
  <c r="Y41" i="40" s="1"/>
  <c r="AB63" i="39"/>
  <c r="Y47" i="40" s="1"/>
  <c r="AB60" i="39"/>
  <c r="Y44" i="40" s="1"/>
  <c r="AB58" i="39"/>
  <c r="Y42" i="40" s="1"/>
  <c r="AB56" i="39"/>
  <c r="Y40" i="40" s="1"/>
  <c r="AB62" i="39"/>
  <c r="Y46" i="40" s="1"/>
  <c r="AB64" i="39"/>
  <c r="Y48" i="40" s="1"/>
  <c r="AB61" i="39"/>
  <c r="Y45" i="40" s="1"/>
  <c r="BK64" i="39"/>
  <c r="BH48" i="40" s="1"/>
  <c r="BK57" i="39"/>
  <c r="BH41" i="40" s="1"/>
  <c r="BK63" i="39"/>
  <c r="BH47" i="40" s="1"/>
  <c r="BK60" i="39"/>
  <c r="BH44" i="40" s="1"/>
  <c r="BK59" i="39"/>
  <c r="BH43" i="40" s="1"/>
  <c r="BK56" i="39"/>
  <c r="BH40" i="40" s="1"/>
  <c r="BK61" i="39"/>
  <c r="BH45" i="40" s="1"/>
  <c r="BK62" i="39"/>
  <c r="BH46" i="40" s="1"/>
  <c r="BK58" i="39"/>
  <c r="BH42" i="40" s="1"/>
  <c r="W41" i="40"/>
  <c r="AP58" i="39"/>
  <c r="AM42" i="40" s="1"/>
  <c r="AP60" i="39"/>
  <c r="AM44" i="40" s="1"/>
  <c r="AP61" i="39"/>
  <c r="AM45" i="40" s="1"/>
  <c r="AP63" i="39"/>
  <c r="AM47" i="40" s="1"/>
  <c r="AP57" i="39"/>
  <c r="AM41" i="40" s="1"/>
  <c r="AP59" i="39"/>
  <c r="AM43" i="40" s="1"/>
  <c r="AP64" i="39"/>
  <c r="AM48" i="40" s="1"/>
  <c r="AP56" i="39"/>
  <c r="AM40" i="40" s="1"/>
  <c r="AQ54" i="39"/>
  <c r="AP62" i="39"/>
  <c r="AM46" i="40" s="1"/>
  <c r="I20" i="40"/>
  <c r="L94" i="39"/>
  <c r="N28" i="39"/>
  <c r="N25" i="39"/>
  <c r="N21" i="39"/>
  <c r="N23" i="39"/>
  <c r="N27" i="39"/>
  <c r="O19" i="39"/>
  <c r="N29" i="39"/>
  <c r="N86" i="39"/>
  <c r="N22" i="39"/>
  <c r="N24" i="39"/>
  <c r="N26" i="39"/>
  <c r="X61" i="40"/>
  <c r="BZ62" i="39"/>
  <c r="BW46" i="40" s="1"/>
  <c r="BZ56" i="39"/>
  <c r="BW40" i="40" s="1"/>
  <c r="BZ64" i="39"/>
  <c r="BW48" i="40" s="1"/>
  <c r="BZ60" i="39"/>
  <c r="BW44" i="40" s="1"/>
  <c r="BZ61" i="39"/>
  <c r="BW45" i="40" s="1"/>
  <c r="BZ57" i="39"/>
  <c r="BW41" i="40" s="1"/>
  <c r="BZ58" i="39"/>
  <c r="BW42" i="40" s="1"/>
  <c r="BZ59" i="39"/>
  <c r="BW43" i="40" s="1"/>
  <c r="BZ63" i="39"/>
  <c r="BW47" i="40" s="1"/>
  <c r="BR61" i="39"/>
  <c r="BO45" i="40" s="1"/>
  <c r="BR60" i="39"/>
  <c r="BO44" i="40" s="1"/>
  <c r="BR62" i="39"/>
  <c r="BO46" i="40" s="1"/>
  <c r="BR57" i="39"/>
  <c r="BO41" i="40" s="1"/>
  <c r="BR58" i="39"/>
  <c r="BO42" i="40" s="1"/>
  <c r="BR59" i="39"/>
  <c r="BO43" i="40" s="1"/>
  <c r="BR64" i="39"/>
  <c r="BO48" i="40" s="1"/>
  <c r="BR56" i="39"/>
  <c r="BO40" i="40" s="1"/>
  <c r="BR63" i="39"/>
  <c r="BO47" i="40" s="1"/>
  <c r="BG61" i="39"/>
  <c r="BD45" i="40" s="1"/>
  <c r="BG59" i="39"/>
  <c r="BD43" i="40" s="1"/>
  <c r="BG58" i="39"/>
  <c r="BD42" i="40" s="1"/>
  <c r="BG62" i="39"/>
  <c r="BD46" i="40" s="1"/>
  <c r="BG57" i="39"/>
  <c r="BD41" i="40" s="1"/>
  <c r="BG63" i="39"/>
  <c r="BD47" i="40" s="1"/>
  <c r="BG64" i="39"/>
  <c r="BD48" i="40" s="1"/>
  <c r="BG60" i="39"/>
  <c r="BD44" i="40" s="1"/>
  <c r="BG56" i="39"/>
  <c r="BD40" i="40" s="1"/>
  <c r="CB85" i="39"/>
  <c r="W47" i="40"/>
  <c r="M90" i="39"/>
  <c r="J16" i="40"/>
  <c r="I17" i="40"/>
  <c r="L91" i="39"/>
  <c r="AL85" i="39"/>
  <c r="BY61" i="39"/>
  <c r="BV45" i="40" s="1"/>
  <c r="BY58" i="39"/>
  <c r="BV42" i="40" s="1"/>
  <c r="BY64" i="39"/>
  <c r="BV48" i="40" s="1"/>
  <c r="BY56" i="39"/>
  <c r="BV40" i="40" s="1"/>
  <c r="BY60" i="39"/>
  <c r="BV44" i="40" s="1"/>
  <c r="BY63" i="39"/>
  <c r="BV47" i="40" s="1"/>
  <c r="BY62" i="39"/>
  <c r="BV46" i="40" s="1"/>
  <c r="BY57" i="39"/>
  <c r="BV41" i="40" s="1"/>
  <c r="BY59" i="39"/>
  <c r="BV43" i="40" s="1"/>
  <c r="BM64" i="39"/>
  <c r="BJ48" i="40" s="1"/>
  <c r="BP54" i="39"/>
  <c r="BM62" i="39"/>
  <c r="BJ46" i="40" s="1"/>
  <c r="BM58" i="39"/>
  <c r="BJ42" i="40" s="1"/>
  <c r="BM57" i="39"/>
  <c r="BJ41" i="40" s="1"/>
  <c r="BM56" i="39"/>
  <c r="BJ40" i="40" s="1"/>
  <c r="BM60" i="39"/>
  <c r="BJ44" i="40" s="1"/>
  <c r="BM63" i="39"/>
  <c r="BJ47" i="40" s="1"/>
  <c r="BM59" i="39"/>
  <c r="BJ43" i="40" s="1"/>
  <c r="BM61" i="39"/>
  <c r="BJ45" i="40" s="1"/>
  <c r="BF58" i="39"/>
  <c r="BC42" i="40" s="1"/>
  <c r="BF56" i="39"/>
  <c r="BC40" i="40" s="1"/>
  <c r="BF61" i="39"/>
  <c r="BC45" i="40" s="1"/>
  <c r="BF64" i="39"/>
  <c r="BC48" i="40" s="1"/>
  <c r="BF57" i="39"/>
  <c r="BC41" i="40" s="1"/>
  <c r="BF62" i="39"/>
  <c r="BC46" i="40" s="1"/>
  <c r="BF60" i="39"/>
  <c r="BC44" i="40" s="1"/>
  <c r="BF59" i="39"/>
  <c r="BC43" i="40" s="1"/>
  <c r="BF63" i="39"/>
  <c r="BC47" i="40" s="1"/>
  <c r="W45" i="40"/>
  <c r="W44" i="40"/>
  <c r="J21" i="40"/>
  <c r="M95" i="39"/>
  <c r="BD57" i="39"/>
  <c r="BA41" i="40" s="1"/>
  <c r="BD60" i="39"/>
  <c r="BA44" i="40" s="1"/>
  <c r="BD58" i="39"/>
  <c r="BA42" i="40" s="1"/>
  <c r="BD56" i="39"/>
  <c r="BA40" i="40" s="1"/>
  <c r="BA61" i="40" s="1"/>
  <c r="BD59" i="39"/>
  <c r="BA43" i="40" s="1"/>
  <c r="BD63" i="39"/>
  <c r="BA47" i="40" s="1"/>
  <c r="BD62" i="39"/>
  <c r="BA46" i="40" s="1"/>
  <c r="BD61" i="39"/>
  <c r="BA45" i="40" s="1"/>
  <c r="BD64" i="39"/>
  <c r="BA48" i="40" s="1"/>
  <c r="M92" i="39"/>
  <c r="J18" i="40"/>
  <c r="I16" i="40"/>
  <c r="L90" i="39"/>
  <c r="CA60" i="39"/>
  <c r="BX44" i="40" s="1"/>
  <c r="CA56" i="39"/>
  <c r="BX40" i="40" s="1"/>
  <c r="CA62" i="39"/>
  <c r="BX46" i="40" s="1"/>
  <c r="CA64" i="39"/>
  <c r="BX48" i="40" s="1"/>
  <c r="CA57" i="39"/>
  <c r="BX41" i="40" s="1"/>
  <c r="CA61" i="39"/>
  <c r="BX45" i="40" s="1"/>
  <c r="CA58" i="39"/>
  <c r="BX42" i="40" s="1"/>
  <c r="CD54" i="39"/>
  <c r="CA59" i="39"/>
  <c r="BX43" i="40" s="1"/>
  <c r="CA63" i="39"/>
  <c r="BX47" i="40" s="1"/>
  <c r="BT59" i="39"/>
  <c r="BQ43" i="40" s="1"/>
  <c r="BT61" i="39"/>
  <c r="BQ45" i="40" s="1"/>
  <c r="BT64" i="39"/>
  <c r="BQ48" i="40" s="1"/>
  <c r="BT63" i="39"/>
  <c r="BQ47" i="40" s="1"/>
  <c r="BT62" i="39"/>
  <c r="BQ46" i="40" s="1"/>
  <c r="BT57" i="39"/>
  <c r="BQ41" i="40" s="1"/>
  <c r="BT58" i="39"/>
  <c r="BQ42" i="40" s="1"/>
  <c r="BT56" i="39"/>
  <c r="BQ40" i="40" s="1"/>
  <c r="BT60" i="39"/>
  <c r="BQ44" i="40" s="1"/>
  <c r="BX63" i="39"/>
  <c r="BU47" i="40" s="1"/>
  <c r="BX61" i="39"/>
  <c r="BU45" i="40" s="1"/>
  <c r="BX57" i="39"/>
  <c r="BU41" i="40" s="1"/>
  <c r="BX58" i="39"/>
  <c r="BU42" i="40" s="1"/>
  <c r="BX56" i="39"/>
  <c r="BU40" i="40" s="1"/>
  <c r="BX62" i="39"/>
  <c r="BU46" i="40" s="1"/>
  <c r="BX64" i="39"/>
  <c r="BU48" i="40" s="1"/>
  <c r="BX60" i="39"/>
  <c r="BU44" i="40" s="1"/>
  <c r="BX59" i="39"/>
  <c r="BU43" i="40" s="1"/>
  <c r="BL57" i="39"/>
  <c r="BI41" i="40" s="1"/>
  <c r="BL60" i="39"/>
  <c r="BI44" i="40" s="1"/>
  <c r="BL63" i="39"/>
  <c r="BI47" i="40" s="1"/>
  <c r="BL58" i="39"/>
  <c r="BI42" i="40" s="1"/>
  <c r="BL64" i="39"/>
  <c r="BI48" i="40" s="1"/>
  <c r="BL56" i="39"/>
  <c r="BI40" i="40" s="1"/>
  <c r="BL61" i="39"/>
  <c r="BI45" i="40" s="1"/>
  <c r="BL62" i="39"/>
  <c r="BI46" i="40" s="1"/>
  <c r="BL59" i="39"/>
  <c r="BI43" i="40" s="1"/>
  <c r="BE57" i="39"/>
  <c r="BB41" i="40" s="1"/>
  <c r="BE58" i="39"/>
  <c r="BB42" i="40" s="1"/>
  <c r="BE64" i="39"/>
  <c r="BB48" i="40" s="1"/>
  <c r="BE63" i="39"/>
  <c r="BB47" i="40" s="1"/>
  <c r="BE61" i="39"/>
  <c r="BB45" i="40" s="1"/>
  <c r="BE62" i="39"/>
  <c r="BB46" i="40" s="1"/>
  <c r="BE56" i="39"/>
  <c r="BB40" i="40" s="1"/>
  <c r="BE60" i="39"/>
  <c r="BB44" i="40" s="1"/>
  <c r="BE59" i="39"/>
  <c r="BB43" i="40" s="1"/>
  <c r="W46" i="40"/>
  <c r="J17" i="40"/>
  <c r="M91" i="39"/>
  <c r="I14" i="40"/>
  <c r="L88" i="39"/>
  <c r="AS16" i="39"/>
  <c r="AR83" i="39"/>
  <c r="AK14" i="29" s="1"/>
  <c r="AK16" i="29" s="1"/>
  <c r="AN21" i="40"/>
  <c r="AN22" i="40"/>
  <c r="AN15" i="40"/>
  <c r="AN16" i="40"/>
  <c r="AN19" i="40"/>
  <c r="BF74" i="39"/>
  <c r="BB58" i="40"/>
  <c r="AR27" i="39"/>
  <c r="AR23" i="39"/>
  <c r="AR25" i="39"/>
  <c r="AR28" i="39"/>
  <c r="AR26" i="39"/>
  <c r="AR22" i="39"/>
  <c r="AR29" i="39"/>
  <c r="AR21" i="39"/>
  <c r="AR24" i="39"/>
  <c r="AN20" i="40"/>
  <c r="AN14" i="40"/>
  <c r="BF76" i="39"/>
  <c r="BB60" i="40"/>
  <c r="AS81" i="39"/>
  <c r="AS19" i="39"/>
  <c r="AT14" i="39"/>
  <c r="AN17" i="40"/>
  <c r="AN18" i="40"/>
  <c r="CG60" i="39"/>
  <c r="CD44" i="40" s="1"/>
  <c r="CG59" i="39"/>
  <c r="CD43" i="40" s="1"/>
  <c r="CG57" i="39"/>
  <c r="CD41" i="40" s="1"/>
  <c r="CG56" i="39"/>
  <c r="CD40" i="40" s="1"/>
  <c r="CG63" i="39"/>
  <c r="CD47" i="40" s="1"/>
  <c r="CH54" i="39"/>
  <c r="CG61" i="39"/>
  <c r="CD45" i="40" s="1"/>
  <c r="CG62" i="39"/>
  <c r="CD46" i="40" s="1"/>
  <c r="CG64" i="39"/>
  <c r="CD48" i="40" s="1"/>
  <c r="CG58" i="39"/>
  <c r="CD42" i="40" s="1"/>
  <c r="CU49" i="39"/>
  <c r="CV49" i="39" s="1"/>
  <c r="CW49" i="39" s="1"/>
  <c r="CX49" i="39" s="1"/>
  <c r="CY49" i="39" s="1"/>
  <c r="CZ49" i="39" s="1"/>
  <c r="DA49" i="39" s="1"/>
  <c r="DB49" i="39" s="1"/>
  <c r="DC49" i="39" s="1"/>
  <c r="DF49" i="39" s="1"/>
  <c r="DG49" i="39" s="1"/>
  <c r="DH49" i="39" s="1"/>
  <c r="DD49" i="39"/>
  <c r="CT54" i="39"/>
  <c r="AQ41" i="39"/>
  <c r="AQ108" i="39" s="1"/>
  <c r="AM34" i="40"/>
  <c r="AR39" i="39"/>
  <c r="AR106" i="39" s="1"/>
  <c r="AN32" i="40"/>
  <c r="B14" i="2"/>
  <c r="Q14" i="2" s="1"/>
  <c r="M41" i="2"/>
  <c r="E33" i="8"/>
  <c r="E39" i="8" s="1"/>
  <c r="E32" i="8"/>
  <c r="E38" i="8" s="1"/>
  <c r="Q13" i="2"/>
  <c r="AM15" i="40" l="1"/>
  <c r="AP89" i="39"/>
  <c r="AM19" i="40"/>
  <c r="AP93" i="39"/>
  <c r="Y16" i="40"/>
  <c r="AB90" i="39"/>
  <c r="Y18" i="40"/>
  <c r="AB92" i="39"/>
  <c r="K22" i="40"/>
  <c r="N96" i="39"/>
  <c r="AM16" i="40"/>
  <c r="AM35" i="40" s="1"/>
  <c r="AM63" i="40" s="1"/>
  <c r="AI19" i="29" s="1"/>
  <c r="AP90" i="39"/>
  <c r="AM20" i="40"/>
  <c r="AP94" i="39"/>
  <c r="AB89" i="39"/>
  <c r="Y15" i="40"/>
  <c r="Y19" i="40"/>
  <c r="AB93" i="39"/>
  <c r="AM14" i="40"/>
  <c r="AP88" i="39"/>
  <c r="Y14" i="40"/>
  <c r="AB88" i="39"/>
  <c r="K20" i="40"/>
  <c r="N94" i="39"/>
  <c r="AC62" i="39"/>
  <c r="AC59" i="39"/>
  <c r="Z43" i="40" s="1"/>
  <c r="AC63" i="39"/>
  <c r="Z47" i="40" s="1"/>
  <c r="AC56" i="39"/>
  <c r="Z40" i="40" s="1"/>
  <c r="AC61" i="39"/>
  <c r="AC58" i="39"/>
  <c r="Z42" i="40" s="1"/>
  <c r="AC60" i="39"/>
  <c r="AC57" i="39"/>
  <c r="AD54" i="39"/>
  <c r="AC64" i="39"/>
  <c r="AB94" i="39"/>
  <c r="Y20" i="40"/>
  <c r="O86" i="39"/>
  <c r="O24" i="39"/>
  <c r="O23" i="39"/>
  <c r="O27" i="39"/>
  <c r="O28" i="39"/>
  <c r="O26" i="39"/>
  <c r="O22" i="39"/>
  <c r="P19" i="39"/>
  <c r="O29" i="39"/>
  <c r="O25" i="39"/>
  <c r="O21" i="39"/>
  <c r="BQ54" i="39"/>
  <c r="BP61" i="39"/>
  <c r="BP59" i="39"/>
  <c r="BP63" i="39"/>
  <c r="BP60" i="39"/>
  <c r="BP57" i="39"/>
  <c r="BP64" i="39"/>
  <c r="BP58" i="39"/>
  <c r="BP56" i="39"/>
  <c r="BP62" i="39"/>
  <c r="K16" i="40"/>
  <c r="N90" i="39"/>
  <c r="AP92" i="39"/>
  <c r="AM18" i="40"/>
  <c r="Y21" i="40"/>
  <c r="AB95" i="39"/>
  <c r="K19" i="40"/>
  <c r="N93" i="39"/>
  <c r="K14" i="40"/>
  <c r="N88" i="39"/>
  <c r="AQ60" i="39"/>
  <c r="AR54" i="39"/>
  <c r="AQ58" i="39"/>
  <c r="AQ59" i="39"/>
  <c r="AQ64" i="39"/>
  <c r="AQ62" i="39"/>
  <c r="AQ56" i="39"/>
  <c r="AQ61" i="39"/>
  <c r="AQ57" i="39"/>
  <c r="AQ63" i="39"/>
  <c r="AQ86" i="39"/>
  <c r="AM22" i="40"/>
  <c r="AP96" i="39"/>
  <c r="CD57" i="39"/>
  <c r="CA41" i="40" s="1"/>
  <c r="CD56" i="39"/>
  <c r="CA40" i="40" s="1"/>
  <c r="CE54" i="39"/>
  <c r="CD63" i="39"/>
  <c r="CA47" i="40" s="1"/>
  <c r="CD61" i="39"/>
  <c r="CA45" i="40" s="1"/>
  <c r="CD59" i="39"/>
  <c r="CA43" i="40" s="1"/>
  <c r="CD64" i="39"/>
  <c r="CA48" i="40" s="1"/>
  <c r="CD62" i="39"/>
  <c r="CA46" i="40" s="1"/>
  <c r="CD60" i="39"/>
  <c r="CA44" i="40" s="1"/>
  <c r="CD58" i="39"/>
  <c r="CA42" i="40" s="1"/>
  <c r="K17" i="40"/>
  <c r="N91" i="39"/>
  <c r="K18" i="40"/>
  <c r="N92" i="39"/>
  <c r="AM61" i="40"/>
  <c r="AM17" i="40"/>
  <c r="AP91" i="39"/>
  <c r="Y22" i="40"/>
  <c r="AB96" i="39"/>
  <c r="K15" i="40"/>
  <c r="N89" i="39"/>
  <c r="K21" i="40"/>
  <c r="N95" i="39"/>
  <c r="AP95" i="39"/>
  <c r="AM21" i="40"/>
  <c r="J35" i="40"/>
  <c r="J63" i="40" s="1"/>
  <c r="H19" i="29" s="1"/>
  <c r="Y17" i="40"/>
  <c r="AB91" i="39"/>
  <c r="AC27" i="39"/>
  <c r="AC86" i="39"/>
  <c r="AC23" i="39"/>
  <c r="AC25" i="39"/>
  <c r="AC21" i="39"/>
  <c r="AC24" i="39"/>
  <c r="AC26" i="39"/>
  <c r="AC22" i="39"/>
  <c r="AC29" i="39"/>
  <c r="AD19" i="39"/>
  <c r="AC28" i="39"/>
  <c r="AO14" i="40"/>
  <c r="AO21" i="40"/>
  <c r="AT81" i="39"/>
  <c r="AU14" i="39"/>
  <c r="AT19" i="39"/>
  <c r="BG76" i="39"/>
  <c r="BC60" i="40"/>
  <c r="AO22" i="40"/>
  <c r="AO18" i="40"/>
  <c r="AS26" i="39"/>
  <c r="AS25" i="39"/>
  <c r="AS28" i="39"/>
  <c r="AS22" i="39"/>
  <c r="AS21" i="39"/>
  <c r="AS24" i="39"/>
  <c r="AS27" i="39"/>
  <c r="AS29" i="39"/>
  <c r="AS23" i="39"/>
  <c r="AO15" i="40"/>
  <c r="AO16" i="40"/>
  <c r="BB61" i="40"/>
  <c r="AO17" i="40"/>
  <c r="AO19" i="40"/>
  <c r="AO20" i="40"/>
  <c r="BG74" i="39"/>
  <c r="BC58" i="40"/>
  <c r="AT16" i="39"/>
  <c r="AS83" i="39"/>
  <c r="AL14" i="29" s="1"/>
  <c r="AL16" i="29" s="1"/>
  <c r="DR49" i="39"/>
  <c r="DI49" i="39"/>
  <c r="AN34" i="40"/>
  <c r="AN35" i="40" s="1"/>
  <c r="AR41" i="39"/>
  <c r="AR108" i="39" s="1"/>
  <c r="CH62" i="39"/>
  <c r="CE46" i="40" s="1"/>
  <c r="CH59" i="39"/>
  <c r="CE43" i="40" s="1"/>
  <c r="CH64" i="39"/>
  <c r="CE48" i="40" s="1"/>
  <c r="CH61" i="39"/>
  <c r="CE45" i="40" s="1"/>
  <c r="CH58" i="39"/>
  <c r="CE42" i="40" s="1"/>
  <c r="CI54" i="39"/>
  <c r="CH60" i="39"/>
  <c r="CE44" i="40" s="1"/>
  <c r="CH56" i="39"/>
  <c r="CE40" i="40" s="1"/>
  <c r="CH57" i="39"/>
  <c r="CE41" i="40" s="1"/>
  <c r="CH63" i="39"/>
  <c r="CE47" i="40" s="1"/>
  <c r="CT64" i="39"/>
  <c r="CQ48" i="40" s="1"/>
  <c r="CT57" i="39"/>
  <c r="CQ41" i="40" s="1"/>
  <c r="CU54" i="39"/>
  <c r="CT60" i="39"/>
  <c r="CQ44" i="40" s="1"/>
  <c r="CT56" i="39"/>
  <c r="CQ40" i="40" s="1"/>
  <c r="CT62" i="39"/>
  <c r="CQ46" i="40" s="1"/>
  <c r="CT63" i="39"/>
  <c r="CQ47" i="40" s="1"/>
  <c r="CT59" i="39"/>
  <c r="CQ43" i="40" s="1"/>
  <c r="CT61" i="39"/>
  <c r="CQ45" i="40" s="1"/>
  <c r="CT58" i="39"/>
  <c r="CQ42" i="40" s="1"/>
  <c r="AS39" i="39"/>
  <c r="AS106" i="39" s="1"/>
  <c r="AO32" i="40"/>
  <c r="B15" i="2"/>
  <c r="M42" i="2"/>
  <c r="BM46" i="40" l="1"/>
  <c r="BM45" i="40"/>
  <c r="BY45" i="40" s="1"/>
  <c r="FA45" i="40" s="1"/>
  <c r="AC88" i="39"/>
  <c r="Z14" i="40"/>
  <c r="AC95" i="39"/>
  <c r="Z21" i="40"/>
  <c r="Z16" i="40"/>
  <c r="AC90" i="39"/>
  <c r="AN45" i="40"/>
  <c r="AQ93" i="39"/>
  <c r="BM41" i="40"/>
  <c r="CB57" i="39"/>
  <c r="Z15" i="40"/>
  <c r="AC89" i="39"/>
  <c r="AN48" i="40"/>
  <c r="AQ96" i="39"/>
  <c r="BM43" i="40"/>
  <c r="L18" i="40"/>
  <c r="O92" i="39"/>
  <c r="L17" i="40"/>
  <c r="O91" i="39"/>
  <c r="Z48" i="40"/>
  <c r="AN43" i="40"/>
  <c r="AQ91" i="39"/>
  <c r="O96" i="39"/>
  <c r="L22" i="40"/>
  <c r="BQ61" i="39"/>
  <c r="BN45" i="40" s="1"/>
  <c r="BQ60" i="39"/>
  <c r="BN44" i="40" s="1"/>
  <c r="BQ56" i="39"/>
  <c r="BN40" i="40" s="1"/>
  <c r="BQ64" i="39"/>
  <c r="BN48" i="40" s="1"/>
  <c r="BQ63" i="39"/>
  <c r="BN47" i="40" s="1"/>
  <c r="BQ57" i="39"/>
  <c r="BN41" i="40" s="1"/>
  <c r="BQ59" i="39"/>
  <c r="BN43" i="40" s="1"/>
  <c r="BQ62" i="39"/>
  <c r="BN46" i="40" s="1"/>
  <c r="BQ58" i="39"/>
  <c r="BN42" i="40" s="1"/>
  <c r="CB54" i="39"/>
  <c r="P29" i="39"/>
  <c r="P22" i="39"/>
  <c r="P25" i="39"/>
  <c r="P27" i="39"/>
  <c r="P26" i="39"/>
  <c r="Q19" i="39"/>
  <c r="P86" i="39"/>
  <c r="P28" i="39"/>
  <c r="P21" i="39"/>
  <c r="P23" i="39"/>
  <c r="P24" i="39"/>
  <c r="Z44" i="40"/>
  <c r="BC61" i="40"/>
  <c r="Z18" i="40"/>
  <c r="AC92" i="39"/>
  <c r="AN41" i="40"/>
  <c r="AQ89" i="39"/>
  <c r="AN44" i="40"/>
  <c r="AQ92" i="39"/>
  <c r="BM48" i="40"/>
  <c r="BY48" i="40" s="1"/>
  <c r="FA48" i="40" s="1"/>
  <c r="CB64" i="39"/>
  <c r="L19" i="40"/>
  <c r="O93" i="39"/>
  <c r="Z19" i="40"/>
  <c r="AC93" i="39"/>
  <c r="Z46" i="40"/>
  <c r="Z17" i="40"/>
  <c r="AC91" i="39"/>
  <c r="AN47" i="40"/>
  <c r="AQ95" i="39"/>
  <c r="AS54" i="39"/>
  <c r="AR61" i="39"/>
  <c r="AR62" i="39"/>
  <c r="AR57" i="39"/>
  <c r="AR60" i="39"/>
  <c r="AR59" i="39"/>
  <c r="AR63" i="39"/>
  <c r="AR64" i="39"/>
  <c r="AR58" i="39"/>
  <c r="AR56" i="39"/>
  <c r="AR86" i="39"/>
  <c r="BM42" i="40"/>
  <c r="BY42" i="40" s="1"/>
  <c r="FA42" i="40" s="1"/>
  <c r="CB58" i="39"/>
  <c r="Y35" i="40"/>
  <c r="AD58" i="39"/>
  <c r="AD57" i="39"/>
  <c r="AA41" i="40" s="1"/>
  <c r="AD63" i="39"/>
  <c r="AD61" i="39"/>
  <c r="AA45" i="40" s="1"/>
  <c r="AD62" i="39"/>
  <c r="AA46" i="40" s="1"/>
  <c r="AE54" i="39"/>
  <c r="AD60" i="39"/>
  <c r="AA44" i="40" s="1"/>
  <c r="AD59" i="39"/>
  <c r="AA43" i="40" s="1"/>
  <c r="AD64" i="39"/>
  <c r="AA48" i="40" s="1"/>
  <c r="AD56" i="39"/>
  <c r="AA40" i="40" s="1"/>
  <c r="CE57" i="39"/>
  <c r="CB41" i="40" s="1"/>
  <c r="CE61" i="39"/>
  <c r="CB45" i="40" s="1"/>
  <c r="CE58" i="39"/>
  <c r="CB42" i="40" s="1"/>
  <c r="CE60" i="39"/>
  <c r="CB44" i="40" s="1"/>
  <c r="CE59" i="39"/>
  <c r="CB43" i="40" s="1"/>
  <c r="CE63" i="39"/>
  <c r="CB47" i="40" s="1"/>
  <c r="CE64" i="39"/>
  <c r="CB48" i="40" s="1"/>
  <c r="CE62" i="39"/>
  <c r="CB46" i="40" s="1"/>
  <c r="CE56" i="39"/>
  <c r="CB40" i="40" s="1"/>
  <c r="AN40" i="40"/>
  <c r="AQ88" i="39"/>
  <c r="BM44" i="40"/>
  <c r="BY44" i="40" s="1"/>
  <c r="FA44" i="40" s="1"/>
  <c r="CB60" i="39"/>
  <c r="L20" i="40"/>
  <c r="O94" i="39"/>
  <c r="Z61" i="40"/>
  <c r="AN42" i="40"/>
  <c r="AQ90" i="39"/>
  <c r="BM40" i="40"/>
  <c r="CB56" i="39"/>
  <c r="Z41" i="40"/>
  <c r="L15" i="40"/>
  <c r="O89" i="39"/>
  <c r="L21" i="40"/>
  <c r="O95" i="39"/>
  <c r="Z45" i="40"/>
  <c r="AD27" i="39"/>
  <c r="AD23" i="39"/>
  <c r="AD24" i="39"/>
  <c r="AD29" i="39"/>
  <c r="AD26" i="39"/>
  <c r="AD25" i="39"/>
  <c r="AD22" i="39"/>
  <c r="AD28" i="39"/>
  <c r="AD86" i="39"/>
  <c r="AD21" i="39"/>
  <c r="AE19" i="39"/>
  <c r="Z22" i="40"/>
  <c r="AC96" i="39"/>
  <c r="Z20" i="40"/>
  <c r="AC94" i="39"/>
  <c r="AN46" i="40"/>
  <c r="AQ94" i="39"/>
  <c r="BM47" i="40"/>
  <c r="L14" i="40"/>
  <c r="O88" i="39"/>
  <c r="L16" i="40"/>
  <c r="O90" i="39"/>
  <c r="AP22" i="40"/>
  <c r="AP15" i="40"/>
  <c r="AT25" i="39"/>
  <c r="AT28" i="39"/>
  <c r="AT24" i="39"/>
  <c r="AT22" i="39"/>
  <c r="AT29" i="39"/>
  <c r="AT27" i="39"/>
  <c r="AT23" i="39"/>
  <c r="AT26" i="39"/>
  <c r="AT21" i="39"/>
  <c r="AP20" i="40"/>
  <c r="AP21" i="40"/>
  <c r="AU81" i="39"/>
  <c r="AU19" i="39"/>
  <c r="AV14" i="39"/>
  <c r="AU16" i="39"/>
  <c r="AT83" i="39"/>
  <c r="AM14" i="29" s="1"/>
  <c r="AM16" i="29" s="1"/>
  <c r="BH74" i="39"/>
  <c r="BD58" i="40"/>
  <c r="AP17" i="40"/>
  <c r="AP18" i="40"/>
  <c r="AP16" i="40"/>
  <c r="AP14" i="40"/>
  <c r="AP19" i="40"/>
  <c r="BH76" i="39"/>
  <c r="BD60" i="40"/>
  <c r="AS41" i="39"/>
  <c r="AS108" i="39" s="1"/>
  <c r="AO34" i="40"/>
  <c r="AO35" i="40" s="1"/>
  <c r="CI63" i="39"/>
  <c r="CF47" i="40" s="1"/>
  <c r="CI56" i="39"/>
  <c r="CF40" i="40" s="1"/>
  <c r="CI62" i="39"/>
  <c r="CF46" i="40" s="1"/>
  <c r="CI60" i="39"/>
  <c r="CF44" i="40" s="1"/>
  <c r="CJ54" i="39"/>
  <c r="CI61" i="39"/>
  <c r="CF45" i="40" s="1"/>
  <c r="CI58" i="39"/>
  <c r="CF42" i="40" s="1"/>
  <c r="CI64" i="39"/>
  <c r="CF48" i="40" s="1"/>
  <c r="CI57" i="39"/>
  <c r="CF41" i="40" s="1"/>
  <c r="CI59" i="39"/>
  <c r="CF43" i="40" s="1"/>
  <c r="CU63" i="39"/>
  <c r="CR47" i="40" s="1"/>
  <c r="CU62" i="39"/>
  <c r="CR46" i="40" s="1"/>
  <c r="CU59" i="39"/>
  <c r="CR43" i="40" s="1"/>
  <c r="CU64" i="39"/>
  <c r="CR48" i="40" s="1"/>
  <c r="CU56" i="39"/>
  <c r="CR40" i="40" s="1"/>
  <c r="CU58" i="39"/>
  <c r="CR42" i="40" s="1"/>
  <c r="CU60" i="39"/>
  <c r="CR44" i="40" s="1"/>
  <c r="CV54" i="39"/>
  <c r="CU57" i="39"/>
  <c r="CR41" i="40" s="1"/>
  <c r="CU61" i="39"/>
  <c r="CR45" i="40" s="1"/>
  <c r="DI54" i="39"/>
  <c r="DJ49" i="39"/>
  <c r="AT39" i="39"/>
  <c r="AT106" i="39" s="1"/>
  <c r="AP32" i="40"/>
  <c r="M43" i="2"/>
  <c r="B16" i="2"/>
  <c r="Q15" i="2"/>
  <c r="AD90" i="39" l="1"/>
  <c r="AA16" i="40"/>
  <c r="AO41" i="40"/>
  <c r="AR89" i="39"/>
  <c r="M20" i="40"/>
  <c r="P94" i="39"/>
  <c r="AD95" i="39"/>
  <c r="AA21" i="40"/>
  <c r="AO46" i="40"/>
  <c r="AR94" i="39"/>
  <c r="M17" i="40"/>
  <c r="P91" i="39"/>
  <c r="M18" i="40"/>
  <c r="P92" i="39"/>
  <c r="BY41" i="40"/>
  <c r="FA41" i="40" s="1"/>
  <c r="AA15" i="40"/>
  <c r="AD89" i="39"/>
  <c r="AO40" i="40"/>
  <c r="AR88" i="39"/>
  <c r="AO45" i="40"/>
  <c r="AR93" i="39"/>
  <c r="M16" i="40"/>
  <c r="P90" i="39"/>
  <c r="M15" i="40"/>
  <c r="P89" i="39"/>
  <c r="CB59" i="39"/>
  <c r="CB61" i="39"/>
  <c r="AA14" i="40"/>
  <c r="AD88" i="39"/>
  <c r="AO44" i="40"/>
  <c r="AR92" i="39"/>
  <c r="L35" i="40"/>
  <c r="L63" i="40" s="1"/>
  <c r="J19" i="29" s="1"/>
  <c r="CB63" i="39"/>
  <c r="AA19" i="40"/>
  <c r="AD93" i="39"/>
  <c r="BY40" i="40"/>
  <c r="FA40" i="40" s="1"/>
  <c r="AA61" i="40"/>
  <c r="AO48" i="40"/>
  <c r="AR96" i="39"/>
  <c r="P95" i="39"/>
  <c r="M21" i="40"/>
  <c r="CB62" i="39"/>
  <c r="AE57" i="39"/>
  <c r="AE61" i="39"/>
  <c r="AE62" i="39"/>
  <c r="AE58" i="39"/>
  <c r="AB42" i="40" s="1"/>
  <c r="AE64" i="39"/>
  <c r="AE56" i="39"/>
  <c r="AF54" i="39"/>
  <c r="AE60" i="39"/>
  <c r="AB44" i="40" s="1"/>
  <c r="AE63" i="39"/>
  <c r="AB47" i="40" s="1"/>
  <c r="AE59" i="39"/>
  <c r="Z35" i="40"/>
  <c r="Z63" i="40" s="1"/>
  <c r="W19" i="29" s="1"/>
  <c r="AA18" i="40"/>
  <c r="AD92" i="39"/>
  <c r="AA47" i="40"/>
  <c r="AS57" i="39"/>
  <c r="AS60" i="39"/>
  <c r="AS64" i="39"/>
  <c r="AS63" i="39"/>
  <c r="AT54" i="39"/>
  <c r="AS59" i="39"/>
  <c r="AS62" i="39"/>
  <c r="AS58" i="39"/>
  <c r="AS56" i="39"/>
  <c r="AS61" i="39"/>
  <c r="AS86" i="39"/>
  <c r="M14" i="40"/>
  <c r="P88" i="39"/>
  <c r="P96" i="39"/>
  <c r="M22" i="40"/>
  <c r="BY47" i="40"/>
  <c r="FA47" i="40" s="1"/>
  <c r="AA22" i="40"/>
  <c r="AD96" i="39"/>
  <c r="AA42" i="40"/>
  <c r="AO47" i="40"/>
  <c r="AR95" i="39"/>
  <c r="BY46" i="40"/>
  <c r="FA46" i="40" s="1"/>
  <c r="AN61" i="40"/>
  <c r="AN63" i="40" s="1"/>
  <c r="AJ19" i="29" s="1"/>
  <c r="M19" i="40"/>
  <c r="P93" i="39"/>
  <c r="AD94" i="39"/>
  <c r="AA20" i="40"/>
  <c r="AO42" i="40"/>
  <c r="AR90" i="39"/>
  <c r="BY43" i="40"/>
  <c r="FA43" i="40" s="1"/>
  <c r="AF19" i="39"/>
  <c r="AE86" i="39"/>
  <c r="AE29" i="39"/>
  <c r="AE27" i="39"/>
  <c r="AE21" i="39"/>
  <c r="AE26" i="39"/>
  <c r="AE23" i="39"/>
  <c r="AE28" i="39"/>
  <c r="AE24" i="39"/>
  <c r="AE25" i="39"/>
  <c r="AE22" i="39"/>
  <c r="AA17" i="40"/>
  <c r="AD91" i="39"/>
  <c r="AO43" i="40"/>
  <c r="AR91" i="39"/>
  <c r="Q29" i="39"/>
  <c r="Q25" i="39"/>
  <c r="Q24" i="39"/>
  <c r="Q28" i="39"/>
  <c r="R19" i="39"/>
  <c r="Q86" i="39"/>
  <c r="Q27" i="39"/>
  <c r="Q23" i="39"/>
  <c r="Q26" i="39"/>
  <c r="Q22" i="39"/>
  <c r="Q21" i="39"/>
  <c r="BI76" i="39"/>
  <c r="BE60" i="40"/>
  <c r="BD61" i="40"/>
  <c r="AV81" i="39"/>
  <c r="AW14" i="39"/>
  <c r="AV19" i="39"/>
  <c r="AQ19" i="40"/>
  <c r="AQ15" i="40"/>
  <c r="BI74" i="39"/>
  <c r="BE58" i="40"/>
  <c r="BE61" i="40" s="1"/>
  <c r="AU29" i="39"/>
  <c r="AU21" i="39"/>
  <c r="AU28" i="39"/>
  <c r="AU24" i="39"/>
  <c r="AU22" i="39"/>
  <c r="AU27" i="39"/>
  <c r="AU23" i="39"/>
  <c r="AU26" i="39"/>
  <c r="AU25" i="39"/>
  <c r="AQ16" i="40"/>
  <c r="AQ17" i="40"/>
  <c r="AQ20" i="40"/>
  <c r="AQ21" i="40"/>
  <c r="AV16" i="39"/>
  <c r="AU83" i="39"/>
  <c r="AN14" i="29" s="1"/>
  <c r="AN16" i="29" s="1"/>
  <c r="AQ14" i="40"/>
  <c r="AQ22" i="40"/>
  <c r="AQ18" i="40"/>
  <c r="AT41" i="39"/>
  <c r="AT108" i="39" s="1"/>
  <c r="AP34" i="40"/>
  <c r="AP35" i="40" s="1"/>
  <c r="DK49" i="39"/>
  <c r="DJ54" i="39"/>
  <c r="CV63" i="39"/>
  <c r="CS47" i="40" s="1"/>
  <c r="CV64" i="39"/>
  <c r="CS48" i="40" s="1"/>
  <c r="CV57" i="39"/>
  <c r="CS41" i="40" s="1"/>
  <c r="CV62" i="39"/>
  <c r="CS46" i="40" s="1"/>
  <c r="CV58" i="39"/>
  <c r="CS42" i="40" s="1"/>
  <c r="CW54" i="39"/>
  <c r="CV61" i="39"/>
  <c r="CS45" i="40" s="1"/>
  <c r="CV60" i="39"/>
  <c r="CS44" i="40" s="1"/>
  <c r="CV59" i="39"/>
  <c r="CS43" i="40" s="1"/>
  <c r="CV56" i="39"/>
  <c r="CS40" i="40" s="1"/>
  <c r="DI62" i="39"/>
  <c r="DF46" i="40" s="1"/>
  <c r="DI64" i="39"/>
  <c r="DF48" i="40" s="1"/>
  <c r="DI61" i="39"/>
  <c r="DF45" i="40" s="1"/>
  <c r="DI60" i="39"/>
  <c r="DF44" i="40" s="1"/>
  <c r="DI59" i="39"/>
  <c r="DF43" i="40" s="1"/>
  <c r="DI57" i="39"/>
  <c r="DF41" i="40" s="1"/>
  <c r="DI63" i="39"/>
  <c r="DF47" i="40" s="1"/>
  <c r="DI58" i="39"/>
  <c r="DF42" i="40" s="1"/>
  <c r="DI56" i="39"/>
  <c r="DF40" i="40" s="1"/>
  <c r="CJ63" i="39"/>
  <c r="CG47" i="40" s="1"/>
  <c r="CJ58" i="39"/>
  <c r="CG42" i="40" s="1"/>
  <c r="CJ60" i="39"/>
  <c r="CG44" i="40" s="1"/>
  <c r="CJ59" i="39"/>
  <c r="CG43" i="40" s="1"/>
  <c r="CK54" i="39"/>
  <c r="CJ57" i="39"/>
  <c r="CG41" i="40" s="1"/>
  <c r="CJ61" i="39"/>
  <c r="CG45" i="40" s="1"/>
  <c r="CJ64" i="39"/>
  <c r="CG48" i="40" s="1"/>
  <c r="CJ62" i="39"/>
  <c r="CG46" i="40" s="1"/>
  <c r="CJ56" i="39"/>
  <c r="CG40" i="40" s="1"/>
  <c r="AU39" i="39"/>
  <c r="AU106" i="39" s="1"/>
  <c r="AQ32" i="40"/>
  <c r="M44" i="2"/>
  <c r="B17" i="2"/>
  <c r="Q16" i="2"/>
  <c r="AP44" i="40" l="1"/>
  <c r="AS92" i="39"/>
  <c r="Q94" i="39"/>
  <c r="N20" i="40"/>
  <c r="AE90" i="39"/>
  <c r="AB16" i="40"/>
  <c r="AB43" i="40"/>
  <c r="R28" i="39"/>
  <c r="S19" i="39"/>
  <c r="R21" i="39"/>
  <c r="R86" i="39"/>
  <c r="R26" i="39"/>
  <c r="R27" i="39"/>
  <c r="R29" i="39"/>
  <c r="R25" i="39"/>
  <c r="R23" i="39"/>
  <c r="R24" i="39"/>
  <c r="R22" i="39"/>
  <c r="AP46" i="40"/>
  <c r="AS94" i="39"/>
  <c r="N21" i="40"/>
  <c r="Q95" i="39"/>
  <c r="AE94" i="39"/>
  <c r="AB20" i="40"/>
  <c r="AP43" i="40"/>
  <c r="AS91" i="39"/>
  <c r="AF58" i="39"/>
  <c r="AG54" i="39"/>
  <c r="AF64" i="39"/>
  <c r="AC48" i="40" s="1"/>
  <c r="AF61" i="39"/>
  <c r="AC45" i="40" s="1"/>
  <c r="AF59" i="39"/>
  <c r="AC43" i="40" s="1"/>
  <c r="AF62" i="39"/>
  <c r="AC46" i="40" s="1"/>
  <c r="AF63" i="39"/>
  <c r="AC47" i="40" s="1"/>
  <c r="AF57" i="39"/>
  <c r="AC41" i="40" s="1"/>
  <c r="AF60" i="39"/>
  <c r="AC44" i="40" s="1"/>
  <c r="AF56" i="39"/>
  <c r="AC40" i="40" s="1"/>
  <c r="N16" i="40"/>
  <c r="Q90" i="39"/>
  <c r="AB21" i="40"/>
  <c r="AE95" i="39"/>
  <c r="AB46" i="40"/>
  <c r="AP41" i="40"/>
  <c r="AS89" i="39"/>
  <c r="FA39" i="40"/>
  <c r="AB14" i="40"/>
  <c r="AE88" i="39"/>
  <c r="AA35" i="40"/>
  <c r="AA63" i="40" s="1"/>
  <c r="X19" i="29" s="1"/>
  <c r="N14" i="40"/>
  <c r="Q88" i="39"/>
  <c r="Q91" i="39"/>
  <c r="N17" i="40"/>
  <c r="AE89" i="39"/>
  <c r="AB15" i="40"/>
  <c r="AB22" i="40"/>
  <c r="AE96" i="39"/>
  <c r="AU54" i="39"/>
  <c r="AT64" i="39"/>
  <c r="AT61" i="39"/>
  <c r="AT59" i="39"/>
  <c r="AT57" i="39"/>
  <c r="AT60" i="39"/>
  <c r="AT56" i="39"/>
  <c r="AT63" i="39"/>
  <c r="AT58" i="39"/>
  <c r="AT62" i="39"/>
  <c r="AT86" i="39"/>
  <c r="AB40" i="40"/>
  <c r="AO61" i="40"/>
  <c r="AO63" i="40" s="1"/>
  <c r="AK19" i="29" s="1"/>
  <c r="AB45" i="40"/>
  <c r="M35" i="40"/>
  <c r="M63" i="40" s="1"/>
  <c r="K19" i="29" s="1"/>
  <c r="AP45" i="40"/>
  <c r="AS93" i="39"/>
  <c r="AP40" i="40"/>
  <c r="AS88" i="39"/>
  <c r="AB19" i="40"/>
  <c r="AE93" i="39"/>
  <c r="AP42" i="40"/>
  <c r="AS90" i="39"/>
  <c r="AB41" i="40"/>
  <c r="N15" i="40"/>
  <c r="Q89" i="39"/>
  <c r="N18" i="40"/>
  <c r="Q92" i="39"/>
  <c r="AB18" i="40"/>
  <c r="AE92" i="39"/>
  <c r="AP47" i="40"/>
  <c r="AS95" i="39"/>
  <c r="AB48" i="40"/>
  <c r="Q93" i="39"/>
  <c r="N19" i="40"/>
  <c r="N22" i="40"/>
  <c r="Q96" i="39"/>
  <c r="AB17" i="40"/>
  <c r="AE91" i="39"/>
  <c r="AF86" i="39"/>
  <c r="AG19" i="39"/>
  <c r="AF25" i="39"/>
  <c r="AF29" i="39"/>
  <c r="AF23" i="39"/>
  <c r="AF27" i="39"/>
  <c r="AF24" i="39"/>
  <c r="AF28" i="39"/>
  <c r="AF26" i="39"/>
  <c r="AF21" i="39"/>
  <c r="AF22" i="39"/>
  <c r="AP48" i="40"/>
  <c r="AS96" i="39"/>
  <c r="AW16" i="39"/>
  <c r="AV83" i="39"/>
  <c r="AO14" i="29" s="1"/>
  <c r="AO16" i="29" s="1"/>
  <c r="AR18" i="40"/>
  <c r="AR15" i="40"/>
  <c r="AR22" i="40"/>
  <c r="AR19" i="40"/>
  <c r="AR17" i="40"/>
  <c r="AV25" i="39"/>
  <c r="AV24" i="39"/>
  <c r="AV27" i="39"/>
  <c r="AV23" i="39"/>
  <c r="AV29" i="39"/>
  <c r="AV26" i="39"/>
  <c r="AV22" i="39"/>
  <c r="AV21" i="39"/>
  <c r="AV28" i="39"/>
  <c r="AR16" i="40"/>
  <c r="AR21" i="40"/>
  <c r="AW81" i="39"/>
  <c r="AW19" i="39"/>
  <c r="AX14" i="39"/>
  <c r="BJ76" i="39"/>
  <c r="BF60" i="40"/>
  <c r="AR20" i="40"/>
  <c r="AR14" i="40"/>
  <c r="BJ74" i="39"/>
  <c r="BF58" i="40"/>
  <c r="CL54" i="39"/>
  <c r="CK62" i="39"/>
  <c r="CH46" i="40" s="1"/>
  <c r="CK57" i="39"/>
  <c r="CH41" i="40" s="1"/>
  <c r="CK64" i="39"/>
  <c r="CH48" i="40" s="1"/>
  <c r="CK63" i="39"/>
  <c r="CH47" i="40" s="1"/>
  <c r="CK58" i="39"/>
  <c r="CH42" i="40" s="1"/>
  <c r="CK56" i="39"/>
  <c r="CH40" i="40" s="1"/>
  <c r="CK59" i="39"/>
  <c r="CH43" i="40" s="1"/>
  <c r="CK60" i="39"/>
  <c r="CH44" i="40" s="1"/>
  <c r="CK61" i="39"/>
  <c r="CH45" i="40" s="1"/>
  <c r="DJ64" i="39"/>
  <c r="DG48" i="40" s="1"/>
  <c r="DJ63" i="39"/>
  <c r="DG47" i="40" s="1"/>
  <c r="DJ60" i="39"/>
  <c r="DG44" i="40" s="1"/>
  <c r="DJ56" i="39"/>
  <c r="DG40" i="40" s="1"/>
  <c r="DJ62" i="39"/>
  <c r="DG46" i="40" s="1"/>
  <c r="DJ58" i="39"/>
  <c r="DG42" i="40" s="1"/>
  <c r="DJ59" i="39"/>
  <c r="DG43" i="40" s="1"/>
  <c r="DJ61" i="39"/>
  <c r="DG45" i="40" s="1"/>
  <c r="DJ57" i="39"/>
  <c r="DG41" i="40" s="1"/>
  <c r="DL49" i="39"/>
  <c r="DK54" i="39"/>
  <c r="CW60" i="39"/>
  <c r="CT44" i="40" s="1"/>
  <c r="CW56" i="39"/>
  <c r="CT40" i="40" s="1"/>
  <c r="CW62" i="39"/>
  <c r="CT46" i="40" s="1"/>
  <c r="CX54" i="39"/>
  <c r="CW61" i="39"/>
  <c r="CT45" i="40" s="1"/>
  <c r="CW57" i="39"/>
  <c r="CT41" i="40" s="1"/>
  <c r="CW59" i="39"/>
  <c r="CT43" i="40" s="1"/>
  <c r="CW64" i="39"/>
  <c r="CT48" i="40" s="1"/>
  <c r="CW63" i="39"/>
  <c r="CT47" i="40" s="1"/>
  <c r="CW58" i="39"/>
  <c r="CT42" i="40" s="1"/>
  <c r="AU41" i="39"/>
  <c r="AU108" i="39" s="1"/>
  <c r="AQ34" i="40"/>
  <c r="AQ35" i="40" s="1"/>
  <c r="AV39" i="39"/>
  <c r="AV106" i="39" s="1"/>
  <c r="AR32" i="40"/>
  <c r="M45" i="2"/>
  <c r="B18" i="2"/>
  <c r="Q17" i="2"/>
  <c r="AQ47" i="40" l="1"/>
  <c r="AT95" i="39"/>
  <c r="N35" i="40"/>
  <c r="N63" i="40" s="1"/>
  <c r="L19" i="29" s="1"/>
  <c r="R93" i="39"/>
  <c r="O19" i="40"/>
  <c r="AC22" i="40"/>
  <c r="AF96" i="39"/>
  <c r="AQ45" i="40"/>
  <c r="AT93" i="39"/>
  <c r="AC15" i="40"/>
  <c r="AF89" i="39"/>
  <c r="AH19" i="39"/>
  <c r="AG86" i="39"/>
  <c r="AG24" i="39"/>
  <c r="AG27" i="39"/>
  <c r="AG26" i="39"/>
  <c r="AG21" i="39"/>
  <c r="AG28" i="39"/>
  <c r="AG29" i="39"/>
  <c r="AG23" i="39"/>
  <c r="AG25" i="39"/>
  <c r="AG22" i="39"/>
  <c r="AC21" i="40"/>
  <c r="AF95" i="39"/>
  <c r="AQ40" i="40"/>
  <c r="AT88" i="39"/>
  <c r="O18" i="40"/>
  <c r="R92" i="39"/>
  <c r="AF92" i="39"/>
  <c r="AC18" i="40"/>
  <c r="O22" i="40"/>
  <c r="R96" i="39"/>
  <c r="AF88" i="39"/>
  <c r="AC14" i="40"/>
  <c r="AV54" i="39"/>
  <c r="AU64" i="39"/>
  <c r="AU56" i="39"/>
  <c r="AU61" i="39"/>
  <c r="AU62" i="39"/>
  <c r="AU59" i="39"/>
  <c r="AU60" i="39"/>
  <c r="AU57" i="39"/>
  <c r="AU58" i="39"/>
  <c r="AU63" i="39"/>
  <c r="AU86" i="39"/>
  <c r="AC42" i="40"/>
  <c r="AC61" i="40" s="1"/>
  <c r="AF93" i="39"/>
  <c r="AC19" i="40"/>
  <c r="AC17" i="40"/>
  <c r="AF91" i="39"/>
  <c r="AP61" i="40"/>
  <c r="AP63" i="40" s="1"/>
  <c r="AL19" i="29" s="1"/>
  <c r="AQ44" i="40"/>
  <c r="AT92" i="39"/>
  <c r="O15" i="40"/>
  <c r="R89" i="39"/>
  <c r="O14" i="40"/>
  <c r="R88" i="39"/>
  <c r="AQ41" i="40"/>
  <c r="AT89" i="39"/>
  <c r="O17" i="40"/>
  <c r="R91" i="39"/>
  <c r="S86" i="39"/>
  <c r="S25" i="39"/>
  <c r="S21" i="39"/>
  <c r="S27" i="39"/>
  <c r="S29" i="39"/>
  <c r="S22" i="39"/>
  <c r="S24" i="39"/>
  <c r="S23" i="39"/>
  <c r="S28" i="39"/>
  <c r="S26" i="39"/>
  <c r="T19" i="39"/>
  <c r="AQ46" i="40"/>
  <c r="AT94" i="39"/>
  <c r="AQ48" i="40"/>
  <c r="AT96" i="39"/>
  <c r="AG58" i="39"/>
  <c r="AD42" i="40" s="1"/>
  <c r="AG59" i="39"/>
  <c r="AG63" i="39"/>
  <c r="AG56" i="39"/>
  <c r="AD40" i="40" s="1"/>
  <c r="AH54" i="39"/>
  <c r="AG61" i="39"/>
  <c r="AG64" i="39"/>
  <c r="AD48" i="40" s="1"/>
  <c r="AG57" i="39"/>
  <c r="AG62" i="39"/>
  <c r="AG60" i="39"/>
  <c r="AD44" i="40" s="1"/>
  <c r="AQ42" i="40"/>
  <c r="AT90" i="39"/>
  <c r="O20" i="40"/>
  <c r="R94" i="39"/>
  <c r="AF94" i="39"/>
  <c r="AC20" i="40"/>
  <c r="AC16" i="40"/>
  <c r="AF90" i="39"/>
  <c r="AB61" i="40"/>
  <c r="AQ43" i="40"/>
  <c r="AT91" i="39"/>
  <c r="AB35" i="40"/>
  <c r="O16" i="40"/>
  <c r="R90" i="39"/>
  <c r="O21" i="40"/>
  <c r="R95" i="39"/>
  <c r="AS14" i="40"/>
  <c r="AS16" i="40"/>
  <c r="BF61" i="40"/>
  <c r="BK76" i="39"/>
  <c r="BG60" i="40"/>
  <c r="AS15" i="40"/>
  <c r="AS20" i="40"/>
  <c r="BK74" i="39"/>
  <c r="BG58" i="40"/>
  <c r="AX81" i="39"/>
  <c r="AX19" i="39"/>
  <c r="AY14" i="39"/>
  <c r="AS19" i="40"/>
  <c r="AS17" i="40"/>
  <c r="AW29" i="39"/>
  <c r="AW22" i="39"/>
  <c r="AW23" i="39"/>
  <c r="AW21" i="39"/>
  <c r="AW27" i="39"/>
  <c r="AW25" i="39"/>
  <c r="AW28" i="39"/>
  <c r="AW24" i="39"/>
  <c r="AW26" i="39"/>
  <c r="AS21" i="40"/>
  <c r="AS22" i="40"/>
  <c r="AS18" i="40"/>
  <c r="AX16" i="39"/>
  <c r="AW83" i="39"/>
  <c r="AP14" i="29" s="1"/>
  <c r="AP16" i="29" s="1"/>
  <c r="CX61" i="39"/>
  <c r="CU45" i="40" s="1"/>
  <c r="CX57" i="39"/>
  <c r="CU41" i="40" s="1"/>
  <c r="CX62" i="39"/>
  <c r="CU46" i="40" s="1"/>
  <c r="CX64" i="39"/>
  <c r="CU48" i="40" s="1"/>
  <c r="CX56" i="39"/>
  <c r="CU40" i="40" s="1"/>
  <c r="CX58" i="39"/>
  <c r="CU42" i="40" s="1"/>
  <c r="CX60" i="39"/>
  <c r="CU44" i="40" s="1"/>
  <c r="CX59" i="39"/>
  <c r="CU43" i="40" s="1"/>
  <c r="CX63" i="39"/>
  <c r="CU47" i="40" s="1"/>
  <c r="CY54" i="39"/>
  <c r="DK64" i="39"/>
  <c r="DH48" i="40" s="1"/>
  <c r="DK57" i="39"/>
  <c r="DH41" i="40" s="1"/>
  <c r="DK60" i="39"/>
  <c r="DH44" i="40" s="1"/>
  <c r="DK56" i="39"/>
  <c r="DH40" i="40" s="1"/>
  <c r="DK63" i="39"/>
  <c r="DH47" i="40" s="1"/>
  <c r="DK59" i="39"/>
  <c r="DH43" i="40" s="1"/>
  <c r="DK61" i="39"/>
  <c r="DH45" i="40" s="1"/>
  <c r="DK62" i="39"/>
  <c r="DH46" i="40" s="1"/>
  <c r="DK58" i="39"/>
  <c r="DH42" i="40" s="1"/>
  <c r="CL64" i="39"/>
  <c r="CI48" i="40" s="1"/>
  <c r="CL56" i="39"/>
  <c r="CI40" i="40" s="1"/>
  <c r="CL61" i="39"/>
  <c r="CI45" i="40" s="1"/>
  <c r="CL60" i="39"/>
  <c r="CI44" i="40" s="1"/>
  <c r="CM54" i="39"/>
  <c r="CL57" i="39"/>
  <c r="CI41" i="40" s="1"/>
  <c r="CL63" i="39"/>
  <c r="CI47" i="40" s="1"/>
  <c r="CL59" i="39"/>
  <c r="CI43" i="40" s="1"/>
  <c r="CL62" i="39"/>
  <c r="CI46" i="40" s="1"/>
  <c r="CL58" i="39"/>
  <c r="CI42" i="40" s="1"/>
  <c r="AV41" i="39"/>
  <c r="AV108" i="39" s="1"/>
  <c r="AR34" i="40"/>
  <c r="AR35" i="40" s="1"/>
  <c r="DL54" i="39"/>
  <c r="DM49" i="39"/>
  <c r="AW39" i="39"/>
  <c r="AW106" i="39" s="1"/>
  <c r="AS32" i="40"/>
  <c r="M46" i="2"/>
  <c r="Q18" i="2"/>
  <c r="B19" i="2"/>
  <c r="AV61" i="39" l="1"/>
  <c r="AV57" i="39"/>
  <c r="AV56" i="39"/>
  <c r="AV60" i="39"/>
  <c r="AV63" i="39"/>
  <c r="AV62" i="39"/>
  <c r="AV59" i="39"/>
  <c r="AV58" i="39"/>
  <c r="AV64" i="39"/>
  <c r="AW54" i="39"/>
  <c r="AV86" i="39"/>
  <c r="AD22" i="40"/>
  <c r="AG96" i="39"/>
  <c r="AD46" i="40"/>
  <c r="AR42" i="40"/>
  <c r="AU90" i="39"/>
  <c r="AG91" i="39"/>
  <c r="AD17" i="40"/>
  <c r="P17" i="40"/>
  <c r="S91" i="39"/>
  <c r="AD18" i="40"/>
  <c r="AG92" i="39"/>
  <c r="P15" i="40"/>
  <c r="S89" i="39"/>
  <c r="AI19" i="39"/>
  <c r="AH25" i="39"/>
  <c r="AH23" i="39"/>
  <c r="AH28" i="39"/>
  <c r="AH29" i="39"/>
  <c r="AH86" i="39"/>
  <c r="AH21" i="39"/>
  <c r="AH27" i="39"/>
  <c r="AH22" i="39"/>
  <c r="AH24" i="39"/>
  <c r="AH26" i="39"/>
  <c r="S96" i="39"/>
  <c r="P22" i="40"/>
  <c r="AH61" i="39"/>
  <c r="AE45" i="40" s="1"/>
  <c r="AH56" i="39"/>
  <c r="AE40" i="40" s="1"/>
  <c r="AH63" i="39"/>
  <c r="AE47" i="40" s="1"/>
  <c r="AH62" i="39"/>
  <c r="AE46" i="40" s="1"/>
  <c r="AI54" i="39"/>
  <c r="AH60" i="39"/>
  <c r="AE44" i="40" s="1"/>
  <c r="AH64" i="39"/>
  <c r="AE48" i="40" s="1"/>
  <c r="AH57" i="39"/>
  <c r="AE41" i="40" s="1"/>
  <c r="AH58" i="39"/>
  <c r="AE42" i="40" s="1"/>
  <c r="AH59" i="39"/>
  <c r="AE43" i="40" s="1"/>
  <c r="S94" i="39"/>
  <c r="P20" i="40"/>
  <c r="AR46" i="40"/>
  <c r="AU94" i="39"/>
  <c r="T21" i="39"/>
  <c r="T23" i="39"/>
  <c r="U19" i="39"/>
  <c r="T25" i="39"/>
  <c r="T27" i="39"/>
  <c r="T26" i="39"/>
  <c r="T28" i="39"/>
  <c r="T24" i="39"/>
  <c r="T29" i="39"/>
  <c r="T22" i="39"/>
  <c r="T86" i="39"/>
  <c r="S88" i="39"/>
  <c r="P14" i="40"/>
  <c r="AR45" i="40"/>
  <c r="AU93" i="39"/>
  <c r="AD14" i="40"/>
  <c r="AG88" i="39"/>
  <c r="P16" i="40"/>
  <c r="S90" i="39"/>
  <c r="AD41" i="40"/>
  <c r="AR44" i="40"/>
  <c r="AU92" i="39"/>
  <c r="AD45" i="40"/>
  <c r="AG95" i="39"/>
  <c r="AD21" i="40"/>
  <c r="BG61" i="40"/>
  <c r="AD47" i="40"/>
  <c r="S93" i="39"/>
  <c r="P19" i="40"/>
  <c r="P18" i="40"/>
  <c r="S92" i="39"/>
  <c r="AR40" i="40"/>
  <c r="AU88" i="39"/>
  <c r="AD19" i="40"/>
  <c r="AG93" i="39"/>
  <c r="AD15" i="40"/>
  <c r="AG89" i="39"/>
  <c r="AR41" i="40"/>
  <c r="AU89" i="39"/>
  <c r="AD16" i="40"/>
  <c r="AG90" i="39"/>
  <c r="AR43" i="40"/>
  <c r="AU91" i="39"/>
  <c r="AB63" i="40"/>
  <c r="Y19" i="29" s="1"/>
  <c r="AD43" i="40"/>
  <c r="P21" i="40"/>
  <c r="S95" i="39"/>
  <c r="O35" i="40"/>
  <c r="O63" i="40" s="1"/>
  <c r="M19" i="29" s="1"/>
  <c r="AR47" i="40"/>
  <c r="AU95" i="39"/>
  <c r="AR48" i="40"/>
  <c r="AU96" i="39"/>
  <c r="AD20" i="40"/>
  <c r="AG94" i="39"/>
  <c r="AT18" i="40"/>
  <c r="AT15" i="40"/>
  <c r="AY81" i="39"/>
  <c r="AY19" i="39"/>
  <c r="BB14" i="39"/>
  <c r="BL74" i="39"/>
  <c r="BH58" i="40"/>
  <c r="BL76" i="39"/>
  <c r="BH60" i="40"/>
  <c r="AT19" i="40"/>
  <c r="AT20" i="40"/>
  <c r="AT22" i="40"/>
  <c r="AX27" i="39"/>
  <c r="AX26" i="39"/>
  <c r="AX29" i="39"/>
  <c r="AX25" i="39"/>
  <c r="AX21" i="39"/>
  <c r="AX28" i="39"/>
  <c r="AX24" i="39"/>
  <c r="AX23" i="39"/>
  <c r="AX22" i="39"/>
  <c r="AY16" i="39"/>
  <c r="AX83" i="39"/>
  <c r="AQ14" i="29" s="1"/>
  <c r="AQ16" i="29" s="1"/>
  <c r="AT17" i="40"/>
  <c r="AT14" i="40"/>
  <c r="AT21" i="40"/>
  <c r="AT16" i="40"/>
  <c r="DL62" i="39"/>
  <c r="DI46" i="40" s="1"/>
  <c r="DL58" i="39"/>
  <c r="DI42" i="40" s="1"/>
  <c r="DL64" i="39"/>
  <c r="DI48" i="40" s="1"/>
  <c r="DL56" i="39"/>
  <c r="DI40" i="40" s="1"/>
  <c r="DL57" i="39"/>
  <c r="DI41" i="40" s="1"/>
  <c r="DL60" i="39"/>
  <c r="DI44" i="40" s="1"/>
  <c r="DL61" i="39"/>
  <c r="DI45" i="40" s="1"/>
  <c r="DL63" i="39"/>
  <c r="DI47" i="40" s="1"/>
  <c r="DL59" i="39"/>
  <c r="DI43" i="40" s="1"/>
  <c r="CM61" i="39"/>
  <c r="CJ45" i="40" s="1"/>
  <c r="CM64" i="39"/>
  <c r="CJ48" i="40" s="1"/>
  <c r="CM60" i="39"/>
  <c r="CJ44" i="40" s="1"/>
  <c r="CN54" i="39"/>
  <c r="CM63" i="39"/>
  <c r="CJ47" i="40" s="1"/>
  <c r="CM59" i="39"/>
  <c r="CJ43" i="40" s="1"/>
  <c r="CM56" i="39"/>
  <c r="CJ40" i="40" s="1"/>
  <c r="CM62" i="39"/>
  <c r="CJ46" i="40" s="1"/>
  <c r="CM58" i="39"/>
  <c r="CJ42" i="40" s="1"/>
  <c r="CM57" i="39"/>
  <c r="CJ41" i="40" s="1"/>
  <c r="AS34" i="40"/>
  <c r="AS35" i="40" s="1"/>
  <c r="AW41" i="39"/>
  <c r="AW108" i="39" s="1"/>
  <c r="CY60" i="39"/>
  <c r="CV44" i="40" s="1"/>
  <c r="CY56" i="39"/>
  <c r="CV40" i="40" s="1"/>
  <c r="CY57" i="39"/>
  <c r="CV41" i="40" s="1"/>
  <c r="CY63" i="39"/>
  <c r="CV47" i="40" s="1"/>
  <c r="CZ54" i="39"/>
  <c r="CY62" i="39"/>
  <c r="CV46" i="40" s="1"/>
  <c r="CY59" i="39"/>
  <c r="CV43" i="40" s="1"/>
  <c r="CY64" i="39"/>
  <c r="CV48" i="40" s="1"/>
  <c r="CY61" i="39"/>
  <c r="CV45" i="40" s="1"/>
  <c r="CY58" i="39"/>
  <c r="CV42" i="40" s="1"/>
  <c r="DM54" i="39"/>
  <c r="DN49" i="39"/>
  <c r="BU28" i="40"/>
  <c r="BU31" i="40"/>
  <c r="CB37" i="39"/>
  <c r="BU30" i="40"/>
  <c r="BY30" i="40" s="1"/>
  <c r="FA30" i="40" s="1"/>
  <c r="AX39" i="39"/>
  <c r="AX106" i="39" s="1"/>
  <c r="AT32" i="40"/>
  <c r="CB33" i="39"/>
  <c r="BU26" i="40"/>
  <c r="BY26" i="40" s="1"/>
  <c r="FA26" i="40" s="1"/>
  <c r="M47" i="2"/>
  <c r="B20" i="2"/>
  <c r="Q19" i="2"/>
  <c r="AH96" i="39" l="1"/>
  <c r="AE22" i="40"/>
  <c r="AS42" i="40"/>
  <c r="AV90" i="39"/>
  <c r="Q21" i="40"/>
  <c r="T95" i="39"/>
  <c r="AE21" i="40"/>
  <c r="AH95" i="39"/>
  <c r="AS43" i="40"/>
  <c r="AV91" i="39"/>
  <c r="T93" i="39"/>
  <c r="Q19" i="40"/>
  <c r="AE19" i="40"/>
  <c r="AH93" i="39"/>
  <c r="AH90" i="39"/>
  <c r="AE16" i="40"/>
  <c r="AS46" i="40"/>
  <c r="AV94" i="39"/>
  <c r="T94" i="39"/>
  <c r="Q20" i="40"/>
  <c r="AI63" i="39"/>
  <c r="AF47" i="40" s="1"/>
  <c r="AI60" i="39"/>
  <c r="AF44" i="40" s="1"/>
  <c r="AI64" i="39"/>
  <c r="AF48" i="40" s="1"/>
  <c r="AI59" i="39"/>
  <c r="AF43" i="40" s="1"/>
  <c r="AI56" i="39"/>
  <c r="AF40" i="40" s="1"/>
  <c r="AJ54" i="39"/>
  <c r="AI57" i="39"/>
  <c r="AF41" i="40" s="1"/>
  <c r="AI58" i="39"/>
  <c r="AF42" i="40" s="1"/>
  <c r="AI62" i="39"/>
  <c r="AI61" i="39"/>
  <c r="AE17" i="40"/>
  <c r="AH91" i="39"/>
  <c r="AE18" i="40"/>
  <c r="AH92" i="39"/>
  <c r="AS47" i="40"/>
  <c r="AV95" i="39"/>
  <c r="BH61" i="40"/>
  <c r="U24" i="39"/>
  <c r="U21" i="39"/>
  <c r="V19" i="39"/>
  <c r="U22" i="39"/>
  <c r="U23" i="39"/>
  <c r="U28" i="39"/>
  <c r="U86" i="39"/>
  <c r="U26" i="39"/>
  <c r="U25" i="39"/>
  <c r="U27" i="39"/>
  <c r="U29" i="39"/>
  <c r="AH94" i="39"/>
  <c r="AE20" i="40"/>
  <c r="AS40" i="40"/>
  <c r="AV88" i="39"/>
  <c r="AH89" i="39"/>
  <c r="AE15" i="40"/>
  <c r="AJ19" i="39"/>
  <c r="AI26" i="39"/>
  <c r="AI28" i="39"/>
  <c r="AI29" i="39"/>
  <c r="AI25" i="39"/>
  <c r="AI22" i="39"/>
  <c r="AI86" i="39"/>
  <c r="AI24" i="39"/>
  <c r="AI27" i="39"/>
  <c r="AI23" i="39"/>
  <c r="AI21" i="39"/>
  <c r="AS44" i="40"/>
  <c r="AV92" i="39"/>
  <c r="AR61" i="40"/>
  <c r="AR63" i="40" s="1"/>
  <c r="AN19" i="29" s="1"/>
  <c r="AD35" i="40"/>
  <c r="Q15" i="40"/>
  <c r="T89" i="39"/>
  <c r="Q16" i="40"/>
  <c r="T90" i="39"/>
  <c r="AE61" i="40"/>
  <c r="AH88" i="39"/>
  <c r="AE14" i="40"/>
  <c r="AW61" i="39"/>
  <c r="AW57" i="39"/>
  <c r="AW59" i="39"/>
  <c r="AW64" i="39"/>
  <c r="AW60" i="39"/>
  <c r="AW58" i="39"/>
  <c r="AW56" i="39"/>
  <c r="AX54" i="39"/>
  <c r="AW63" i="39"/>
  <c r="AW62" i="39"/>
  <c r="AW86" i="39"/>
  <c r="AS41" i="40"/>
  <c r="AV89" i="39"/>
  <c r="T91" i="39"/>
  <c r="Q17" i="40"/>
  <c r="Q18" i="40"/>
  <c r="T92" i="39"/>
  <c r="T96" i="39"/>
  <c r="Q22" i="40"/>
  <c r="T88" i="39"/>
  <c r="Q14" i="40"/>
  <c r="Q35" i="40" s="1"/>
  <c r="Q63" i="40" s="1"/>
  <c r="O19" i="29" s="1"/>
  <c r="AS48" i="40"/>
  <c r="AV96" i="39"/>
  <c r="AS45" i="40"/>
  <c r="AV93" i="39"/>
  <c r="AU16" i="40"/>
  <c r="AU18" i="40"/>
  <c r="BM76" i="39"/>
  <c r="BI60" i="40"/>
  <c r="AY29" i="39"/>
  <c r="AY28" i="39"/>
  <c r="AY24" i="39"/>
  <c r="BB19" i="39"/>
  <c r="AY26" i="39"/>
  <c r="AY25" i="39"/>
  <c r="AY27" i="39"/>
  <c r="AY23" i="39"/>
  <c r="AY22" i="39"/>
  <c r="AY21" i="39"/>
  <c r="AU17" i="40"/>
  <c r="AU22" i="40"/>
  <c r="BB16" i="39"/>
  <c r="AY83" i="39"/>
  <c r="AR14" i="29" s="1"/>
  <c r="AR16" i="29" s="1"/>
  <c r="I42" i="29" s="1"/>
  <c r="AZ16" i="39"/>
  <c r="AZ83" i="39" s="1"/>
  <c r="J12" i="5" s="1"/>
  <c r="AU21" i="40"/>
  <c r="AU19" i="40"/>
  <c r="BM74" i="39"/>
  <c r="BI58" i="40"/>
  <c r="BI61" i="40" s="1"/>
  <c r="AU15" i="40"/>
  <c r="AU14" i="40"/>
  <c r="AU20" i="40"/>
  <c r="BC14" i="39"/>
  <c r="BB81" i="39"/>
  <c r="DM61" i="39"/>
  <c r="DJ45" i="40" s="1"/>
  <c r="DM60" i="39"/>
  <c r="DJ44" i="40" s="1"/>
  <c r="DM59" i="39"/>
  <c r="DJ43" i="40" s="1"/>
  <c r="DM63" i="39"/>
  <c r="DJ47" i="40" s="1"/>
  <c r="DM64" i="39"/>
  <c r="DJ48" i="40" s="1"/>
  <c r="DM57" i="39"/>
  <c r="DJ41" i="40" s="1"/>
  <c r="DM62" i="39"/>
  <c r="DJ46" i="40" s="1"/>
  <c r="DM58" i="39"/>
  <c r="DJ42" i="40" s="1"/>
  <c r="DM56" i="39"/>
  <c r="DJ40" i="40" s="1"/>
  <c r="DO49" i="39"/>
  <c r="DN54" i="39"/>
  <c r="CZ61" i="39"/>
  <c r="CW45" i="40" s="1"/>
  <c r="CZ58" i="39"/>
  <c r="CW42" i="40" s="1"/>
  <c r="CZ64" i="39"/>
  <c r="CW48" i="40" s="1"/>
  <c r="CZ57" i="39"/>
  <c r="CW41" i="40" s="1"/>
  <c r="CZ63" i="39"/>
  <c r="CW47" i="40" s="1"/>
  <c r="CZ59" i="39"/>
  <c r="CW43" i="40" s="1"/>
  <c r="CZ56" i="39"/>
  <c r="CW40" i="40" s="1"/>
  <c r="CZ62" i="39"/>
  <c r="CW46" i="40" s="1"/>
  <c r="CZ60" i="39"/>
  <c r="CW44" i="40" s="1"/>
  <c r="DA54" i="39"/>
  <c r="AX41" i="39"/>
  <c r="AX108" i="39" s="1"/>
  <c r="AT34" i="40"/>
  <c r="AT35" i="40" s="1"/>
  <c r="CN62" i="39"/>
  <c r="CK46" i="40" s="1"/>
  <c r="CN63" i="39"/>
  <c r="CK47" i="40" s="1"/>
  <c r="CN56" i="39"/>
  <c r="CK40" i="40" s="1"/>
  <c r="CN61" i="39"/>
  <c r="CK45" i="40" s="1"/>
  <c r="CN58" i="39"/>
  <c r="CK42" i="40" s="1"/>
  <c r="CO54" i="39"/>
  <c r="CP54" i="39" s="1"/>
  <c r="CN64" i="39"/>
  <c r="CK48" i="40" s="1"/>
  <c r="CN57" i="39"/>
  <c r="CK41" i="40" s="1"/>
  <c r="CN60" i="39"/>
  <c r="CK44" i="40" s="1"/>
  <c r="CN59" i="39"/>
  <c r="CK43" i="40" s="1"/>
  <c r="AY39" i="39"/>
  <c r="AY106" i="39" s="1"/>
  <c r="AU32" i="40"/>
  <c r="CP36" i="39"/>
  <c r="M48" i="2"/>
  <c r="B21" i="2"/>
  <c r="Q20" i="2"/>
  <c r="C76" i="1"/>
  <c r="F30" i="8" s="1"/>
  <c r="F36" i="8" s="1"/>
  <c r="C75" i="1"/>
  <c r="F29" i="8" s="1"/>
  <c r="F35" i="8" s="1"/>
  <c r="E26" i="8"/>
  <c r="C94" i="1"/>
  <c r="C91" i="1"/>
  <c r="C92" i="1" s="1"/>
  <c r="D42" i="30"/>
  <c r="D54" i="30" s="1"/>
  <c r="D58" i="30" s="1"/>
  <c r="D41" i="30"/>
  <c r="D53" i="30" s="1"/>
  <c r="D39" i="30"/>
  <c r="D52" i="30" s="1"/>
  <c r="D44" i="30"/>
  <c r="D43" i="30"/>
  <c r="AX58" i="39" l="1"/>
  <c r="AX60" i="39"/>
  <c r="AX59" i="39"/>
  <c r="AX61" i="39"/>
  <c r="AX63" i="39"/>
  <c r="AX57" i="39"/>
  <c r="AY54" i="39"/>
  <c r="AX62" i="39"/>
  <c r="AX64" i="39"/>
  <c r="AX56" i="39"/>
  <c r="AX86" i="39"/>
  <c r="AT42" i="40"/>
  <c r="AW90" i="39"/>
  <c r="AI92" i="39"/>
  <c r="AF18" i="40"/>
  <c r="U93" i="39"/>
  <c r="R19" i="40"/>
  <c r="AJ62" i="39"/>
  <c r="AG46" i="40" s="1"/>
  <c r="AJ59" i="39"/>
  <c r="AG43" i="40" s="1"/>
  <c r="AK54" i="39"/>
  <c r="AJ58" i="39"/>
  <c r="AG42" i="40" s="1"/>
  <c r="AJ56" i="39"/>
  <c r="AG40" i="40" s="1"/>
  <c r="AJ63" i="39"/>
  <c r="AG47" i="40" s="1"/>
  <c r="AJ60" i="39"/>
  <c r="AG44" i="40" s="1"/>
  <c r="AJ61" i="39"/>
  <c r="AG45" i="40" s="1"/>
  <c r="AJ57" i="39"/>
  <c r="AG41" i="40" s="1"/>
  <c r="AJ64" i="39"/>
  <c r="AG48" i="40" s="1"/>
  <c r="AT44" i="40"/>
  <c r="AW92" i="39"/>
  <c r="AI96" i="39"/>
  <c r="AF22" i="40"/>
  <c r="AT48" i="40"/>
  <c r="AW96" i="39"/>
  <c r="AF14" i="40"/>
  <c r="AI88" i="39"/>
  <c r="AF21" i="40"/>
  <c r="AI95" i="39"/>
  <c r="R21" i="40"/>
  <c r="U95" i="39"/>
  <c r="AF45" i="40"/>
  <c r="AF61" i="40" s="1"/>
  <c r="R20" i="40"/>
  <c r="U94" i="39"/>
  <c r="AT40" i="40"/>
  <c r="AW88" i="39"/>
  <c r="R18" i="40"/>
  <c r="U92" i="39"/>
  <c r="AT43" i="40"/>
  <c r="AW91" i="39"/>
  <c r="AF16" i="40"/>
  <c r="AI90" i="39"/>
  <c r="AF19" i="40"/>
  <c r="AI93" i="39"/>
  <c r="R16" i="40"/>
  <c r="U90" i="39"/>
  <c r="AF46" i="40"/>
  <c r="R14" i="40"/>
  <c r="U88" i="39"/>
  <c r="AI89" i="39"/>
  <c r="AF15" i="40"/>
  <c r="R17" i="40"/>
  <c r="U91" i="39"/>
  <c r="AT46" i="40"/>
  <c r="AW94" i="39"/>
  <c r="AT41" i="40"/>
  <c r="AW89" i="39"/>
  <c r="AI94" i="39"/>
  <c r="AF20" i="40"/>
  <c r="AJ29" i="39"/>
  <c r="AJ26" i="39"/>
  <c r="AJ22" i="39"/>
  <c r="AJ25" i="39"/>
  <c r="AJ27" i="39"/>
  <c r="AJ24" i="39"/>
  <c r="AK19" i="39"/>
  <c r="AJ28" i="39"/>
  <c r="AJ86" i="39"/>
  <c r="AJ21" i="39"/>
  <c r="AJ23" i="39"/>
  <c r="R15" i="40"/>
  <c r="U89" i="39"/>
  <c r="AT47" i="40"/>
  <c r="AW95" i="39"/>
  <c r="AT45" i="40"/>
  <c r="AW93" i="39"/>
  <c r="AF17" i="40"/>
  <c r="AI91" i="39"/>
  <c r="R22" i="40"/>
  <c r="U96" i="39"/>
  <c r="V86" i="39"/>
  <c r="V22" i="39"/>
  <c r="W19" i="39"/>
  <c r="V24" i="39"/>
  <c r="V27" i="39"/>
  <c r="V26" i="39"/>
  <c r="V21" i="39"/>
  <c r="V25" i="39"/>
  <c r="V28" i="39"/>
  <c r="V23" i="39"/>
  <c r="V29" i="39"/>
  <c r="AV15" i="40"/>
  <c r="AV19" i="40"/>
  <c r="AV22" i="40"/>
  <c r="AV16" i="40"/>
  <c r="BB28" i="39"/>
  <c r="BB25" i="39"/>
  <c r="BB22" i="39"/>
  <c r="BB23" i="39"/>
  <c r="BB26" i="39"/>
  <c r="BC19" i="39"/>
  <c r="BB24" i="39"/>
  <c r="BB27" i="39"/>
  <c r="BB29" i="39"/>
  <c r="BB21" i="39"/>
  <c r="BB83" i="39"/>
  <c r="AT14" i="29" s="1"/>
  <c r="AT16" i="29" s="1"/>
  <c r="BC16" i="39"/>
  <c r="AV20" i="40"/>
  <c r="AV17" i="40"/>
  <c r="BD14" i="39"/>
  <c r="BC81" i="39"/>
  <c r="BP74" i="39"/>
  <c r="BJ58" i="40"/>
  <c r="BN74" i="39"/>
  <c r="AV14" i="40"/>
  <c r="AV18" i="40"/>
  <c r="AV21" i="40"/>
  <c r="BP76" i="39"/>
  <c r="BJ60" i="40"/>
  <c r="BK60" i="40" s="1"/>
  <c r="EZ60" i="40" s="1"/>
  <c r="BN76" i="39"/>
  <c r="DN60" i="39"/>
  <c r="DK44" i="40" s="1"/>
  <c r="DN56" i="39"/>
  <c r="DK40" i="40" s="1"/>
  <c r="DN62" i="39"/>
  <c r="DK46" i="40" s="1"/>
  <c r="DN58" i="39"/>
  <c r="DK42" i="40" s="1"/>
  <c r="DN59" i="39"/>
  <c r="DK43" i="40" s="1"/>
  <c r="DN61" i="39"/>
  <c r="DK45" i="40" s="1"/>
  <c r="DN57" i="39"/>
  <c r="DK41" i="40" s="1"/>
  <c r="DN64" i="39"/>
  <c r="DK48" i="40" s="1"/>
  <c r="DN63" i="39"/>
  <c r="DK47" i="40" s="1"/>
  <c r="AY41" i="39"/>
  <c r="AY108" i="39" s="1"/>
  <c r="AU34" i="40"/>
  <c r="AU35" i="40" s="1"/>
  <c r="DP49" i="39"/>
  <c r="DO54" i="39"/>
  <c r="CO60" i="39"/>
  <c r="CO62" i="39"/>
  <c r="CO63" i="39"/>
  <c r="CO56" i="39"/>
  <c r="CO61" i="39"/>
  <c r="CO57" i="39"/>
  <c r="CO59" i="39"/>
  <c r="CO64" i="39"/>
  <c r="CR54" i="39"/>
  <c r="CO58" i="39"/>
  <c r="DA61" i="39"/>
  <c r="CX45" i="40" s="1"/>
  <c r="DA63" i="39"/>
  <c r="CX47" i="40" s="1"/>
  <c r="DB54" i="39"/>
  <c r="DA64" i="39"/>
  <c r="CX48" i="40" s="1"/>
  <c r="DA57" i="39"/>
  <c r="CX41" i="40" s="1"/>
  <c r="DA60" i="39"/>
  <c r="CX44" i="40" s="1"/>
  <c r="DA59" i="39"/>
  <c r="CX43" i="40" s="1"/>
  <c r="DA62" i="39"/>
  <c r="CX46" i="40" s="1"/>
  <c r="DA58" i="39"/>
  <c r="CX42" i="40" s="1"/>
  <c r="DA56" i="39"/>
  <c r="CX40" i="40" s="1"/>
  <c r="BB39" i="39"/>
  <c r="BB106" i="39" s="1"/>
  <c r="AV32" i="40"/>
  <c r="AW32" i="40" s="1"/>
  <c r="EY32" i="40" s="1"/>
  <c r="AZ39" i="39"/>
  <c r="AZ106" i="39" s="1"/>
  <c r="N54" i="28"/>
  <c r="F40" i="8"/>
  <c r="F17" i="8" s="1"/>
  <c r="L10" i="8" s="1"/>
  <c r="T23" i="29" s="1"/>
  <c r="U23" i="29" s="1"/>
  <c r="V23" i="29" s="1"/>
  <c r="W23" i="29" s="1"/>
  <c r="N28" i="2"/>
  <c r="M49" i="2"/>
  <c r="Q21" i="2"/>
  <c r="C29" i="8"/>
  <c r="E29" i="8"/>
  <c r="E35" i="8" s="1"/>
  <c r="E30" i="8"/>
  <c r="E36" i="8" s="1"/>
  <c r="C30" i="8"/>
  <c r="D57" i="30"/>
  <c r="D45" i="30"/>
  <c r="D51" i="30" s="1"/>
  <c r="AY56" i="39" l="1"/>
  <c r="AY62" i="39"/>
  <c r="BB54" i="39"/>
  <c r="AY61" i="39"/>
  <c r="AY59" i="39"/>
  <c r="AY57" i="39"/>
  <c r="AY64" i="39"/>
  <c r="AY60" i="39"/>
  <c r="AY58" i="39"/>
  <c r="AY63" i="39"/>
  <c r="AY86" i="39"/>
  <c r="AU41" i="40"/>
  <c r="AX89" i="39"/>
  <c r="V90" i="39"/>
  <c r="S16" i="40"/>
  <c r="S15" i="40"/>
  <c r="V89" i="39"/>
  <c r="AK28" i="39"/>
  <c r="AK21" i="39"/>
  <c r="AK25" i="39"/>
  <c r="AN19" i="39"/>
  <c r="AK26" i="39"/>
  <c r="AK27" i="39"/>
  <c r="AK22" i="39"/>
  <c r="AK29" i="39"/>
  <c r="AK24" i="39"/>
  <c r="AK23" i="39"/>
  <c r="AK86" i="39"/>
  <c r="AU47" i="40"/>
  <c r="AX95" i="39"/>
  <c r="AK61" i="39"/>
  <c r="AK59" i="39"/>
  <c r="AN54" i="39"/>
  <c r="AK56" i="39"/>
  <c r="AK58" i="39"/>
  <c r="AK62" i="39"/>
  <c r="AK64" i="39"/>
  <c r="AK63" i="39"/>
  <c r="AK57" i="39"/>
  <c r="AK60" i="39"/>
  <c r="AL54" i="39"/>
  <c r="AG21" i="40"/>
  <c r="AJ95" i="39"/>
  <c r="AF35" i="40"/>
  <c r="AF63" i="40" s="1"/>
  <c r="AC19" i="29" s="1"/>
  <c r="S21" i="40"/>
  <c r="V95" i="39"/>
  <c r="AG17" i="40"/>
  <c r="AJ91" i="39"/>
  <c r="AU45" i="40"/>
  <c r="AX93" i="39"/>
  <c r="S22" i="40"/>
  <c r="V96" i="39"/>
  <c r="V92" i="39"/>
  <c r="S18" i="40"/>
  <c r="AG20" i="40"/>
  <c r="AJ94" i="39"/>
  <c r="AU43" i="40"/>
  <c r="AX91" i="39"/>
  <c r="W86" i="39"/>
  <c r="W26" i="39"/>
  <c r="W27" i="39"/>
  <c r="W24" i="39"/>
  <c r="W22" i="39"/>
  <c r="W21" i="39"/>
  <c r="Z19" i="39"/>
  <c r="W28" i="39"/>
  <c r="W29" i="39"/>
  <c r="W25" i="39"/>
  <c r="W23" i="39"/>
  <c r="X19" i="39"/>
  <c r="X86" i="39" s="1"/>
  <c r="S14" i="40"/>
  <c r="V88" i="39"/>
  <c r="AG18" i="40"/>
  <c r="AJ92" i="39"/>
  <c r="AU40" i="40"/>
  <c r="AU61" i="40" s="1"/>
  <c r="AU63" i="40" s="1"/>
  <c r="AQ19" i="29" s="1"/>
  <c r="AX88" i="39"/>
  <c r="AU44" i="40"/>
  <c r="AX92" i="39"/>
  <c r="V91" i="39"/>
  <c r="S17" i="40"/>
  <c r="X23" i="29"/>
  <c r="W32" i="29"/>
  <c r="S19" i="40"/>
  <c r="V93" i="39"/>
  <c r="AG16" i="40"/>
  <c r="AJ90" i="39"/>
  <c r="AG15" i="40"/>
  <c r="AJ89" i="39"/>
  <c r="AT61" i="40"/>
  <c r="AT63" i="40" s="1"/>
  <c r="AP19" i="29" s="1"/>
  <c r="AG61" i="40"/>
  <c r="AU48" i="40"/>
  <c r="AX96" i="39"/>
  <c r="AU42" i="40"/>
  <c r="AX90" i="39"/>
  <c r="AG22" i="40"/>
  <c r="AJ96" i="39"/>
  <c r="S20" i="40"/>
  <c r="V94" i="39"/>
  <c r="AG14" i="40"/>
  <c r="AJ88" i="39"/>
  <c r="AG19" i="40"/>
  <c r="AJ93" i="39"/>
  <c r="R35" i="40"/>
  <c r="R63" i="40" s="1"/>
  <c r="P19" i="29" s="1"/>
  <c r="AU46" i="40"/>
  <c r="AX94" i="39"/>
  <c r="CP64" i="39"/>
  <c r="CL48" i="40"/>
  <c r="CM48" i="40" s="1"/>
  <c r="FB48" i="40" s="1"/>
  <c r="CP56" i="39"/>
  <c r="CL40" i="40"/>
  <c r="BM60" i="40"/>
  <c r="BQ76" i="39"/>
  <c r="BM58" i="40"/>
  <c r="BQ74" i="39"/>
  <c r="BD81" i="39"/>
  <c r="BN14" i="39"/>
  <c r="BN81" i="39" s="1"/>
  <c r="BE14" i="39"/>
  <c r="BD19" i="39"/>
  <c r="BD16" i="39"/>
  <c r="BC83" i="39"/>
  <c r="AU14" i="29" s="1"/>
  <c r="AU16" i="29" s="1"/>
  <c r="AY14" i="40"/>
  <c r="BC21" i="39"/>
  <c r="BC22" i="39"/>
  <c r="BC26" i="39"/>
  <c r="BC27" i="39"/>
  <c r="BC23" i="39"/>
  <c r="BC28" i="39"/>
  <c r="BC29" i="39"/>
  <c r="BC24" i="39"/>
  <c r="BC25" i="39"/>
  <c r="AY18" i="40"/>
  <c r="CP59" i="39"/>
  <c r="CL43" i="40"/>
  <c r="CM43" i="40" s="1"/>
  <c r="FB43" i="40" s="1"/>
  <c r="CP63" i="39"/>
  <c r="CL47" i="40"/>
  <c r="CM47" i="40" s="1"/>
  <c r="FB47" i="40" s="1"/>
  <c r="AZ41" i="39"/>
  <c r="AZ108" i="39" s="1"/>
  <c r="AY22" i="40"/>
  <c r="AY19" i="40"/>
  <c r="AY21" i="40"/>
  <c r="CP58" i="39"/>
  <c r="CL42" i="40"/>
  <c r="CM42" i="40" s="1"/>
  <c r="FB42" i="40" s="1"/>
  <c r="CP57" i="39"/>
  <c r="CL41" i="40"/>
  <c r="CM41" i="40" s="1"/>
  <c r="FB41" i="40" s="1"/>
  <c r="CP62" i="39"/>
  <c r="CL46" i="40"/>
  <c r="CM46" i="40" s="1"/>
  <c r="FB46" i="40" s="1"/>
  <c r="AY20" i="40"/>
  <c r="AY16" i="40"/>
  <c r="CP61" i="39"/>
  <c r="CL45" i="40"/>
  <c r="CM45" i="40" s="1"/>
  <c r="FB45" i="40" s="1"/>
  <c r="CP60" i="39"/>
  <c r="CL44" i="40"/>
  <c r="CM44" i="40" s="1"/>
  <c r="FB44" i="40" s="1"/>
  <c r="BJ61" i="40"/>
  <c r="BK58" i="40"/>
  <c r="AY17" i="40"/>
  <c r="AY15" i="40"/>
  <c r="DB64" i="39"/>
  <c r="CY48" i="40" s="1"/>
  <c r="DB56" i="39"/>
  <c r="CY40" i="40" s="1"/>
  <c r="DB58" i="39"/>
  <c r="CY42" i="40" s="1"/>
  <c r="DB60" i="39"/>
  <c r="CY44" i="40" s="1"/>
  <c r="DB62" i="39"/>
  <c r="CY46" i="40" s="1"/>
  <c r="DB63" i="39"/>
  <c r="CY47" i="40" s="1"/>
  <c r="DB59" i="39"/>
  <c r="CY43" i="40" s="1"/>
  <c r="DB61" i="39"/>
  <c r="CY45" i="40" s="1"/>
  <c r="DB57" i="39"/>
  <c r="CY41" i="40" s="1"/>
  <c r="DC54" i="39"/>
  <c r="CR59" i="39"/>
  <c r="CO43" i="40" s="1"/>
  <c r="CR60" i="39"/>
  <c r="CO44" i="40" s="1"/>
  <c r="CR63" i="39"/>
  <c r="CO47" i="40" s="1"/>
  <c r="CR58" i="39"/>
  <c r="CO42" i="40" s="1"/>
  <c r="CS54" i="39"/>
  <c r="CR62" i="39"/>
  <c r="CO46" i="40" s="1"/>
  <c r="CR64" i="39"/>
  <c r="CO48" i="40" s="1"/>
  <c r="CR56" i="39"/>
  <c r="CO40" i="40" s="1"/>
  <c r="CR61" i="39"/>
  <c r="CO45" i="40" s="1"/>
  <c r="CR57" i="39"/>
  <c r="CO41" i="40" s="1"/>
  <c r="BB41" i="39"/>
  <c r="BB108" i="39" s="1"/>
  <c r="AV34" i="40"/>
  <c r="AW34" i="40" s="1"/>
  <c r="EY34" i="40" s="1"/>
  <c r="DO64" i="39"/>
  <c r="DL48" i="40" s="1"/>
  <c r="DO56" i="39"/>
  <c r="DL40" i="40" s="1"/>
  <c r="DO60" i="39"/>
  <c r="DL44" i="40" s="1"/>
  <c r="DO59" i="39"/>
  <c r="DL43" i="40" s="1"/>
  <c r="DO63" i="39"/>
  <c r="DL47" i="40" s="1"/>
  <c r="DO62" i="39"/>
  <c r="DL46" i="40" s="1"/>
  <c r="DO61" i="39"/>
  <c r="DL45" i="40" s="1"/>
  <c r="DO57" i="39"/>
  <c r="DL41" i="40" s="1"/>
  <c r="DO58" i="39"/>
  <c r="DL42" i="40" s="1"/>
  <c r="DP54" i="39"/>
  <c r="DQ49" i="39"/>
  <c r="CQ30" i="40"/>
  <c r="CQ28" i="40"/>
  <c r="AY32" i="40"/>
  <c r="BC39" i="39"/>
  <c r="BC106" i="39" s="1"/>
  <c r="CQ26" i="40"/>
  <c r="CQ31" i="40"/>
  <c r="C72" i="1"/>
  <c r="C43" i="39" s="1"/>
  <c r="C70" i="1"/>
  <c r="C41" i="39" s="1"/>
  <c r="C69" i="1"/>
  <c r="C40" i="39" s="1"/>
  <c r="C68" i="1"/>
  <c r="C39" i="39" s="1"/>
  <c r="BD36" i="39" s="1"/>
  <c r="C67" i="1"/>
  <c r="C38" i="39" s="1"/>
  <c r="C65" i="1"/>
  <c r="C36" i="39" s="1"/>
  <c r="C63" i="1"/>
  <c r="C34" i="39" s="1"/>
  <c r="E24" i="5"/>
  <c r="E14" i="5"/>
  <c r="E11" i="5"/>
  <c r="C17" i="1"/>
  <c r="C17" i="39" s="1"/>
  <c r="C18" i="39" s="1"/>
  <c r="E22" i="28"/>
  <c r="AO19" i="39" l="1"/>
  <c r="AN23" i="39"/>
  <c r="AN21" i="39"/>
  <c r="AN24" i="39"/>
  <c r="AN27" i="39"/>
  <c r="AN29" i="39"/>
  <c r="AN25" i="39"/>
  <c r="AN26" i="39"/>
  <c r="AN22" i="39"/>
  <c r="AN86" i="39"/>
  <c r="AN28" i="39"/>
  <c r="AZ19" i="39"/>
  <c r="AH46" i="40"/>
  <c r="AI46" i="40" s="1"/>
  <c r="EX46" i="40" s="1"/>
  <c r="AL62" i="39"/>
  <c r="AK92" i="39"/>
  <c r="AH18" i="40"/>
  <c r="AV48" i="40"/>
  <c r="AY96" i="39"/>
  <c r="CJ66" i="39"/>
  <c r="L31" i="39"/>
  <c r="BP66" i="39"/>
  <c r="DZ66" i="39"/>
  <c r="Z66" i="39"/>
  <c r="BB31" i="39"/>
  <c r="BV31" i="39"/>
  <c r="EH31" i="39"/>
  <c r="AF31" i="39"/>
  <c r="AT66" i="39"/>
  <c r="DF66" i="39"/>
  <c r="CR31" i="39"/>
  <c r="DL31" i="39"/>
  <c r="Y23" i="29"/>
  <c r="X32" i="29"/>
  <c r="T21" i="40"/>
  <c r="U21" i="40" s="1"/>
  <c r="EW21" i="40" s="1"/>
  <c r="W95" i="39"/>
  <c r="X28" i="39"/>
  <c r="X95" i="39" s="1"/>
  <c r="AH42" i="40"/>
  <c r="AI42" i="40" s="1"/>
  <c r="EX42" i="40" s="1"/>
  <c r="AL58" i="39"/>
  <c r="AK90" i="39"/>
  <c r="AH16" i="40"/>
  <c r="AK88" i="39"/>
  <c r="AH14" i="40"/>
  <c r="AV41" i="40"/>
  <c r="AY89" i="39"/>
  <c r="W92" i="39"/>
  <c r="T18" i="40"/>
  <c r="U18" i="40" s="1"/>
  <c r="EW18" i="40" s="1"/>
  <c r="X25" i="39"/>
  <c r="X92" i="39" s="1"/>
  <c r="T22" i="40"/>
  <c r="U22" i="40" s="1"/>
  <c r="EW22" i="40" s="1"/>
  <c r="W96" i="39"/>
  <c r="X29" i="39"/>
  <c r="X96" i="39" s="1"/>
  <c r="AG68" i="39"/>
  <c r="BC68" i="39"/>
  <c r="S33" i="39"/>
  <c r="BW68" i="39"/>
  <c r="AO33" i="39"/>
  <c r="CT68" i="39"/>
  <c r="DM68" i="39"/>
  <c r="AG35" i="40"/>
  <c r="AG63" i="40" s="1"/>
  <c r="AD19" i="29" s="1"/>
  <c r="AA19" i="39"/>
  <c r="Z27" i="39"/>
  <c r="Z28" i="39"/>
  <c r="Z25" i="39"/>
  <c r="Z22" i="39"/>
  <c r="Z24" i="39"/>
  <c r="Z23" i="39"/>
  <c r="Z86" i="39"/>
  <c r="Z21" i="39"/>
  <c r="Z29" i="39"/>
  <c r="Z26" i="39"/>
  <c r="AH40" i="40"/>
  <c r="AL56" i="39"/>
  <c r="AK91" i="39"/>
  <c r="AH17" i="40"/>
  <c r="AH21" i="40"/>
  <c r="AK95" i="39"/>
  <c r="AV43" i="40"/>
  <c r="AY91" i="39"/>
  <c r="AH48" i="40"/>
  <c r="AI48" i="40" s="1"/>
  <c r="EX48" i="40" s="1"/>
  <c r="AL64" i="39"/>
  <c r="BP70" i="39"/>
  <c r="CJ70" i="39"/>
  <c r="L35" i="39"/>
  <c r="DL35" i="39"/>
  <c r="AF35" i="39"/>
  <c r="BV35" i="39"/>
  <c r="AT70" i="39"/>
  <c r="Z70" i="39"/>
  <c r="EH35" i="39"/>
  <c r="DZ70" i="39"/>
  <c r="BB35" i="39"/>
  <c r="DF70" i="39"/>
  <c r="CR35" i="39"/>
  <c r="AG70" i="39"/>
  <c r="BC70" i="39"/>
  <c r="S35" i="39"/>
  <c r="BW70" i="39"/>
  <c r="AO35" i="39"/>
  <c r="CT70" i="39"/>
  <c r="DM70" i="39"/>
  <c r="S35" i="40"/>
  <c r="S63" i="40" s="1"/>
  <c r="Q19" i="29" s="1"/>
  <c r="T14" i="40"/>
  <c r="W88" i="39"/>
  <c r="X21" i="39"/>
  <c r="X88" i="39" s="1"/>
  <c r="AN62" i="39"/>
  <c r="AN60" i="39"/>
  <c r="AN57" i="39"/>
  <c r="AN58" i="39"/>
  <c r="AN63" i="39"/>
  <c r="AN64" i="39"/>
  <c r="AN61" i="39"/>
  <c r="AN56" i="39"/>
  <c r="AN59" i="39"/>
  <c r="AO54" i="39"/>
  <c r="AZ54" i="39"/>
  <c r="AH22" i="40"/>
  <c r="AK96" i="39"/>
  <c r="AL19" i="39"/>
  <c r="AL86" i="39" s="1"/>
  <c r="AV45" i="40"/>
  <c r="AY93" i="39"/>
  <c r="X26" i="39"/>
  <c r="X93" i="39" s="1"/>
  <c r="W93" i="39"/>
  <c r="T19" i="40"/>
  <c r="U19" i="40" s="1"/>
  <c r="EW19" i="40" s="1"/>
  <c r="AV44" i="40"/>
  <c r="AY92" i="39"/>
  <c r="AB71" i="39"/>
  <c r="N36" i="39"/>
  <c r="AV71" i="39"/>
  <c r="BR71" i="39"/>
  <c r="AH36" i="39"/>
  <c r="CL71" i="39"/>
  <c r="DH71" i="39"/>
  <c r="T15" i="40"/>
  <c r="U15" i="40" s="1"/>
  <c r="EW15" i="40" s="1"/>
  <c r="W89" i="39"/>
  <c r="X22" i="39"/>
  <c r="X89" i="39" s="1"/>
  <c r="AH44" i="40"/>
  <c r="AI44" i="40" s="1"/>
  <c r="EX44" i="40" s="1"/>
  <c r="AL60" i="39"/>
  <c r="AH43" i="40"/>
  <c r="AI43" i="40" s="1"/>
  <c r="EX43" i="40" s="1"/>
  <c r="AL59" i="39"/>
  <c r="AK89" i="39"/>
  <c r="AH15" i="40"/>
  <c r="BB64" i="39"/>
  <c r="BB57" i="39"/>
  <c r="BB59" i="39"/>
  <c r="BB56" i="39"/>
  <c r="BB61" i="39"/>
  <c r="BB63" i="39"/>
  <c r="BC54" i="39"/>
  <c r="BB60" i="39"/>
  <c r="BB58" i="39"/>
  <c r="BB62" i="39"/>
  <c r="BN54" i="39"/>
  <c r="BB86" i="39"/>
  <c r="EH38" i="39"/>
  <c r="DL38" i="39"/>
  <c r="AT73" i="39"/>
  <c r="L38" i="39"/>
  <c r="BV38" i="39"/>
  <c r="CR38" i="39"/>
  <c r="AF38" i="39"/>
  <c r="DF73" i="39"/>
  <c r="Z73" i="39"/>
  <c r="BB38" i="39"/>
  <c r="CJ73" i="39"/>
  <c r="BP73" i="39"/>
  <c r="DZ73" i="39"/>
  <c r="AG73" i="39"/>
  <c r="BC73" i="39"/>
  <c r="S38" i="39"/>
  <c r="BW73" i="39"/>
  <c r="AO38" i="39"/>
  <c r="CT73" i="39"/>
  <c r="DM73" i="39"/>
  <c r="Z75" i="39"/>
  <c r="L40" i="39"/>
  <c r="AG72" i="39"/>
  <c r="BC72" i="39"/>
  <c r="S37" i="39"/>
  <c r="BW72" i="39"/>
  <c r="AO37" i="39"/>
  <c r="CT72" i="39"/>
  <c r="DM72" i="39"/>
  <c r="W91" i="39"/>
  <c r="T17" i="40"/>
  <c r="U17" i="40" s="1"/>
  <c r="EW17" i="40" s="1"/>
  <c r="X24" i="39"/>
  <c r="X91" i="39" s="1"/>
  <c r="AH41" i="40"/>
  <c r="AI41" i="40" s="1"/>
  <c r="EX41" i="40" s="1"/>
  <c r="AL57" i="39"/>
  <c r="AH45" i="40"/>
  <c r="AI45" i="40" s="1"/>
  <c r="EX45" i="40" s="1"/>
  <c r="AL61" i="39"/>
  <c r="AK94" i="39"/>
  <c r="AH20" i="40"/>
  <c r="AV47" i="40"/>
  <c r="AY95" i="39"/>
  <c r="AV46" i="40"/>
  <c r="AY94" i="39"/>
  <c r="X23" i="39"/>
  <c r="X90" i="39" s="1"/>
  <c r="T16" i="40"/>
  <c r="U16" i="40" s="1"/>
  <c r="EW16" i="40" s="1"/>
  <c r="W90" i="39"/>
  <c r="W94" i="39"/>
  <c r="T20" i="40"/>
  <c r="U20" i="40" s="1"/>
  <c r="EW20" i="40" s="1"/>
  <c r="X27" i="39"/>
  <c r="X94" i="39" s="1"/>
  <c r="AH47" i="40"/>
  <c r="AI47" i="40" s="1"/>
  <c r="EX47" i="40" s="1"/>
  <c r="AL63" i="39"/>
  <c r="AK93" i="39"/>
  <c r="AH19" i="40"/>
  <c r="AV42" i="40"/>
  <c r="AY90" i="39"/>
  <c r="AV40" i="40"/>
  <c r="AY88" i="39"/>
  <c r="DD54" i="39"/>
  <c r="AV35" i="40"/>
  <c r="AZ21" i="40"/>
  <c r="AZ15" i="40"/>
  <c r="BD86" i="39"/>
  <c r="BD27" i="39"/>
  <c r="BD22" i="39"/>
  <c r="BD21" i="39"/>
  <c r="BD25" i="39"/>
  <c r="BD28" i="39"/>
  <c r="BD24" i="39"/>
  <c r="BD29" i="39"/>
  <c r="BD26" i="39"/>
  <c r="BD23" i="39"/>
  <c r="BD103" i="39"/>
  <c r="BN36" i="39"/>
  <c r="BN103" i="39" s="1"/>
  <c r="BA29" i="40"/>
  <c r="BK29" i="40" s="1"/>
  <c r="EZ29" i="40" s="1"/>
  <c r="AZ18" i="40"/>
  <c r="AZ16" i="40"/>
  <c r="AZ14" i="40"/>
  <c r="BE81" i="39"/>
  <c r="BF14" i="39"/>
  <c r="BE19" i="39"/>
  <c r="BR76" i="39"/>
  <c r="BN60" i="40"/>
  <c r="AZ17" i="40"/>
  <c r="AZ20" i="40"/>
  <c r="BR74" i="39"/>
  <c r="BN58" i="40"/>
  <c r="EZ58" i="40"/>
  <c r="AZ22" i="40"/>
  <c r="AZ19" i="40"/>
  <c r="BE16" i="39"/>
  <c r="BD83" i="39"/>
  <c r="AV14" i="29" s="1"/>
  <c r="AV16" i="29" s="1"/>
  <c r="CM40" i="40"/>
  <c r="CS62" i="39"/>
  <c r="CS58" i="39"/>
  <c r="CS59" i="39"/>
  <c r="CP43" i="40" s="1"/>
  <c r="CS61" i="39"/>
  <c r="CP45" i="40" s="1"/>
  <c r="CS57" i="39"/>
  <c r="CP41" i="40" s="1"/>
  <c r="CS64" i="39"/>
  <c r="CP48" i="40" s="1"/>
  <c r="CS56" i="39"/>
  <c r="CP40" i="40" s="1"/>
  <c r="CS60" i="39"/>
  <c r="CP44" i="40" s="1"/>
  <c r="CS63" i="39"/>
  <c r="CP47" i="40" s="1"/>
  <c r="DQ54" i="39"/>
  <c r="DT49" i="39"/>
  <c r="DU49" i="39" s="1"/>
  <c r="DV49" i="39" s="1"/>
  <c r="BC41" i="39"/>
  <c r="BC108" i="39" s="1"/>
  <c r="AY34" i="40"/>
  <c r="DC63" i="39"/>
  <c r="CZ47" i="40" s="1"/>
  <c r="DC58" i="39"/>
  <c r="CZ42" i="40" s="1"/>
  <c r="DC62" i="39"/>
  <c r="CZ46" i="40" s="1"/>
  <c r="DF54" i="39"/>
  <c r="DC64" i="39"/>
  <c r="CZ48" i="40" s="1"/>
  <c r="DC56" i="39"/>
  <c r="CZ40" i="40" s="1"/>
  <c r="DC61" i="39"/>
  <c r="CZ45" i="40" s="1"/>
  <c r="DC60" i="39"/>
  <c r="CZ44" i="40" s="1"/>
  <c r="DC59" i="39"/>
  <c r="CZ43" i="40" s="1"/>
  <c r="DC57" i="39"/>
  <c r="CZ41" i="40" s="1"/>
  <c r="DP64" i="39"/>
  <c r="DM48" i="40" s="1"/>
  <c r="DP60" i="39"/>
  <c r="DM44" i="40" s="1"/>
  <c r="DP56" i="39"/>
  <c r="DM40" i="40" s="1"/>
  <c r="DP63" i="39"/>
  <c r="DM47" i="40" s="1"/>
  <c r="DP59" i="39"/>
  <c r="DM43" i="40" s="1"/>
  <c r="DP61" i="39"/>
  <c r="DM45" i="40" s="1"/>
  <c r="DP62" i="39"/>
  <c r="DM46" i="40" s="1"/>
  <c r="DP58" i="39"/>
  <c r="DM42" i="40" s="1"/>
  <c r="DP57" i="39"/>
  <c r="DM41" i="40" s="1"/>
  <c r="BD39" i="39"/>
  <c r="BD106" i="39" s="1"/>
  <c r="AZ32" i="40"/>
  <c r="E22" i="5"/>
  <c r="E20" i="5"/>
  <c r="E16" i="5"/>
  <c r="E23" i="5"/>
  <c r="E19" i="5"/>
  <c r="E23" i="28"/>
  <c r="AB11" i="28"/>
  <c r="E34" i="5"/>
  <c r="E30" i="5"/>
  <c r="E36" i="5"/>
  <c r="E31" i="5"/>
  <c r="E33" i="5"/>
  <c r="E29" i="5"/>
  <c r="C10" i="36"/>
  <c r="C21" i="35"/>
  <c r="C18" i="1"/>
  <c r="AL72" i="39" l="1"/>
  <c r="AL104" i="39" s="1"/>
  <c r="AG104" i="39"/>
  <c r="AD56" i="40"/>
  <c r="AI56" i="40" s="1"/>
  <c r="EX56" i="40" s="1"/>
  <c r="AE29" i="40"/>
  <c r="AH103" i="39"/>
  <c r="AL36" i="39"/>
  <c r="BB102" i="39"/>
  <c r="AY28" i="40"/>
  <c r="DF105" i="39"/>
  <c r="DC57" i="40"/>
  <c r="DR73" i="39"/>
  <c r="AK41" i="40"/>
  <c r="I28" i="40"/>
  <c r="L102" i="39"/>
  <c r="X35" i="39"/>
  <c r="X102" i="39" s="1"/>
  <c r="DR66" i="39"/>
  <c r="DF98" i="39"/>
  <c r="DC50" i="40"/>
  <c r="DO50" i="40" s="1"/>
  <c r="FD50" i="40" s="1"/>
  <c r="AZ66" i="39"/>
  <c r="AZ98" i="39" s="1"/>
  <c r="AT98" i="39"/>
  <c r="AQ50" i="40"/>
  <c r="AY46" i="40"/>
  <c r="BB94" i="39"/>
  <c r="AF98" i="39"/>
  <c r="AL31" i="39"/>
  <c r="AC24" i="40"/>
  <c r="AK20" i="40"/>
  <c r="AN94" i="39"/>
  <c r="CQ56" i="40"/>
  <c r="DA56" i="40" s="1"/>
  <c r="FC56" i="40" s="1"/>
  <c r="DD72" i="39"/>
  <c r="CT104" i="39"/>
  <c r="W59" i="40"/>
  <c r="AI59" i="40" s="1"/>
  <c r="EX59" i="40" s="1"/>
  <c r="AL75" i="39"/>
  <c r="AN75" i="39"/>
  <c r="EF73" i="39"/>
  <c r="DZ105" i="39"/>
  <c r="DW57" i="40"/>
  <c r="EC57" i="40" s="1"/>
  <c r="FE57" i="40" s="1"/>
  <c r="BV105" i="39"/>
  <c r="BS31" i="40"/>
  <c r="BY31" i="40" s="1"/>
  <c r="FA31" i="40" s="1"/>
  <c r="CB38" i="39"/>
  <c r="AY42" i="40"/>
  <c r="BB90" i="39"/>
  <c r="AY48" i="40"/>
  <c r="BB96" i="39"/>
  <c r="N103" i="39"/>
  <c r="X36" i="39"/>
  <c r="X103" i="39" s="1"/>
  <c r="K29" i="40"/>
  <c r="AK40" i="40"/>
  <c r="AZ56" i="39"/>
  <c r="S102" i="39"/>
  <c r="P28" i="40"/>
  <c r="U28" i="40" s="1"/>
  <c r="EW28" i="40" s="1"/>
  <c r="Z102" i="39"/>
  <c r="W54" i="40"/>
  <c r="AL70" i="39"/>
  <c r="W15" i="40"/>
  <c r="Z89" i="39"/>
  <c r="AL26" i="40"/>
  <c r="AW26" i="40" s="1"/>
  <c r="EY26" i="40" s="1"/>
  <c r="EY23" i="40" s="1"/>
  <c r="AO100" i="39"/>
  <c r="AZ33" i="39"/>
  <c r="AZ100" i="39" s="1"/>
  <c r="EH98" i="39"/>
  <c r="EE24" i="40"/>
  <c r="EQ24" i="40" s="1"/>
  <c r="FF24" i="40" s="1"/>
  <c r="ET31" i="39"/>
  <c r="ET98" i="39" s="1"/>
  <c r="AZ86" i="39"/>
  <c r="AN91" i="39"/>
  <c r="AK17" i="40"/>
  <c r="S105" i="39"/>
  <c r="P31" i="40"/>
  <c r="AY40" i="40"/>
  <c r="BB88" i="39"/>
  <c r="CQ54" i="40"/>
  <c r="DA54" i="40" s="1"/>
  <c r="FC54" i="40" s="1"/>
  <c r="FC53" i="40" s="1"/>
  <c r="DD70" i="39"/>
  <c r="CT102" i="39"/>
  <c r="AN92" i="39"/>
  <c r="AK18" i="40"/>
  <c r="AY43" i="40"/>
  <c r="BN59" i="39"/>
  <c r="BB91" i="39"/>
  <c r="AK44" i="40"/>
  <c r="AW44" i="40" s="1"/>
  <c r="EY44" i="40" s="1"/>
  <c r="CJ102" i="39"/>
  <c r="CG54" i="40"/>
  <c r="CM54" i="40" s="1"/>
  <c r="FB54" i="40" s="1"/>
  <c r="CP70" i="39"/>
  <c r="DR72" i="39"/>
  <c r="DM104" i="39"/>
  <c r="DJ56" i="40"/>
  <c r="DO56" i="40" s="1"/>
  <c r="FD56" i="40" s="1"/>
  <c r="AG105" i="39"/>
  <c r="AD57" i="40"/>
  <c r="AY41" i="40"/>
  <c r="BB89" i="39"/>
  <c r="AK46" i="40"/>
  <c r="AW46" i="40" s="1"/>
  <c r="EY46" i="40" s="1"/>
  <c r="AZ62" i="39"/>
  <c r="EH102" i="39"/>
  <c r="EE28" i="40"/>
  <c r="CG50" i="40"/>
  <c r="CM50" i="40" s="1"/>
  <c r="FB50" i="40" s="1"/>
  <c r="FB49" i="40" s="1"/>
  <c r="CP66" i="39"/>
  <c r="CP98" i="39" s="1"/>
  <c r="CJ98" i="39"/>
  <c r="AO104" i="39"/>
  <c r="AL30" i="40"/>
  <c r="AW30" i="40" s="1"/>
  <c r="EY30" i="40" s="1"/>
  <c r="AZ37" i="39"/>
  <c r="AZ104" i="39" s="1"/>
  <c r="DM105" i="39"/>
  <c r="DJ57" i="40"/>
  <c r="DO57" i="40" s="1"/>
  <c r="FD57" i="40" s="1"/>
  <c r="BM57" i="40"/>
  <c r="BP105" i="39"/>
  <c r="CB73" i="39"/>
  <c r="I31" i="40"/>
  <c r="L105" i="39"/>
  <c r="X38" i="39"/>
  <c r="X105" i="39" s="1"/>
  <c r="AY44" i="40"/>
  <c r="BB92" i="39"/>
  <c r="AL71" i="39"/>
  <c r="AB103" i="39"/>
  <c r="Y55" i="40"/>
  <c r="AK45" i="40"/>
  <c r="AZ61" i="39"/>
  <c r="BN70" i="39"/>
  <c r="AZ54" i="40"/>
  <c r="BK54" i="40" s="1"/>
  <c r="EZ54" i="40" s="1"/>
  <c r="EZ53" i="40" s="1"/>
  <c r="BC102" i="39"/>
  <c r="AT102" i="39"/>
  <c r="AQ54" i="40"/>
  <c r="AW54" i="40" s="1"/>
  <c r="EY54" i="40" s="1"/>
  <c r="AZ70" i="39"/>
  <c r="AH61" i="40"/>
  <c r="AI40" i="40"/>
  <c r="W18" i="40"/>
  <c r="Z92" i="39"/>
  <c r="BW100" i="39"/>
  <c r="BT52" i="40"/>
  <c r="BY52" i="40" s="1"/>
  <c r="FA52" i="40" s="1"/>
  <c r="CB68" i="39"/>
  <c r="CB100" i="39" s="1"/>
  <c r="BV98" i="39"/>
  <c r="CB31" i="39"/>
  <c r="CB98" i="39" s="1"/>
  <c r="BS24" i="40"/>
  <c r="BY24" i="40" s="1"/>
  <c r="FA24" i="40" s="1"/>
  <c r="FA23" i="40" s="1"/>
  <c r="AK21" i="40"/>
  <c r="AN95" i="39"/>
  <c r="AK14" i="40"/>
  <c r="AN88" i="39"/>
  <c r="CB66" i="39"/>
  <c r="BP98" i="39"/>
  <c r="BM50" i="40"/>
  <c r="CB71" i="39"/>
  <c r="BR103" i="39"/>
  <c r="BO55" i="40"/>
  <c r="BY55" i="40" s="1"/>
  <c r="FA55" i="40" s="1"/>
  <c r="AO63" i="39"/>
  <c r="AL47" i="40" s="1"/>
  <c r="AO56" i="39"/>
  <c r="AL40" i="40" s="1"/>
  <c r="AO57" i="39"/>
  <c r="AL41" i="40" s="1"/>
  <c r="AO64" i="39"/>
  <c r="AL48" i="40" s="1"/>
  <c r="AO60" i="39"/>
  <c r="AL44" i="40" s="1"/>
  <c r="AO59" i="39"/>
  <c r="AL43" i="40" s="1"/>
  <c r="AO61" i="39"/>
  <c r="AL45" i="40" s="1"/>
  <c r="AW45" i="40" s="1"/>
  <c r="EY45" i="40" s="1"/>
  <c r="AO62" i="39"/>
  <c r="AL46" i="40" s="1"/>
  <c r="AO58" i="39"/>
  <c r="AL42" i="40" s="1"/>
  <c r="EF70" i="39"/>
  <c r="DZ102" i="39"/>
  <c r="DW54" i="40"/>
  <c r="EC54" i="40" s="1"/>
  <c r="FE54" i="40" s="1"/>
  <c r="Z90" i="39"/>
  <c r="W16" i="40"/>
  <c r="L98" i="39"/>
  <c r="X31" i="39"/>
  <c r="X98" i="39" s="1"/>
  <c r="I24" i="40"/>
  <c r="CR105" i="39"/>
  <c r="CO31" i="40"/>
  <c r="BP102" i="39"/>
  <c r="BM54" i="40"/>
  <c r="CB70" i="39"/>
  <c r="DD63" i="39"/>
  <c r="CB72" i="39"/>
  <c r="CB104" i="39" s="1"/>
  <c r="BT56" i="40"/>
  <c r="BY56" i="40" s="1"/>
  <c r="FA56" i="40" s="1"/>
  <c r="BW104" i="39"/>
  <c r="DD73" i="39"/>
  <c r="CQ57" i="40"/>
  <c r="DA57" i="40" s="1"/>
  <c r="FC57" i="40" s="1"/>
  <c r="CT105" i="39"/>
  <c r="CP73" i="39"/>
  <c r="CJ105" i="39"/>
  <c r="CG57" i="40"/>
  <c r="CM57" i="40" s="1"/>
  <c r="FB57" i="40" s="1"/>
  <c r="AZ73" i="39"/>
  <c r="AT105" i="39"/>
  <c r="AQ57" i="40"/>
  <c r="AW57" i="40" s="1"/>
  <c r="EY57" i="40" s="1"/>
  <c r="BC57" i="39"/>
  <c r="BC58" i="39"/>
  <c r="BC60" i="39"/>
  <c r="BC56" i="39"/>
  <c r="BN56" i="39" s="1"/>
  <c r="BC64" i="39"/>
  <c r="BC62" i="39"/>
  <c r="BC63" i="39"/>
  <c r="BC59" i="39"/>
  <c r="BC61" i="39"/>
  <c r="BC86" i="39"/>
  <c r="AK48" i="40"/>
  <c r="AZ64" i="39"/>
  <c r="U14" i="40"/>
  <c r="T35" i="40"/>
  <c r="T63" i="40" s="1"/>
  <c r="R19" i="29" s="1"/>
  <c r="AG102" i="39"/>
  <c r="AD54" i="40"/>
  <c r="AI54" i="40" s="1"/>
  <c r="EX54" i="40" s="1"/>
  <c r="BS28" i="40"/>
  <c r="BY28" i="40" s="1"/>
  <c r="FA28" i="40" s="1"/>
  <c r="BV102" i="39"/>
  <c r="CB35" i="39"/>
  <c r="CB102" i="39" s="1"/>
  <c r="Z93" i="39"/>
  <c r="W19" i="40"/>
  <c r="Z95" i="39"/>
  <c r="W21" i="40"/>
  <c r="S100" i="39"/>
  <c r="P26" i="40"/>
  <c r="X33" i="39"/>
  <c r="X100" i="39" s="1"/>
  <c r="Z23" i="29"/>
  <c r="AA23" i="29" s="1"/>
  <c r="AB23" i="29" s="1"/>
  <c r="AC23" i="29" s="1"/>
  <c r="Y32" i="29"/>
  <c r="BB98" i="39"/>
  <c r="BN31" i="39"/>
  <c r="BN98" i="39" s="1"/>
  <c r="AY24" i="40"/>
  <c r="BK24" i="40" s="1"/>
  <c r="EZ24" i="40" s="1"/>
  <c r="AN90" i="39"/>
  <c r="AK16" i="40"/>
  <c r="AZ23" i="39"/>
  <c r="AZ57" i="40"/>
  <c r="BK57" i="40" s="1"/>
  <c r="EZ57" i="40" s="1"/>
  <c r="BN73" i="39"/>
  <c r="BC105" i="39"/>
  <c r="DR68" i="39"/>
  <c r="DM100" i="39"/>
  <c r="DJ52" i="40"/>
  <c r="DO52" i="40" s="1"/>
  <c r="FD52" i="40" s="1"/>
  <c r="FD49" i="40" s="1"/>
  <c r="AK43" i="40"/>
  <c r="W17" i="40"/>
  <c r="Z91" i="39"/>
  <c r="S104" i="39"/>
  <c r="P30" i="40"/>
  <c r="U30" i="40" s="1"/>
  <c r="EW30" i="40" s="1"/>
  <c r="X37" i="39"/>
  <c r="X104" i="39" s="1"/>
  <c r="AO105" i="39"/>
  <c r="AZ38" i="39"/>
  <c r="AZ105" i="39" s="1"/>
  <c r="AL31" i="40"/>
  <c r="AW31" i="40" s="1"/>
  <c r="EY31" i="40" s="1"/>
  <c r="BB105" i="39"/>
  <c r="AY31" i="40"/>
  <c r="DI31" i="40"/>
  <c r="DL105" i="39"/>
  <c r="AY47" i="40"/>
  <c r="BN63" i="39"/>
  <c r="BB95" i="39"/>
  <c r="DR71" i="39"/>
  <c r="DH103" i="39"/>
  <c r="DE55" i="40"/>
  <c r="DO55" i="40" s="1"/>
  <c r="FD55" i="40" s="1"/>
  <c r="AK47" i="40"/>
  <c r="CR102" i="39"/>
  <c r="CO28" i="40"/>
  <c r="AC28" i="40"/>
  <c r="AI28" i="40" s="1"/>
  <c r="EX28" i="40" s="1"/>
  <c r="AF102" i="39"/>
  <c r="AL35" i="39"/>
  <c r="AL102" i="39" s="1"/>
  <c r="AW43" i="40"/>
  <c r="EY43" i="40" s="1"/>
  <c r="W22" i="40"/>
  <c r="Z96" i="39"/>
  <c r="W20" i="40"/>
  <c r="Z94" i="39"/>
  <c r="BN68" i="39"/>
  <c r="BC100" i="39"/>
  <c r="AZ52" i="40"/>
  <c r="BK52" i="40" s="1"/>
  <c r="EZ52" i="40" s="1"/>
  <c r="EZ49" i="40" s="1"/>
  <c r="DL98" i="39"/>
  <c r="DI24" i="40"/>
  <c r="DO24" i="40" s="1"/>
  <c r="FD24" i="40" s="1"/>
  <c r="DR31" i="39"/>
  <c r="AL66" i="39"/>
  <c r="Z98" i="39"/>
  <c r="W50" i="40"/>
  <c r="AK15" i="40"/>
  <c r="AN89" i="39"/>
  <c r="AZ22" i="39"/>
  <c r="AO27" i="39"/>
  <c r="AO29" i="39"/>
  <c r="AO23" i="39"/>
  <c r="AO24" i="39"/>
  <c r="AO26" i="39"/>
  <c r="AO21" i="39"/>
  <c r="AO25" i="39"/>
  <c r="AZ25" i="39" s="1"/>
  <c r="AO86" i="39"/>
  <c r="AO22" i="39"/>
  <c r="AO28" i="39"/>
  <c r="AZ28" i="39" s="1"/>
  <c r="AF105" i="39"/>
  <c r="AC31" i="40"/>
  <c r="AI31" i="40" s="1"/>
  <c r="EX31" i="40" s="1"/>
  <c r="AL38" i="39"/>
  <c r="AL105" i="39" s="1"/>
  <c r="AZ35" i="39"/>
  <c r="AL28" i="40"/>
  <c r="AW28" i="40" s="1"/>
  <c r="EY28" i="40" s="1"/>
  <c r="EY27" i="40" s="1"/>
  <c r="AO102" i="39"/>
  <c r="AH35" i="40"/>
  <c r="AH63" i="40" s="1"/>
  <c r="AE19" i="29" s="1"/>
  <c r="AK22" i="40"/>
  <c r="AN96" i="39"/>
  <c r="AZ29" i="39"/>
  <c r="AZ96" i="39" s="1"/>
  <c r="BN61" i="40"/>
  <c r="I33" i="40"/>
  <c r="U33" i="40" s="1"/>
  <c r="EW33" i="40" s="1"/>
  <c r="L107" i="39"/>
  <c r="X40" i="39"/>
  <c r="X107" i="39" s="1"/>
  <c r="Z40" i="39"/>
  <c r="AZ71" i="39"/>
  <c r="AZ103" i="39" s="1"/>
  <c r="AV103" i="39"/>
  <c r="AS55" i="40"/>
  <c r="BT54" i="40"/>
  <c r="BY54" i="40" s="1"/>
  <c r="FA54" i="40" s="1"/>
  <c r="FA53" i="40" s="1"/>
  <c r="BW102" i="39"/>
  <c r="DD68" i="39"/>
  <c r="CT100" i="39"/>
  <c r="CQ52" i="40"/>
  <c r="DA52" i="40" s="1"/>
  <c r="FC52" i="40" s="1"/>
  <c r="FC49" i="40" s="1"/>
  <c r="AV61" i="40"/>
  <c r="AV63" i="40" s="1"/>
  <c r="AR19" i="29" s="1"/>
  <c r="BC104" i="39"/>
  <c r="BN72" i="39"/>
  <c r="AZ56" i="40"/>
  <c r="BK56" i="40" s="1"/>
  <c r="EZ56" i="40" s="1"/>
  <c r="BW105" i="39"/>
  <c r="BT57" i="40"/>
  <c r="BY57" i="40" s="1"/>
  <c r="FA57" i="40" s="1"/>
  <c r="AL73" i="39"/>
  <c r="Z105" i="39"/>
  <c r="W57" i="40"/>
  <c r="AI57" i="40" s="1"/>
  <c r="EX57" i="40" s="1"/>
  <c r="EH105" i="39"/>
  <c r="EE31" i="40"/>
  <c r="AY45" i="40"/>
  <c r="BN61" i="39"/>
  <c r="BB93" i="39"/>
  <c r="CP71" i="39"/>
  <c r="CP103" i="39" s="1"/>
  <c r="CI55" i="40"/>
  <c r="CM55" i="40" s="1"/>
  <c r="FB55" i="40" s="1"/>
  <c r="FB53" i="40" s="1"/>
  <c r="CL103" i="39"/>
  <c r="AK42" i="40"/>
  <c r="AW42" i="40" s="1"/>
  <c r="EY42" i="40" s="1"/>
  <c r="DM102" i="39"/>
  <c r="DJ54" i="40"/>
  <c r="DO54" i="40" s="1"/>
  <c r="FD54" i="40" s="1"/>
  <c r="FD53" i="40" s="1"/>
  <c r="DF102" i="39"/>
  <c r="DC54" i="40"/>
  <c r="DR70" i="39"/>
  <c r="DI28" i="40"/>
  <c r="DL102" i="39"/>
  <c r="Z88" i="39"/>
  <c r="W14" i="40"/>
  <c r="AA23" i="39"/>
  <c r="AA25" i="39"/>
  <c r="AA21" i="39"/>
  <c r="AA24" i="39"/>
  <c r="AA27" i="39"/>
  <c r="AA26" i="39"/>
  <c r="AA28" i="39"/>
  <c r="AA22" i="39"/>
  <c r="AA86" i="39"/>
  <c r="AA29" i="39"/>
  <c r="AL68" i="39"/>
  <c r="AL100" i="39" s="1"/>
  <c r="AD52" i="40"/>
  <c r="AG100" i="39"/>
  <c r="CR98" i="39"/>
  <c r="DD31" i="39"/>
  <c r="DD98" i="39" s="1"/>
  <c r="CO24" i="40"/>
  <c r="DA24" i="40" s="1"/>
  <c r="FC24" i="40" s="1"/>
  <c r="EF66" i="39"/>
  <c r="EF98" i="39" s="1"/>
  <c r="DZ98" i="39"/>
  <c r="DW50" i="40"/>
  <c r="EC50" i="40" s="1"/>
  <c r="FE50" i="40" s="1"/>
  <c r="FE49" i="40" s="1"/>
  <c r="AL25" i="39"/>
  <c r="AL92" i="39" s="1"/>
  <c r="AK19" i="40"/>
  <c r="AN93" i="39"/>
  <c r="AZ26" i="39"/>
  <c r="DD57" i="39"/>
  <c r="DA40" i="40"/>
  <c r="FC40" i="40" s="1"/>
  <c r="DA43" i="40"/>
  <c r="FC43" i="40" s="1"/>
  <c r="DA48" i="40"/>
  <c r="FC48" i="40" s="1"/>
  <c r="DA47" i="40"/>
  <c r="FC47" i="40" s="1"/>
  <c r="DA41" i="40"/>
  <c r="FC41" i="40" s="1"/>
  <c r="DA44" i="40"/>
  <c r="FC44" i="40" s="1"/>
  <c r="DA45" i="40"/>
  <c r="FC45" i="40" s="1"/>
  <c r="B22" i="35"/>
  <c r="B31" i="35" s="1"/>
  <c r="B33" i="35" s="1"/>
  <c r="C32" i="35" s="1"/>
  <c r="G11" i="37" s="1"/>
  <c r="C22" i="35"/>
  <c r="DD62" i="39"/>
  <c r="CP46" i="40"/>
  <c r="DA46" i="40" s="1"/>
  <c r="FC46" i="40" s="1"/>
  <c r="BE86" i="39"/>
  <c r="BE28" i="39"/>
  <c r="BE22" i="39"/>
  <c r="BE25" i="39"/>
  <c r="BE24" i="39"/>
  <c r="BE29" i="39"/>
  <c r="BE27" i="39"/>
  <c r="BE26" i="39"/>
  <c r="BE21" i="39"/>
  <c r="BE23" i="39"/>
  <c r="BA17" i="40"/>
  <c r="BD91" i="39"/>
  <c r="BA15" i="40"/>
  <c r="BD89" i="39"/>
  <c r="FB40" i="40"/>
  <c r="FB39" i="40" s="1"/>
  <c r="BS74" i="39"/>
  <c r="BO58" i="40"/>
  <c r="BF81" i="39"/>
  <c r="BF19" i="39"/>
  <c r="BG14" i="39"/>
  <c r="BA16" i="40"/>
  <c r="BD90" i="39"/>
  <c r="BA21" i="40"/>
  <c r="BD95" i="39"/>
  <c r="BA20" i="40"/>
  <c r="BD94" i="39"/>
  <c r="BF16" i="39"/>
  <c r="BE83" i="39"/>
  <c r="AW14" i="29" s="1"/>
  <c r="AW16" i="29" s="1"/>
  <c r="BA19" i="40"/>
  <c r="BD93" i="39"/>
  <c r="BA18" i="40"/>
  <c r="BD92" i="39"/>
  <c r="DD58" i="39"/>
  <c r="CP42" i="40"/>
  <c r="DA42" i="40" s="1"/>
  <c r="FC42" i="40" s="1"/>
  <c r="BS76" i="39"/>
  <c r="BO60" i="40"/>
  <c r="BA22" i="40"/>
  <c r="BD96" i="39"/>
  <c r="BA14" i="40"/>
  <c r="BD88" i="39"/>
  <c r="BD41" i="39"/>
  <c r="BD108" i="39" s="1"/>
  <c r="AZ34" i="40"/>
  <c r="AZ35" i="40" s="1"/>
  <c r="DD60" i="39"/>
  <c r="DD61" i="39"/>
  <c r="EF49" i="39"/>
  <c r="DW49" i="39"/>
  <c r="DX49" i="39" s="1"/>
  <c r="DY49" i="39" s="1"/>
  <c r="DZ49" i="39" s="1"/>
  <c r="EA49" i="39" s="1"/>
  <c r="EB49" i="39" s="1"/>
  <c r="DV54" i="39"/>
  <c r="DD56" i="39"/>
  <c r="DD59" i="39"/>
  <c r="DQ61" i="39"/>
  <c r="DN45" i="40" s="1"/>
  <c r="DQ64" i="39"/>
  <c r="DN48" i="40" s="1"/>
  <c r="DQ57" i="39"/>
  <c r="DN41" i="40" s="1"/>
  <c r="DQ63" i="39"/>
  <c r="DN47" i="40" s="1"/>
  <c r="DQ59" i="39"/>
  <c r="DN43" i="40" s="1"/>
  <c r="DT54" i="39"/>
  <c r="DQ62" i="39"/>
  <c r="DN46" i="40" s="1"/>
  <c r="DQ60" i="39"/>
  <c r="DN44" i="40" s="1"/>
  <c r="DQ56" i="39"/>
  <c r="DN40" i="40" s="1"/>
  <c r="DQ58" i="39"/>
  <c r="DN42" i="40" s="1"/>
  <c r="DD64" i="39"/>
  <c r="DF63" i="39"/>
  <c r="DC47" i="40" s="1"/>
  <c r="DF56" i="39"/>
  <c r="DC40" i="40" s="1"/>
  <c r="DG54" i="39"/>
  <c r="DF61" i="39"/>
  <c r="DC45" i="40" s="1"/>
  <c r="DF60" i="39"/>
  <c r="DC44" i="40" s="1"/>
  <c r="DF57" i="39"/>
  <c r="DC41" i="40" s="1"/>
  <c r="DF58" i="39"/>
  <c r="DC42" i="40" s="1"/>
  <c r="DF59" i="39"/>
  <c r="DC43" i="40" s="1"/>
  <c r="DF62" i="39"/>
  <c r="DC46" i="40" s="1"/>
  <c r="DF64" i="39"/>
  <c r="DC48" i="40" s="1"/>
  <c r="BE39" i="39"/>
  <c r="BE106" i="39" s="1"/>
  <c r="BA32" i="40"/>
  <c r="I11" i="2"/>
  <c r="I21" i="2"/>
  <c r="C34" i="5"/>
  <c r="E37" i="5"/>
  <c r="E35" i="5"/>
  <c r="E32" i="5"/>
  <c r="C32" i="5"/>
  <c r="C29" i="5"/>
  <c r="C31" i="5"/>
  <c r="C33" i="5"/>
  <c r="C36" i="5"/>
  <c r="C35" i="5"/>
  <c r="C30" i="5"/>
  <c r="C37" i="5"/>
  <c r="C12" i="36"/>
  <c r="H16" i="36"/>
  <c r="H17" i="36" s="1"/>
  <c r="D16" i="36"/>
  <c r="D17" i="36" s="1"/>
  <c r="K16" i="36"/>
  <c r="K17" i="36" s="1"/>
  <c r="E16" i="36"/>
  <c r="E17" i="36" s="1"/>
  <c r="J16" i="36"/>
  <c r="J17" i="36" s="1"/>
  <c r="F16" i="36"/>
  <c r="F17" i="36" s="1"/>
  <c r="G16" i="36"/>
  <c r="G17" i="36" s="1"/>
  <c r="C16" i="36"/>
  <c r="C17" i="36" s="1"/>
  <c r="C23" i="36" s="1"/>
  <c r="L16" i="36"/>
  <c r="L17" i="36" s="1"/>
  <c r="I16" i="36"/>
  <c r="I17" i="36" s="1"/>
  <c r="C31" i="1"/>
  <c r="AI17" i="40" l="1"/>
  <c r="EX17" i="40" s="1"/>
  <c r="EW14" i="40"/>
  <c r="EW13" i="40" s="1"/>
  <c r="U35" i="40"/>
  <c r="BK44" i="40"/>
  <c r="EZ44" i="40" s="1"/>
  <c r="AZ44" i="40"/>
  <c r="BC92" i="39"/>
  <c r="AW50" i="40"/>
  <c r="EY50" i="40" s="1"/>
  <c r="EY49" i="40" s="1"/>
  <c r="AQ61" i="40"/>
  <c r="AQ63" i="40" s="1"/>
  <c r="AM19" i="29" s="1"/>
  <c r="U26" i="40"/>
  <c r="EW26" i="40" s="1"/>
  <c r="P35" i="40"/>
  <c r="P63" i="40" s="1"/>
  <c r="N19" i="29" s="1"/>
  <c r="AK59" i="40"/>
  <c r="AW59" i="40" s="1"/>
  <c r="EY59" i="40" s="1"/>
  <c r="BB75" i="39"/>
  <c r="AZ75" i="39"/>
  <c r="AA94" i="39"/>
  <c r="X20" i="40"/>
  <c r="AI20" i="40" s="1"/>
  <c r="EX20" i="40" s="1"/>
  <c r="AL17" i="40"/>
  <c r="AO91" i="39"/>
  <c r="AZ45" i="40"/>
  <c r="BK45" i="40" s="1"/>
  <c r="EZ45" i="40" s="1"/>
  <c r="BC93" i="39"/>
  <c r="AZ41" i="40"/>
  <c r="BC89" i="39"/>
  <c r="FA49" i="40"/>
  <c r="U29" i="40"/>
  <c r="EW29" i="40" s="1"/>
  <c r="K35" i="40"/>
  <c r="K63" i="40" s="1"/>
  <c r="I19" i="29" s="1"/>
  <c r="C19" i="29" s="1"/>
  <c r="BK42" i="40"/>
  <c r="EZ42" i="40" s="1"/>
  <c r="AI24" i="40"/>
  <c r="EX24" i="40" s="1"/>
  <c r="EX23" i="40" s="1"/>
  <c r="AC35" i="40"/>
  <c r="AC63" i="40" s="1"/>
  <c r="Z19" i="29" s="1"/>
  <c r="Z32" i="29" s="1"/>
  <c r="AZ57" i="39"/>
  <c r="AL103" i="39"/>
  <c r="X16" i="40"/>
  <c r="AI16" i="40" s="1"/>
  <c r="EX16" i="40" s="1"/>
  <c r="AA90" i="39"/>
  <c r="AZ93" i="39"/>
  <c r="X21" i="40"/>
  <c r="AI21" i="40" s="1"/>
  <c r="EX21" i="40" s="1"/>
  <c r="AA95" i="39"/>
  <c r="AZ58" i="39"/>
  <c r="AA93" i="39"/>
  <c r="X19" i="40"/>
  <c r="AI19" i="40" s="1"/>
  <c r="EX19" i="40" s="1"/>
  <c r="AL26" i="39"/>
  <c r="AL93" i="39" s="1"/>
  <c r="AL19" i="40"/>
  <c r="AW19" i="40" s="1"/>
  <c r="EY19" i="40" s="1"/>
  <c r="AO93" i="39"/>
  <c r="AI50" i="40"/>
  <c r="EX50" i="40" s="1"/>
  <c r="EX49" i="40" s="1"/>
  <c r="W61" i="40"/>
  <c r="AI52" i="40"/>
  <c r="EX52" i="40" s="1"/>
  <c r="AD61" i="40"/>
  <c r="AD63" i="40" s="1"/>
  <c r="AA19" i="29" s="1"/>
  <c r="AA32" i="29" s="1"/>
  <c r="X17" i="40"/>
  <c r="AA91" i="39"/>
  <c r="AW40" i="40"/>
  <c r="AW22" i="40"/>
  <c r="EY22" i="40" s="1"/>
  <c r="AL16" i="40"/>
  <c r="AO90" i="39"/>
  <c r="AL27" i="39"/>
  <c r="AL94" i="39" s="1"/>
  <c r="AL28" i="39"/>
  <c r="AL95" i="39" s="1"/>
  <c r="EX53" i="40"/>
  <c r="AZ43" i="40"/>
  <c r="BC91" i="39"/>
  <c r="AW48" i="40"/>
  <c r="EY48" i="40" s="1"/>
  <c r="BY50" i="40"/>
  <c r="FA50" i="40" s="1"/>
  <c r="BN57" i="39"/>
  <c r="CB105" i="39"/>
  <c r="AL98" i="39"/>
  <c r="AW41" i="40"/>
  <c r="EY41" i="40" s="1"/>
  <c r="AZ89" i="39"/>
  <c r="AZ48" i="40"/>
  <c r="BK48" i="40" s="1"/>
  <c r="EZ48" i="40" s="1"/>
  <c r="BC96" i="39"/>
  <c r="U24" i="40"/>
  <c r="EW24" i="40" s="1"/>
  <c r="I35" i="40"/>
  <c r="I63" i="40" s="1"/>
  <c r="G19" i="29" s="1"/>
  <c r="AO88" i="39"/>
  <c r="AL14" i="40"/>
  <c r="AW16" i="40"/>
  <c r="EY16" i="40" s="1"/>
  <c r="AW17" i="40"/>
  <c r="EY17" i="40" s="1"/>
  <c r="AZ63" i="40"/>
  <c r="AU19" i="29" s="1"/>
  <c r="AW55" i="40"/>
  <c r="EY55" i="40" s="1"/>
  <c r="EY53" i="40" s="1"/>
  <c r="AS61" i="40"/>
  <c r="AS63" i="40" s="1"/>
  <c r="AO19" i="29" s="1"/>
  <c r="X14" i="40"/>
  <c r="AI14" i="40" s="1"/>
  <c r="AA88" i="39"/>
  <c r="AL21" i="39"/>
  <c r="AL88" i="39" s="1"/>
  <c r="AN40" i="39"/>
  <c r="AL40" i="39"/>
  <c r="AL107" i="39" s="1"/>
  <c r="W33" i="40"/>
  <c r="AI33" i="40" s="1"/>
  <c r="EX33" i="40" s="1"/>
  <c r="Z107" i="39"/>
  <c r="AO95" i="39"/>
  <c r="AL21" i="40"/>
  <c r="AW21" i="40" s="1"/>
  <c r="EY21" i="40" s="1"/>
  <c r="AL22" i="40"/>
  <c r="AO96" i="39"/>
  <c r="AL24" i="39"/>
  <c r="AL91" i="39" s="1"/>
  <c r="AZ47" i="40"/>
  <c r="BK47" i="40" s="1"/>
  <c r="EZ47" i="40" s="1"/>
  <c r="BC95" i="39"/>
  <c r="BK41" i="40"/>
  <c r="EZ41" i="40" s="1"/>
  <c r="AI29" i="40"/>
  <c r="EX29" i="40" s="1"/>
  <c r="EX27" i="40" s="1"/>
  <c r="AE35" i="40"/>
  <c r="AE63" i="40" s="1"/>
  <c r="AB19" i="29" s="1"/>
  <c r="AB32" i="29" s="1"/>
  <c r="AW47" i="40"/>
  <c r="EY47" i="40" s="1"/>
  <c r="AI55" i="40"/>
  <c r="EX55" i="40" s="1"/>
  <c r="Y61" i="40"/>
  <c r="Y63" i="40" s="1"/>
  <c r="V19" i="29" s="1"/>
  <c r="V32" i="29" s="1"/>
  <c r="AZ42" i="40"/>
  <c r="BC90" i="39"/>
  <c r="AW14" i="40"/>
  <c r="BK43" i="40"/>
  <c r="EZ43" i="40" s="1"/>
  <c r="BN58" i="39"/>
  <c r="X22" i="40"/>
  <c r="AI22" i="40" s="1"/>
  <c r="EX22" i="40" s="1"/>
  <c r="AA96" i="39"/>
  <c r="AL29" i="39"/>
  <c r="AL96" i="39" s="1"/>
  <c r="X18" i="40"/>
  <c r="AI18" i="40" s="1"/>
  <c r="EX18" i="40" s="1"/>
  <c r="AA92" i="39"/>
  <c r="AO89" i="39"/>
  <c r="AL15" i="40"/>
  <c r="AW15" i="40" s="1"/>
  <c r="EY15" i="40" s="1"/>
  <c r="AO94" i="39"/>
  <c r="AL20" i="40"/>
  <c r="AW20" i="40" s="1"/>
  <c r="EY20" i="40" s="1"/>
  <c r="AZ46" i="40"/>
  <c r="BC94" i="39"/>
  <c r="AL61" i="40"/>
  <c r="BN60" i="39"/>
  <c r="AZ60" i="39"/>
  <c r="AZ92" i="39" s="1"/>
  <c r="U31" i="40"/>
  <c r="EW31" i="40" s="1"/>
  <c r="BN62" i="39"/>
  <c r="DR98" i="39"/>
  <c r="EX40" i="40"/>
  <c r="EX39" i="40" s="1"/>
  <c r="EW27" i="40"/>
  <c r="BN64" i="39"/>
  <c r="X15" i="40"/>
  <c r="AI15" i="40" s="1"/>
  <c r="EX15" i="40" s="1"/>
  <c r="AA89" i="39"/>
  <c r="AL22" i="39"/>
  <c r="AL89" i="39" s="1"/>
  <c r="AZ102" i="39"/>
  <c r="AL18" i="40"/>
  <c r="AW18" i="40" s="1"/>
  <c r="EY18" i="40" s="1"/>
  <c r="AO92" i="39"/>
  <c r="AL23" i="39"/>
  <c r="AL90" i="39" s="1"/>
  <c r="AZ63" i="39"/>
  <c r="AZ95" i="39" s="1"/>
  <c r="AZ59" i="39"/>
  <c r="AZ90" i="39"/>
  <c r="AD23" i="29"/>
  <c r="AC32" i="29"/>
  <c r="AZ40" i="40"/>
  <c r="AZ61" i="40" s="1"/>
  <c r="BC88" i="39"/>
  <c r="AZ21" i="39"/>
  <c r="AZ88" i="39" s="1"/>
  <c r="AZ24" i="39"/>
  <c r="AZ27" i="39"/>
  <c r="AZ94" i="39" s="1"/>
  <c r="BK46" i="40"/>
  <c r="EZ46" i="40" s="1"/>
  <c r="D37" i="5"/>
  <c r="D33" i="5"/>
  <c r="D30" i="5"/>
  <c r="D31" i="5"/>
  <c r="D35" i="5"/>
  <c r="D29" i="5"/>
  <c r="D28" i="5"/>
  <c r="D36" i="5"/>
  <c r="D32" i="5"/>
  <c r="D34" i="5"/>
  <c r="BF86" i="39"/>
  <c r="BF24" i="39"/>
  <c r="BF26" i="39"/>
  <c r="BF27" i="39"/>
  <c r="BF22" i="39"/>
  <c r="BF29" i="39"/>
  <c r="BF23" i="39"/>
  <c r="BF21" i="39"/>
  <c r="BF28" i="39"/>
  <c r="BF25" i="39"/>
  <c r="BT74" i="39"/>
  <c r="BP58" i="40"/>
  <c r="BB19" i="40"/>
  <c r="BE93" i="39"/>
  <c r="BB18" i="40"/>
  <c r="BE92" i="39"/>
  <c r="BB20" i="40"/>
  <c r="BE94" i="39"/>
  <c r="BB15" i="40"/>
  <c r="BE89" i="39"/>
  <c r="BG16" i="39"/>
  <c r="BF83" i="39"/>
  <c r="AX14" i="29" s="1"/>
  <c r="AX16" i="29" s="1"/>
  <c r="BB16" i="40"/>
  <c r="BE90" i="39"/>
  <c r="BB22" i="40"/>
  <c r="BE96" i="39"/>
  <c r="BB21" i="40"/>
  <c r="BE95" i="39"/>
  <c r="FC39" i="40"/>
  <c r="BT76" i="39"/>
  <c r="BP60" i="40"/>
  <c r="BG81" i="39"/>
  <c r="BG19" i="39"/>
  <c r="BH14" i="39"/>
  <c r="BO61" i="40"/>
  <c r="BB14" i="40"/>
  <c r="BE88" i="39"/>
  <c r="BB17" i="40"/>
  <c r="BE91" i="39"/>
  <c r="DG60" i="39"/>
  <c r="DD44" i="40" s="1"/>
  <c r="DG61" i="39"/>
  <c r="DD45" i="40" s="1"/>
  <c r="DH54" i="39"/>
  <c r="DG56" i="39"/>
  <c r="DD40" i="40" s="1"/>
  <c r="DG57" i="39"/>
  <c r="DD41" i="40" s="1"/>
  <c r="DG64" i="39"/>
  <c r="DD48" i="40" s="1"/>
  <c r="DG63" i="39"/>
  <c r="DD47" i="40" s="1"/>
  <c r="DG58" i="39"/>
  <c r="DD42" i="40" s="1"/>
  <c r="DG62" i="39"/>
  <c r="DD46" i="40" s="1"/>
  <c r="DG59" i="39"/>
  <c r="DD43" i="40" s="1"/>
  <c r="DT63" i="39"/>
  <c r="DQ47" i="40" s="1"/>
  <c r="DT62" i="39"/>
  <c r="DQ46" i="40" s="1"/>
  <c r="DT61" i="39"/>
  <c r="DQ45" i="40" s="1"/>
  <c r="DT57" i="39"/>
  <c r="DQ41" i="40" s="1"/>
  <c r="DT59" i="39"/>
  <c r="DQ43" i="40" s="1"/>
  <c r="DT64" i="39"/>
  <c r="DQ48" i="40" s="1"/>
  <c r="DT56" i="39"/>
  <c r="DQ40" i="40" s="1"/>
  <c r="DT58" i="39"/>
  <c r="DQ42" i="40" s="1"/>
  <c r="DT60" i="39"/>
  <c r="DQ44" i="40" s="1"/>
  <c r="DU54" i="39"/>
  <c r="DV62" i="39"/>
  <c r="DS46" i="40" s="1"/>
  <c r="DV58" i="39"/>
  <c r="DS42" i="40" s="1"/>
  <c r="DW54" i="39"/>
  <c r="DV61" i="39"/>
  <c r="DS45" i="40" s="1"/>
  <c r="DV56" i="39"/>
  <c r="DS40" i="40" s="1"/>
  <c r="DV60" i="39"/>
  <c r="DS44" i="40" s="1"/>
  <c r="DV64" i="39"/>
  <c r="DS48" i="40" s="1"/>
  <c r="DV63" i="39"/>
  <c r="DS47" i="40" s="1"/>
  <c r="DV59" i="39"/>
  <c r="DS43" i="40" s="1"/>
  <c r="DV57" i="39"/>
  <c r="DS41" i="40" s="1"/>
  <c r="EC49" i="39"/>
  <c r="ED49" i="39" s="1"/>
  <c r="EE49" i="39" s="1"/>
  <c r="EH49" i="39" s="1"/>
  <c r="EI49" i="39" s="1"/>
  <c r="EB71" i="39"/>
  <c r="BE41" i="39"/>
  <c r="BE108" i="39" s="1"/>
  <c r="BA34" i="40"/>
  <c r="BA35" i="40" s="1"/>
  <c r="BA63" i="40" s="1"/>
  <c r="AV19" i="29" s="1"/>
  <c r="BF39" i="39"/>
  <c r="BF106" i="39" s="1"/>
  <c r="BB32" i="40"/>
  <c r="D10" i="36"/>
  <c r="D23" i="36" s="1"/>
  <c r="E10" i="36" s="1"/>
  <c r="E23" i="36" s="1"/>
  <c r="F10" i="36" s="1"/>
  <c r="F23" i="36" s="1"/>
  <c r="G10" i="36" s="1"/>
  <c r="G23" i="36" s="1"/>
  <c r="H10" i="36" s="1"/>
  <c r="H23" i="36" s="1"/>
  <c r="I10" i="36" s="1"/>
  <c r="I23" i="36" s="1"/>
  <c r="J10" i="36" s="1"/>
  <c r="J23" i="36" s="1"/>
  <c r="K10" i="36" s="1"/>
  <c r="K23" i="36" s="1"/>
  <c r="L10" i="36" s="1"/>
  <c r="L23" i="36" s="1"/>
  <c r="AI35" i="40" l="1"/>
  <c r="EX14" i="40"/>
  <c r="EX13" i="40" s="1"/>
  <c r="EX35" i="40" s="1"/>
  <c r="EY40" i="40"/>
  <c r="EY39" i="40" s="1"/>
  <c r="EY61" i="40" s="1"/>
  <c r="AW61" i="40"/>
  <c r="AZ40" i="39"/>
  <c r="AZ107" i="39" s="1"/>
  <c r="AK33" i="40"/>
  <c r="BB40" i="39"/>
  <c r="AN107" i="39"/>
  <c r="AL35" i="40"/>
  <c r="AL63" i="40" s="1"/>
  <c r="AH19" i="29" s="1"/>
  <c r="EW23" i="40"/>
  <c r="EW35" i="40"/>
  <c r="EW63" i="40" s="1"/>
  <c r="G9" i="9" s="1"/>
  <c r="EY14" i="40"/>
  <c r="EY13" i="40" s="1"/>
  <c r="AE23" i="29"/>
  <c r="AD32" i="29"/>
  <c r="AI61" i="40"/>
  <c r="EX61" i="40"/>
  <c r="BK40" i="40"/>
  <c r="AZ91" i="39"/>
  <c r="AK61" i="40"/>
  <c r="W35" i="40"/>
  <c r="W63" i="40" s="1"/>
  <c r="T19" i="29" s="1"/>
  <c r="T32" i="29" s="1"/>
  <c r="X35" i="40"/>
  <c r="X63" i="40" s="1"/>
  <c r="U19" i="29" s="1"/>
  <c r="U32" i="29" s="1"/>
  <c r="AY59" i="40"/>
  <c r="BP75" i="39"/>
  <c r="BN75" i="39"/>
  <c r="BG86" i="39"/>
  <c r="BG27" i="39"/>
  <c r="BG29" i="39"/>
  <c r="BG24" i="39"/>
  <c r="BG23" i="39"/>
  <c r="BG28" i="39"/>
  <c r="BG21" i="39"/>
  <c r="BG26" i="39"/>
  <c r="BG25" i="39"/>
  <c r="BG22" i="39"/>
  <c r="BU76" i="39"/>
  <c r="BQ60" i="40"/>
  <c r="BC21" i="40"/>
  <c r="BF95" i="39"/>
  <c r="BC15" i="40"/>
  <c r="BF89" i="39"/>
  <c r="BP61" i="40"/>
  <c r="BC14" i="40"/>
  <c r="BF88" i="39"/>
  <c r="BC20" i="40"/>
  <c r="BF94" i="39"/>
  <c r="BH16" i="39"/>
  <c r="BG83" i="39"/>
  <c r="AY14" i="29" s="1"/>
  <c r="AY16" i="29" s="1"/>
  <c r="BU74" i="39"/>
  <c r="BQ58" i="40"/>
  <c r="BC16" i="40"/>
  <c r="BF90" i="39"/>
  <c r="BC19" i="40"/>
  <c r="BF93" i="39"/>
  <c r="EF71" i="39"/>
  <c r="EB103" i="39"/>
  <c r="DY55" i="40"/>
  <c r="EC55" i="40" s="1"/>
  <c r="FE55" i="40" s="1"/>
  <c r="FE53" i="40" s="1"/>
  <c r="BH81" i="39"/>
  <c r="BH19" i="39"/>
  <c r="BI14" i="39"/>
  <c r="BC18" i="40"/>
  <c r="BF92" i="39"/>
  <c r="BC22" i="40"/>
  <c r="BF96" i="39"/>
  <c r="BC17" i="40"/>
  <c r="BF91" i="39"/>
  <c r="DU60" i="39"/>
  <c r="DR44" i="40" s="1"/>
  <c r="DU59" i="39"/>
  <c r="DR43" i="40" s="1"/>
  <c r="DU63" i="39"/>
  <c r="DR47" i="40" s="1"/>
  <c r="DU58" i="39"/>
  <c r="DR42" i="40" s="1"/>
  <c r="DU62" i="39"/>
  <c r="DR46" i="40" s="1"/>
  <c r="DU61" i="39"/>
  <c r="DR45" i="40" s="1"/>
  <c r="DU64" i="39"/>
  <c r="DR48" i="40" s="1"/>
  <c r="DU56" i="39"/>
  <c r="DR40" i="40" s="1"/>
  <c r="DU57" i="39"/>
  <c r="DR41" i="40" s="1"/>
  <c r="EI70" i="39"/>
  <c r="EI68" i="39"/>
  <c r="EI73" i="39"/>
  <c r="EI72" i="39"/>
  <c r="EJ49" i="39"/>
  <c r="DW62" i="39"/>
  <c r="DT46" i="40" s="1"/>
  <c r="DW63" i="39"/>
  <c r="DT47" i="40" s="1"/>
  <c r="DW56" i="39"/>
  <c r="DT40" i="40" s="1"/>
  <c r="DW61" i="39"/>
  <c r="DT45" i="40" s="1"/>
  <c r="DW58" i="39"/>
  <c r="DT42" i="40" s="1"/>
  <c r="DX54" i="39"/>
  <c r="DW64" i="39"/>
  <c r="DT48" i="40" s="1"/>
  <c r="DW57" i="39"/>
  <c r="DT41" i="40" s="1"/>
  <c r="DW60" i="39"/>
  <c r="DT44" i="40" s="1"/>
  <c r="DW59" i="39"/>
  <c r="DT43" i="40" s="1"/>
  <c r="DR54" i="39"/>
  <c r="DH63" i="39"/>
  <c r="DH61" i="39"/>
  <c r="DH62" i="39"/>
  <c r="DH58" i="39"/>
  <c r="DH64" i="39"/>
  <c r="DH56" i="39"/>
  <c r="DH57" i="39"/>
  <c r="DH60" i="39"/>
  <c r="DH59" i="39"/>
  <c r="BB34" i="40"/>
  <c r="BB35" i="40" s="1"/>
  <c r="BB63" i="40" s="1"/>
  <c r="AW19" i="29" s="1"/>
  <c r="BF41" i="39"/>
  <c r="BF108" i="39" s="1"/>
  <c r="BG39" i="39"/>
  <c r="BG106" i="39" s="1"/>
  <c r="BC32" i="40"/>
  <c r="F26" i="2"/>
  <c r="BB107" i="39" l="1"/>
  <c r="BN40" i="39"/>
  <c r="BN107" i="39" s="1"/>
  <c r="BP40" i="39"/>
  <c r="AY33" i="40"/>
  <c r="BK59" i="40"/>
  <c r="EZ59" i="40" s="1"/>
  <c r="AY61" i="40"/>
  <c r="AW33" i="40"/>
  <c r="AK35" i="40"/>
  <c r="AK63" i="40" s="1"/>
  <c r="AG19" i="29" s="1"/>
  <c r="BM59" i="40"/>
  <c r="CD75" i="39"/>
  <c r="CB75" i="39"/>
  <c r="EZ40" i="40"/>
  <c r="EZ39" i="40" s="1"/>
  <c r="BK61" i="40"/>
  <c r="EX63" i="40"/>
  <c r="G10" i="9" s="1"/>
  <c r="DR60" i="39"/>
  <c r="DE44" i="40"/>
  <c r="DO44" i="40" s="1"/>
  <c r="FD44" i="40" s="1"/>
  <c r="DR58" i="39"/>
  <c r="DE42" i="40"/>
  <c r="DO42" i="40" s="1"/>
  <c r="FD42" i="40" s="1"/>
  <c r="ET72" i="39"/>
  <c r="EI104" i="39"/>
  <c r="EF56" i="40"/>
  <c r="EQ56" i="40" s="1"/>
  <c r="FF56" i="40" s="1"/>
  <c r="BV76" i="39"/>
  <c r="BR60" i="40"/>
  <c r="BD14" i="40"/>
  <c r="BG88" i="39"/>
  <c r="BD22" i="40"/>
  <c r="BG96" i="39"/>
  <c r="DR57" i="39"/>
  <c r="DE41" i="40"/>
  <c r="DO41" i="40" s="1"/>
  <c r="FD41" i="40" s="1"/>
  <c r="DR62" i="39"/>
  <c r="DE46" i="40"/>
  <c r="DO46" i="40" s="1"/>
  <c r="FD46" i="40" s="1"/>
  <c r="ET73" i="39"/>
  <c r="EI105" i="39"/>
  <c r="EF57" i="40"/>
  <c r="EQ57" i="40" s="1"/>
  <c r="FF57" i="40" s="1"/>
  <c r="BQ61" i="40"/>
  <c r="BD15" i="40"/>
  <c r="BG89" i="39"/>
  <c r="BD21" i="40"/>
  <c r="BG95" i="39"/>
  <c r="BD20" i="40"/>
  <c r="BG94" i="39"/>
  <c r="DR56" i="39"/>
  <c r="DE40" i="40"/>
  <c r="DR61" i="39"/>
  <c r="DE45" i="40"/>
  <c r="DO45" i="40" s="1"/>
  <c r="FD45" i="40" s="1"/>
  <c r="ET68" i="39"/>
  <c r="EI100" i="39"/>
  <c r="EF52" i="40"/>
  <c r="EQ52" i="40" s="1"/>
  <c r="FF52" i="40" s="1"/>
  <c r="FF49" i="40" s="1"/>
  <c r="BI81" i="39"/>
  <c r="BI35" i="39"/>
  <c r="BI33" i="39"/>
  <c r="BJ14" i="39"/>
  <c r="BI38" i="39"/>
  <c r="BI37" i="39"/>
  <c r="BI19" i="39"/>
  <c r="BV74" i="39"/>
  <c r="BR58" i="40"/>
  <c r="BR61" i="40" s="1"/>
  <c r="BI16" i="39"/>
  <c r="BH83" i="39"/>
  <c r="AZ14" i="29" s="1"/>
  <c r="AZ16" i="29" s="1"/>
  <c r="BD18" i="40"/>
  <c r="BG92" i="39"/>
  <c r="BD16" i="40"/>
  <c r="BG90" i="39"/>
  <c r="DR59" i="39"/>
  <c r="DE43" i="40"/>
  <c r="DO43" i="40" s="1"/>
  <c r="FD43" i="40" s="1"/>
  <c r="DR64" i="39"/>
  <c r="DE48" i="40"/>
  <c r="DO48" i="40" s="1"/>
  <c r="FD48" i="40" s="1"/>
  <c r="DR63" i="39"/>
  <c r="DE47" i="40"/>
  <c r="DO47" i="40" s="1"/>
  <c r="FD47" i="40" s="1"/>
  <c r="ET70" i="39"/>
  <c r="EI102" i="39"/>
  <c r="EF54" i="40"/>
  <c r="EQ54" i="40" s="1"/>
  <c r="FF54" i="40" s="1"/>
  <c r="FF53" i="40" s="1"/>
  <c r="BH86" i="39"/>
  <c r="BH22" i="39"/>
  <c r="BH23" i="39"/>
  <c r="BH21" i="39"/>
  <c r="BH24" i="39"/>
  <c r="BH25" i="39"/>
  <c r="BH28" i="39"/>
  <c r="BH29" i="39"/>
  <c r="BH27" i="39"/>
  <c r="BH26" i="39"/>
  <c r="BD19" i="40"/>
  <c r="BG93" i="39"/>
  <c r="BD17" i="40"/>
  <c r="BG91" i="39"/>
  <c r="BG41" i="39"/>
  <c r="BG108" i="39" s="1"/>
  <c r="BC34" i="40"/>
  <c r="BC35" i="40" s="1"/>
  <c r="BC63" i="40" s="1"/>
  <c r="AX19" i="29" s="1"/>
  <c r="DY54" i="39"/>
  <c r="DX61" i="39"/>
  <c r="DU45" i="40" s="1"/>
  <c r="DX57" i="39"/>
  <c r="DU41" i="40" s="1"/>
  <c r="DX59" i="39"/>
  <c r="DU43" i="40" s="1"/>
  <c r="DX64" i="39"/>
  <c r="DU48" i="40" s="1"/>
  <c r="DX62" i="39"/>
  <c r="DU46" i="40" s="1"/>
  <c r="DX58" i="39"/>
  <c r="DU42" i="40" s="1"/>
  <c r="DX63" i="39"/>
  <c r="DU47" i="40" s="1"/>
  <c r="DX60" i="39"/>
  <c r="DU44" i="40" s="1"/>
  <c r="DX56" i="39"/>
  <c r="DU40" i="40" s="1"/>
  <c r="ET49" i="39"/>
  <c r="EK49" i="39"/>
  <c r="EL49" i="39" s="1"/>
  <c r="EM49" i="39" s="1"/>
  <c r="EN49" i="39" s="1"/>
  <c r="EO49" i="39" s="1"/>
  <c r="EP49" i="39" s="1"/>
  <c r="EQ49" i="39" s="1"/>
  <c r="ER49" i="39" s="1"/>
  <c r="ES49" i="39" s="1"/>
  <c r="EJ54" i="39"/>
  <c r="BH39" i="39"/>
  <c r="BH106" i="39" s="1"/>
  <c r="BD32" i="40"/>
  <c r="A1" i="8"/>
  <c r="EZ61" i="40" l="1"/>
  <c r="BK33" i="40"/>
  <c r="EZ33" i="40" s="1"/>
  <c r="AY35" i="40"/>
  <c r="AY63" i="40" s="1"/>
  <c r="AT19" i="29" s="1"/>
  <c r="CB40" i="39"/>
  <c r="CB107" i="39" s="1"/>
  <c r="BP107" i="39"/>
  <c r="CD40" i="39"/>
  <c r="BM33" i="40"/>
  <c r="BY33" i="40" s="1"/>
  <c r="FA33" i="40" s="1"/>
  <c r="BY59" i="40"/>
  <c r="FA59" i="40" s="1"/>
  <c r="BM61" i="40"/>
  <c r="CA59" i="40"/>
  <c r="CM59" i="40" s="1"/>
  <c r="FB59" i="40" s="1"/>
  <c r="CR75" i="39"/>
  <c r="CP75" i="39"/>
  <c r="EY33" i="40"/>
  <c r="EY35" i="40" s="1"/>
  <c r="EY63" i="40" s="1"/>
  <c r="G11" i="9" s="1"/>
  <c r="AW35" i="40"/>
  <c r="BE21" i="40"/>
  <c r="BH95" i="39"/>
  <c r="BE16" i="40"/>
  <c r="BH90" i="39"/>
  <c r="BI105" i="39"/>
  <c r="BF31" i="40"/>
  <c r="BK31" i="40" s="1"/>
  <c r="EZ31" i="40" s="1"/>
  <c r="BN38" i="39"/>
  <c r="BN105" i="39" s="1"/>
  <c r="BE19" i="40"/>
  <c r="BH93" i="39"/>
  <c r="BE18" i="40"/>
  <c r="BH92" i="39"/>
  <c r="BE15" i="40"/>
  <c r="BH89" i="39"/>
  <c r="BW74" i="39"/>
  <c r="BS58" i="40"/>
  <c r="BJ81" i="39"/>
  <c r="BK14" i="39"/>
  <c r="BJ19" i="39"/>
  <c r="BE20" i="40"/>
  <c r="BH94" i="39"/>
  <c r="BE17" i="40"/>
  <c r="BH91" i="39"/>
  <c r="BJ16" i="39"/>
  <c r="BI83" i="39"/>
  <c r="BA14" i="29" s="1"/>
  <c r="BA16" i="29" s="1"/>
  <c r="BI86" i="39"/>
  <c r="BI25" i="39"/>
  <c r="BI24" i="39"/>
  <c r="BI22" i="39"/>
  <c r="BI27" i="39"/>
  <c r="BI26" i="39"/>
  <c r="BI21" i="39"/>
  <c r="BI29" i="39"/>
  <c r="BI28" i="39"/>
  <c r="BI23" i="39"/>
  <c r="BI100" i="39"/>
  <c r="BF26" i="40"/>
  <c r="BK26" i="40" s="1"/>
  <c r="EZ26" i="40" s="1"/>
  <c r="EZ23" i="40" s="1"/>
  <c r="BN33" i="39"/>
  <c r="BN100" i="39" s="1"/>
  <c r="DO40" i="40"/>
  <c r="BE22" i="40"/>
  <c r="BH96" i="39"/>
  <c r="BE14" i="40"/>
  <c r="BH88" i="39"/>
  <c r="BI104" i="39"/>
  <c r="BF30" i="40"/>
  <c r="BK30" i="40" s="1"/>
  <c r="EZ30" i="40" s="1"/>
  <c r="BN37" i="39"/>
  <c r="BN104" i="39" s="1"/>
  <c r="BI102" i="39"/>
  <c r="BF28" i="40"/>
  <c r="BK28" i="40" s="1"/>
  <c r="EZ28" i="40" s="1"/>
  <c r="EZ27" i="40" s="1"/>
  <c r="BN35" i="39"/>
  <c r="BN102" i="39" s="1"/>
  <c r="BW76" i="39"/>
  <c r="BS60" i="40"/>
  <c r="EJ62" i="39"/>
  <c r="EG46" i="40" s="1"/>
  <c r="EJ58" i="39"/>
  <c r="EG42" i="40" s="1"/>
  <c r="EJ59" i="39"/>
  <c r="EG43" i="40" s="1"/>
  <c r="EJ61" i="39"/>
  <c r="EG45" i="40" s="1"/>
  <c r="EJ63" i="39"/>
  <c r="EG47" i="40" s="1"/>
  <c r="EJ56" i="39"/>
  <c r="EG40" i="40" s="1"/>
  <c r="EJ64" i="39"/>
  <c r="EG48" i="40" s="1"/>
  <c r="EJ57" i="39"/>
  <c r="EG41" i="40" s="1"/>
  <c r="EJ60" i="39"/>
  <c r="EG44" i="40" s="1"/>
  <c r="EK54" i="39"/>
  <c r="DY63" i="39"/>
  <c r="DV47" i="40" s="1"/>
  <c r="DY59" i="39"/>
  <c r="DV43" i="40" s="1"/>
  <c r="DY62" i="39"/>
  <c r="DV46" i="40" s="1"/>
  <c r="DY61" i="39"/>
  <c r="DV45" i="40" s="1"/>
  <c r="DY64" i="39"/>
  <c r="DV48" i="40" s="1"/>
  <c r="DY56" i="39"/>
  <c r="DV40" i="40" s="1"/>
  <c r="DY58" i="39"/>
  <c r="DV42" i="40" s="1"/>
  <c r="DY60" i="39"/>
  <c r="DV44" i="40" s="1"/>
  <c r="DZ54" i="39"/>
  <c r="DY57" i="39"/>
  <c r="DV41" i="40" s="1"/>
  <c r="BH41" i="39"/>
  <c r="BH108" i="39" s="1"/>
  <c r="BD34" i="40"/>
  <c r="BD35" i="40" s="1"/>
  <c r="BD63" i="40" s="1"/>
  <c r="AY19" i="29" s="1"/>
  <c r="BI39" i="39"/>
  <c r="BI106" i="39" s="1"/>
  <c r="BE32" i="40"/>
  <c r="J11" i="2"/>
  <c r="CD107" i="39" l="1"/>
  <c r="CR40" i="39"/>
  <c r="CP40" i="39"/>
  <c r="CP107" i="39" s="1"/>
  <c r="CA33" i="40"/>
  <c r="CM33" i="40" s="1"/>
  <c r="FB33" i="40" s="1"/>
  <c r="CO59" i="40"/>
  <c r="DA59" i="40" s="1"/>
  <c r="FC59" i="40" s="1"/>
  <c r="DF75" i="39"/>
  <c r="DD75" i="39"/>
  <c r="BX76" i="39"/>
  <c r="BT60" i="40"/>
  <c r="FD40" i="40"/>
  <c r="FD39" i="40" s="1"/>
  <c r="BF14" i="40"/>
  <c r="BI88" i="39"/>
  <c r="BF17" i="40"/>
  <c r="BI91" i="39"/>
  <c r="BS61" i="40"/>
  <c r="BF16" i="40"/>
  <c r="BI90" i="39"/>
  <c r="BF19" i="40"/>
  <c r="BI93" i="39"/>
  <c r="BF18" i="40"/>
  <c r="BI92" i="39"/>
  <c r="BK16" i="39"/>
  <c r="BJ83" i="39"/>
  <c r="BB14" i="29" s="1"/>
  <c r="BB16" i="29" s="1"/>
  <c r="BJ86" i="39"/>
  <c r="BJ21" i="39"/>
  <c r="BJ29" i="39"/>
  <c r="BJ26" i="39"/>
  <c r="BJ23" i="39"/>
  <c r="BJ25" i="39"/>
  <c r="BJ28" i="39"/>
  <c r="BJ27" i="39"/>
  <c r="BJ24" i="39"/>
  <c r="BJ22" i="39"/>
  <c r="BX74" i="39"/>
  <c r="BT58" i="40"/>
  <c r="BF21" i="40"/>
  <c r="BI95" i="39"/>
  <c r="BF20" i="40"/>
  <c r="BI94" i="39"/>
  <c r="BK81" i="39"/>
  <c r="BK19" i="39"/>
  <c r="BL14" i="39"/>
  <c r="BF22" i="40"/>
  <c r="BI96" i="39"/>
  <c r="BF15" i="40"/>
  <c r="BI89" i="39"/>
  <c r="EA54" i="39"/>
  <c r="DZ60" i="39"/>
  <c r="DW44" i="40" s="1"/>
  <c r="DZ61" i="39"/>
  <c r="DW45" i="40" s="1"/>
  <c r="DZ59" i="39"/>
  <c r="DW43" i="40" s="1"/>
  <c r="DZ62" i="39"/>
  <c r="DW46" i="40" s="1"/>
  <c r="DZ57" i="39"/>
  <c r="DW41" i="40" s="1"/>
  <c r="DZ63" i="39"/>
  <c r="DW47" i="40" s="1"/>
  <c r="DZ64" i="39"/>
  <c r="DW48" i="40" s="1"/>
  <c r="DZ58" i="39"/>
  <c r="DW42" i="40" s="1"/>
  <c r="DZ56" i="39"/>
  <c r="DW40" i="40" s="1"/>
  <c r="EK60" i="39"/>
  <c r="EH44" i="40" s="1"/>
  <c r="EL54" i="39"/>
  <c r="EK63" i="39"/>
  <c r="EH47" i="40" s="1"/>
  <c r="EK62" i="39"/>
  <c r="EH46" i="40" s="1"/>
  <c r="EK61" i="39"/>
  <c r="EH45" i="40" s="1"/>
  <c r="EK57" i="39"/>
  <c r="EH41" i="40" s="1"/>
  <c r="EK59" i="39"/>
  <c r="EH43" i="40" s="1"/>
  <c r="EK64" i="39"/>
  <c r="EH48" i="40" s="1"/>
  <c r="EK56" i="39"/>
  <c r="EH40" i="40" s="1"/>
  <c r="EK58" i="39"/>
  <c r="EH42" i="40" s="1"/>
  <c r="BI41" i="39"/>
  <c r="BI108" i="39" s="1"/>
  <c r="BE34" i="40"/>
  <c r="BE35" i="40" s="1"/>
  <c r="BE63" i="40" s="1"/>
  <c r="AZ19" i="29" s="1"/>
  <c r="BJ39" i="39"/>
  <c r="BJ106" i="39" s="1"/>
  <c r="BF32" i="40"/>
  <c r="R11" i="2"/>
  <c r="S11" i="2" s="1"/>
  <c r="N11" i="2"/>
  <c r="O11" i="2" s="1"/>
  <c r="O39" i="2" s="1"/>
  <c r="K11" i="2"/>
  <c r="DC59" i="40" l="1"/>
  <c r="DO59" i="40" s="1"/>
  <c r="FD59" i="40" s="1"/>
  <c r="DT75" i="39"/>
  <c r="DR75" i="39"/>
  <c r="CR107" i="39"/>
  <c r="DF40" i="39"/>
  <c r="CO33" i="40"/>
  <c r="DA33" i="40" s="1"/>
  <c r="FC33" i="40" s="1"/>
  <c r="DD40" i="39"/>
  <c r="DD107" i="39" s="1"/>
  <c r="BK86" i="39"/>
  <c r="BK28" i="39"/>
  <c r="BK27" i="39"/>
  <c r="BK22" i="39"/>
  <c r="BK21" i="39"/>
  <c r="BK29" i="39"/>
  <c r="BK24" i="39"/>
  <c r="BK23" i="39"/>
  <c r="BK26" i="39"/>
  <c r="BK25" i="39"/>
  <c r="BY74" i="39"/>
  <c r="BU58" i="40"/>
  <c r="BG21" i="40"/>
  <c r="BJ95" i="39"/>
  <c r="BG22" i="40"/>
  <c r="BJ96" i="39"/>
  <c r="BL16" i="39"/>
  <c r="BK83" i="39"/>
  <c r="BC14" i="29" s="1"/>
  <c r="BC16" i="29" s="1"/>
  <c r="BY76" i="39"/>
  <c r="BU60" i="40"/>
  <c r="BG15" i="40"/>
  <c r="BJ89" i="39"/>
  <c r="BG18" i="40"/>
  <c r="BJ92" i="39"/>
  <c r="BG14" i="40"/>
  <c r="BJ88" i="39"/>
  <c r="BG17" i="40"/>
  <c r="BJ91" i="39"/>
  <c r="BG16" i="40"/>
  <c r="BJ90" i="39"/>
  <c r="BL81" i="39"/>
  <c r="BL19" i="39"/>
  <c r="BM14" i="39"/>
  <c r="BT61" i="40"/>
  <c r="BG20" i="40"/>
  <c r="BJ94" i="39"/>
  <c r="BG19" i="40"/>
  <c r="BJ93" i="39"/>
  <c r="EL60" i="39"/>
  <c r="EI44" i="40" s="1"/>
  <c r="EM54" i="39"/>
  <c r="EL57" i="39"/>
  <c r="EI41" i="40" s="1"/>
  <c r="EL63" i="39"/>
  <c r="EI47" i="40" s="1"/>
  <c r="EL59" i="39"/>
  <c r="EI43" i="40" s="1"/>
  <c r="EL62" i="39"/>
  <c r="EI46" i="40" s="1"/>
  <c r="EL58" i="39"/>
  <c r="EI42" i="40" s="1"/>
  <c r="EL64" i="39"/>
  <c r="EI48" i="40" s="1"/>
  <c r="EL56" i="39"/>
  <c r="EI40" i="40" s="1"/>
  <c r="EL61" i="39"/>
  <c r="EI45" i="40" s="1"/>
  <c r="BJ41" i="39"/>
  <c r="BJ108" i="39" s="1"/>
  <c r="BF34" i="40"/>
  <c r="BF35" i="40" s="1"/>
  <c r="BF63" i="40" s="1"/>
  <c r="BA19" i="29" s="1"/>
  <c r="EA60" i="39"/>
  <c r="DX44" i="40" s="1"/>
  <c r="EA59" i="39"/>
  <c r="DX43" i="40" s="1"/>
  <c r="EB54" i="39"/>
  <c r="EA56" i="39"/>
  <c r="DX40" i="40" s="1"/>
  <c r="EA61" i="39"/>
  <c r="DX45" i="40" s="1"/>
  <c r="EA64" i="39"/>
  <c r="DX48" i="40" s="1"/>
  <c r="EA62" i="39"/>
  <c r="DX46" i="40" s="1"/>
  <c r="EA57" i="39"/>
  <c r="DX41" i="40" s="1"/>
  <c r="EA63" i="39"/>
  <c r="DX47" i="40" s="1"/>
  <c r="EA58" i="39"/>
  <c r="DX42" i="40" s="1"/>
  <c r="BK39" i="39"/>
  <c r="BK106" i="39" s="1"/>
  <c r="BG32" i="40"/>
  <c r="DC33" i="40" l="1"/>
  <c r="DO33" i="40" s="1"/>
  <c r="FD33" i="40" s="1"/>
  <c r="DT40" i="39"/>
  <c r="DF107" i="39"/>
  <c r="DR40" i="39"/>
  <c r="DR107" i="39" s="1"/>
  <c r="DQ59" i="40"/>
  <c r="EC59" i="40" s="1"/>
  <c r="FE59" i="40" s="1"/>
  <c r="EF75" i="39"/>
  <c r="EH75" i="39"/>
  <c r="BH18" i="40"/>
  <c r="BK92" i="39"/>
  <c r="BH22" i="40"/>
  <c r="BK96" i="39"/>
  <c r="BH21" i="40"/>
  <c r="BK95" i="39"/>
  <c r="BM16" i="39"/>
  <c r="BL83" i="39"/>
  <c r="BD14" i="29" s="1"/>
  <c r="BD16" i="29" s="1"/>
  <c r="BH19" i="40"/>
  <c r="BK93" i="39"/>
  <c r="BH14" i="40"/>
  <c r="BK88" i="39"/>
  <c r="BM81" i="39"/>
  <c r="BM19" i="39"/>
  <c r="BP14" i="39"/>
  <c r="BZ76" i="39"/>
  <c r="BV60" i="40"/>
  <c r="BU61" i="40"/>
  <c r="BH16" i="40"/>
  <c r="BK90" i="39"/>
  <c r="BH15" i="40"/>
  <c r="BK89" i="39"/>
  <c r="BL86" i="39"/>
  <c r="BL24" i="39"/>
  <c r="BL26" i="39"/>
  <c r="BL21" i="39"/>
  <c r="BL29" i="39"/>
  <c r="BL28" i="39"/>
  <c r="BL22" i="39"/>
  <c r="BL25" i="39"/>
  <c r="BL23" i="39"/>
  <c r="BL27" i="39"/>
  <c r="BZ74" i="39"/>
  <c r="BV58" i="40"/>
  <c r="BH17" i="40"/>
  <c r="BK91" i="39"/>
  <c r="BH20" i="40"/>
  <c r="BK94" i="39"/>
  <c r="EB60" i="39"/>
  <c r="DY44" i="40" s="1"/>
  <c r="EB56" i="39"/>
  <c r="DY40" i="40" s="1"/>
  <c r="EB63" i="39"/>
  <c r="DY47" i="40" s="1"/>
  <c r="EC54" i="39"/>
  <c r="EB61" i="39"/>
  <c r="DY45" i="40" s="1"/>
  <c r="EB62" i="39"/>
  <c r="DY46" i="40" s="1"/>
  <c r="EB59" i="39"/>
  <c r="DY43" i="40" s="1"/>
  <c r="EB64" i="39"/>
  <c r="DY48" i="40" s="1"/>
  <c r="EB57" i="39"/>
  <c r="DY41" i="40" s="1"/>
  <c r="EB58" i="39"/>
  <c r="DY42" i="40" s="1"/>
  <c r="BK41" i="39"/>
  <c r="BK108" i="39" s="1"/>
  <c r="BG34" i="40"/>
  <c r="BG35" i="40" s="1"/>
  <c r="BG63" i="40" s="1"/>
  <c r="BB19" i="29" s="1"/>
  <c r="EM63" i="39"/>
  <c r="EJ47" i="40" s="1"/>
  <c r="EM59" i="39"/>
  <c r="EJ43" i="40" s="1"/>
  <c r="EM57" i="39"/>
  <c r="EJ41" i="40" s="1"/>
  <c r="EM62" i="39"/>
  <c r="EJ46" i="40" s="1"/>
  <c r="EM58" i="39"/>
  <c r="EJ42" i="40" s="1"/>
  <c r="EN54" i="39"/>
  <c r="EM61" i="39"/>
  <c r="EJ45" i="40" s="1"/>
  <c r="EM64" i="39"/>
  <c r="EJ48" i="40" s="1"/>
  <c r="EM60" i="39"/>
  <c r="EJ44" i="40" s="1"/>
  <c r="EM56" i="39"/>
  <c r="EJ40" i="40" s="1"/>
  <c r="BL39" i="39"/>
  <c r="BL106" i="39" s="1"/>
  <c r="BH32" i="40"/>
  <c r="DK26" i="40"/>
  <c r="DK30" i="40"/>
  <c r="DK31" i="40"/>
  <c r="DK28" i="40"/>
  <c r="E40" i="8"/>
  <c r="E17" i="8" s="1"/>
  <c r="L9" i="8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Q23" i="29" s="1"/>
  <c r="R23" i="29" s="1"/>
  <c r="B35" i="17"/>
  <c r="L10" i="9"/>
  <c r="L11" i="9" s="1"/>
  <c r="L12" i="9" s="1"/>
  <c r="L13" i="9" s="1"/>
  <c r="L14" i="9" s="1"/>
  <c r="L15" i="9" s="1"/>
  <c r="L16" i="9" s="1"/>
  <c r="L17" i="9" s="1"/>
  <c r="L18" i="9" s="1"/>
  <c r="EE59" i="40" l="1"/>
  <c r="EQ59" i="40" s="1"/>
  <c r="FF59" i="40" s="1"/>
  <c r="ET75" i="39"/>
  <c r="DT107" i="39"/>
  <c r="EF40" i="39"/>
  <c r="EF107" i="39" s="1"/>
  <c r="EH40" i="39"/>
  <c r="DQ33" i="40"/>
  <c r="EC33" i="40" s="1"/>
  <c r="FE33" i="40" s="1"/>
  <c r="CA74" i="39"/>
  <c r="BW58" i="40"/>
  <c r="BI18" i="40"/>
  <c r="BL92" i="39"/>
  <c r="BI14" i="40"/>
  <c r="BL88" i="39"/>
  <c r="BQ14" i="39"/>
  <c r="BP81" i="39"/>
  <c r="BI15" i="40"/>
  <c r="BL89" i="39"/>
  <c r="BI19" i="40"/>
  <c r="BL93" i="39"/>
  <c r="BM86" i="39"/>
  <c r="BM25" i="39"/>
  <c r="BM24" i="39"/>
  <c r="BP19" i="39"/>
  <c r="BM27" i="39"/>
  <c r="BM26" i="39"/>
  <c r="BM21" i="39"/>
  <c r="BM29" i="39"/>
  <c r="BM28" i="39"/>
  <c r="BM23" i="39"/>
  <c r="BM22" i="39"/>
  <c r="BN19" i="39"/>
  <c r="BN86" i="39" s="1"/>
  <c r="BP16" i="39"/>
  <c r="BM83" i="39"/>
  <c r="BE14" i="29" s="1"/>
  <c r="BE16" i="29" s="1"/>
  <c r="J42" i="29" s="1"/>
  <c r="BN16" i="39"/>
  <c r="BN83" i="39" s="1"/>
  <c r="J13" i="5" s="1"/>
  <c r="BI20" i="40"/>
  <c r="BL94" i="39"/>
  <c r="BI21" i="40"/>
  <c r="BL95" i="39"/>
  <c r="BI17" i="40"/>
  <c r="BL91" i="39"/>
  <c r="BV61" i="40"/>
  <c r="BI16" i="40"/>
  <c r="BL90" i="39"/>
  <c r="BI22" i="40"/>
  <c r="BL96" i="39"/>
  <c r="CA76" i="39"/>
  <c r="BW60" i="40"/>
  <c r="EC64" i="39"/>
  <c r="DZ48" i="40" s="1"/>
  <c r="EC56" i="39"/>
  <c r="DZ40" i="40" s="1"/>
  <c r="EC58" i="39"/>
  <c r="DZ42" i="40" s="1"/>
  <c r="EC60" i="39"/>
  <c r="DZ44" i="40" s="1"/>
  <c r="ED54" i="39"/>
  <c r="EC57" i="39"/>
  <c r="DZ41" i="40" s="1"/>
  <c r="EC63" i="39"/>
  <c r="DZ47" i="40" s="1"/>
  <c r="EC61" i="39"/>
  <c r="DZ45" i="40" s="1"/>
  <c r="EC62" i="39"/>
  <c r="DZ46" i="40" s="1"/>
  <c r="EC59" i="39"/>
  <c r="DZ43" i="40" s="1"/>
  <c r="BL41" i="39"/>
  <c r="BL108" i="39" s="1"/>
  <c r="BH34" i="40"/>
  <c r="BH35" i="40" s="1"/>
  <c r="BH63" i="40" s="1"/>
  <c r="BC19" i="29" s="1"/>
  <c r="EN64" i="39"/>
  <c r="EK48" i="40" s="1"/>
  <c r="EN57" i="39"/>
  <c r="EK41" i="40" s="1"/>
  <c r="EN60" i="39"/>
  <c r="EK44" i="40" s="1"/>
  <c r="EN59" i="39"/>
  <c r="EK43" i="40" s="1"/>
  <c r="EN62" i="39"/>
  <c r="EK46" i="40" s="1"/>
  <c r="EN63" i="39"/>
  <c r="EK47" i="40" s="1"/>
  <c r="EN56" i="39"/>
  <c r="EK40" i="40" s="1"/>
  <c r="EN61" i="39"/>
  <c r="EK45" i="40" s="1"/>
  <c r="EN58" i="39"/>
  <c r="EK42" i="40" s="1"/>
  <c r="EO54" i="39"/>
  <c r="BM39" i="39"/>
  <c r="BM106" i="39" s="1"/>
  <c r="BI32" i="40"/>
  <c r="DR38" i="39"/>
  <c r="DR105" i="39" s="1"/>
  <c r="DE31" i="40"/>
  <c r="DO31" i="40" s="1"/>
  <c r="FD31" i="40" s="1"/>
  <c r="DE29" i="40"/>
  <c r="DE26" i="40"/>
  <c r="DO26" i="40" s="1"/>
  <c r="FD26" i="40" s="1"/>
  <c r="FD23" i="40" s="1"/>
  <c r="DR33" i="39"/>
  <c r="DR100" i="39" s="1"/>
  <c r="DE28" i="40"/>
  <c r="DO28" i="40" s="1"/>
  <c r="FD28" i="40" s="1"/>
  <c r="DR35" i="39"/>
  <c r="DR102" i="39" s="1"/>
  <c r="DE30" i="40"/>
  <c r="DO30" i="40" s="1"/>
  <c r="FD30" i="40" s="1"/>
  <c r="DR37" i="39"/>
  <c r="DR104" i="39" s="1"/>
  <c r="EH107" i="39" l="1"/>
  <c r="EE33" i="40"/>
  <c r="EQ33" i="40" s="1"/>
  <c r="FF33" i="40" s="1"/>
  <c r="ET40" i="39"/>
  <c r="ET107" i="39" s="1"/>
  <c r="BP83" i="39"/>
  <c r="BG14" i="29" s="1"/>
  <c r="BG16" i="29" s="1"/>
  <c r="BQ16" i="39"/>
  <c r="BM90" i="39"/>
  <c r="BJ16" i="40"/>
  <c r="BK16" i="40" s="1"/>
  <c r="EZ16" i="40" s="1"/>
  <c r="BN23" i="39"/>
  <c r="BN90" i="39" s="1"/>
  <c r="BM93" i="39"/>
  <c r="BJ19" i="40"/>
  <c r="BK19" i="40" s="1"/>
  <c r="EZ19" i="40" s="1"/>
  <c r="BN26" i="39"/>
  <c r="BN93" i="39" s="1"/>
  <c r="BM92" i="39"/>
  <c r="BJ18" i="40"/>
  <c r="BK18" i="40" s="1"/>
  <c r="EZ18" i="40" s="1"/>
  <c r="BN25" i="39"/>
  <c r="BN92" i="39" s="1"/>
  <c r="CD76" i="39"/>
  <c r="BX60" i="40"/>
  <c r="BY60" i="40" s="1"/>
  <c r="FA60" i="40" s="1"/>
  <c r="CB76" i="39"/>
  <c r="BM95" i="39"/>
  <c r="BJ21" i="40"/>
  <c r="BK21" i="40" s="1"/>
  <c r="EZ21" i="40" s="1"/>
  <c r="BN28" i="39"/>
  <c r="BN95" i="39" s="1"/>
  <c r="BM94" i="39"/>
  <c r="BJ20" i="40"/>
  <c r="BK20" i="40" s="1"/>
  <c r="EZ20" i="40" s="1"/>
  <c r="BN27" i="39"/>
  <c r="BN94" i="39" s="1"/>
  <c r="BR14" i="39"/>
  <c r="BQ81" i="39"/>
  <c r="BM96" i="39"/>
  <c r="BJ22" i="40"/>
  <c r="BK22" i="40" s="1"/>
  <c r="EZ22" i="40" s="1"/>
  <c r="BN29" i="39"/>
  <c r="BN96" i="39" s="1"/>
  <c r="BP86" i="39"/>
  <c r="BP27" i="39"/>
  <c r="BP29" i="39"/>
  <c r="BP24" i="39"/>
  <c r="BP23" i="39"/>
  <c r="BP25" i="39"/>
  <c r="BP21" i="39"/>
  <c r="BP26" i="39"/>
  <c r="BP28" i="39"/>
  <c r="BP22" i="39"/>
  <c r="BQ19" i="39"/>
  <c r="BW61" i="40"/>
  <c r="BM89" i="39"/>
  <c r="BJ15" i="40"/>
  <c r="BK15" i="40" s="1"/>
  <c r="EZ15" i="40" s="1"/>
  <c r="BN22" i="39"/>
  <c r="BN89" i="39" s="1"/>
  <c r="BM88" i="39"/>
  <c r="BJ14" i="40"/>
  <c r="BN21" i="39"/>
  <c r="BN88" i="39" s="1"/>
  <c r="BM91" i="39"/>
  <c r="BJ17" i="40"/>
  <c r="BK17" i="40" s="1"/>
  <c r="EZ17" i="40" s="1"/>
  <c r="BN24" i="39"/>
  <c r="BN91" i="39" s="1"/>
  <c r="CD74" i="39"/>
  <c r="BX58" i="40"/>
  <c r="CB74" i="39"/>
  <c r="BM41" i="39"/>
  <c r="BM108" i="39" s="1"/>
  <c r="BI34" i="40"/>
  <c r="BI35" i="40" s="1"/>
  <c r="BI63" i="40" s="1"/>
  <c r="BD19" i="29" s="1"/>
  <c r="EO61" i="39"/>
  <c r="EL45" i="40" s="1"/>
  <c r="EO57" i="39"/>
  <c r="EL41" i="40" s="1"/>
  <c r="EO59" i="39"/>
  <c r="EL43" i="40" s="1"/>
  <c r="EO64" i="39"/>
  <c r="EL48" i="40" s="1"/>
  <c r="EO62" i="39"/>
  <c r="EL46" i="40" s="1"/>
  <c r="EO58" i="39"/>
  <c r="EL42" i="40" s="1"/>
  <c r="EO60" i="39"/>
  <c r="EL44" i="40" s="1"/>
  <c r="EO56" i="39"/>
  <c r="EL40" i="40" s="1"/>
  <c r="EO63" i="39"/>
  <c r="EL47" i="40" s="1"/>
  <c r="EP54" i="39"/>
  <c r="ED61" i="39"/>
  <c r="EA45" i="40" s="1"/>
  <c r="ED60" i="39"/>
  <c r="EA44" i="40" s="1"/>
  <c r="ED59" i="39"/>
  <c r="EA43" i="40" s="1"/>
  <c r="ED56" i="39"/>
  <c r="EA40" i="40" s="1"/>
  <c r="ED63" i="39"/>
  <c r="EA47" i="40" s="1"/>
  <c r="ED64" i="39"/>
  <c r="EA48" i="40" s="1"/>
  <c r="ED57" i="39"/>
  <c r="EA41" i="40" s="1"/>
  <c r="ED62" i="39"/>
  <c r="EA46" i="40" s="1"/>
  <c r="ED58" i="39"/>
  <c r="EA42" i="40" s="1"/>
  <c r="EE54" i="39"/>
  <c r="EF54" i="39" s="1"/>
  <c r="BP39" i="39"/>
  <c r="BP106" i="39" s="1"/>
  <c r="BJ32" i="40"/>
  <c r="BK32" i="40" s="1"/>
  <c r="EZ32" i="40" s="1"/>
  <c r="BN39" i="39"/>
  <c r="BN106" i="39" s="1"/>
  <c r="BQ86" i="39" l="1"/>
  <c r="BQ26" i="39"/>
  <c r="BQ25" i="39"/>
  <c r="BQ23" i="39"/>
  <c r="BQ27" i="39"/>
  <c r="BQ24" i="39"/>
  <c r="BQ21" i="39"/>
  <c r="BQ29" i="39"/>
  <c r="BQ28" i="39"/>
  <c r="BQ22" i="39"/>
  <c r="BM14" i="40"/>
  <c r="BP88" i="39"/>
  <c r="BM22" i="40"/>
  <c r="BP96" i="39"/>
  <c r="BR81" i="39"/>
  <c r="BR19" i="39"/>
  <c r="CB14" i="39"/>
  <c r="CB81" i="39" s="1"/>
  <c r="BS14" i="39"/>
  <c r="BR16" i="39"/>
  <c r="BQ83" i="39"/>
  <c r="BH14" i="29" s="1"/>
  <c r="BH16" i="29" s="1"/>
  <c r="BK14" i="40"/>
  <c r="BM15" i="40"/>
  <c r="BP89" i="39"/>
  <c r="BM18" i="40"/>
  <c r="BP92" i="39"/>
  <c r="BM20" i="40"/>
  <c r="BP94" i="39"/>
  <c r="CA60" i="40"/>
  <c r="CE76" i="39"/>
  <c r="BX61" i="40"/>
  <c r="BY58" i="40"/>
  <c r="BM21" i="40"/>
  <c r="BP95" i="39"/>
  <c r="BM16" i="40"/>
  <c r="BP90" i="39"/>
  <c r="CA58" i="40"/>
  <c r="CE74" i="39"/>
  <c r="BM19" i="40"/>
  <c r="BP93" i="39"/>
  <c r="BM17" i="40"/>
  <c r="BP91" i="39"/>
  <c r="EP63" i="39"/>
  <c r="EM47" i="40" s="1"/>
  <c r="EP59" i="39"/>
  <c r="EM43" i="40" s="1"/>
  <c r="EP62" i="39"/>
  <c r="EM46" i="40" s="1"/>
  <c r="EP61" i="39"/>
  <c r="EM45" i="40" s="1"/>
  <c r="EP64" i="39"/>
  <c r="EM48" i="40" s="1"/>
  <c r="EP56" i="39"/>
  <c r="EM40" i="40" s="1"/>
  <c r="EP58" i="39"/>
  <c r="EM42" i="40" s="1"/>
  <c r="EP60" i="39"/>
  <c r="EM44" i="40" s="1"/>
  <c r="EQ54" i="39"/>
  <c r="EP57" i="39"/>
  <c r="EM41" i="40" s="1"/>
  <c r="EE62" i="39"/>
  <c r="EE58" i="39"/>
  <c r="EE56" i="39"/>
  <c r="EE61" i="39"/>
  <c r="EE57" i="39"/>
  <c r="EE59" i="39"/>
  <c r="EE64" i="39"/>
  <c r="EH54" i="39"/>
  <c r="EE60" i="39"/>
  <c r="EE63" i="39"/>
  <c r="BP41" i="39"/>
  <c r="BP108" i="39" s="1"/>
  <c r="BJ34" i="40"/>
  <c r="BK34" i="40" s="1"/>
  <c r="EZ34" i="40" s="1"/>
  <c r="BN41" i="39"/>
  <c r="BN108" i="39" s="1"/>
  <c r="EG31" i="40"/>
  <c r="BM32" i="40"/>
  <c r="BQ39" i="39"/>
  <c r="BQ106" i="39" s="1"/>
  <c r="EG30" i="40"/>
  <c r="EG26" i="40"/>
  <c r="EG28" i="40"/>
  <c r="EF63" i="39" l="1"/>
  <c r="EB47" i="40"/>
  <c r="EC47" i="40" s="1"/>
  <c r="FE47" i="40" s="1"/>
  <c r="EF59" i="39"/>
  <c r="EB43" i="40"/>
  <c r="EC43" i="40" s="1"/>
  <c r="FE43" i="40" s="1"/>
  <c r="EF58" i="39"/>
  <c r="EB42" i="40"/>
  <c r="EC42" i="40" s="1"/>
  <c r="FE42" i="40" s="1"/>
  <c r="CF74" i="39"/>
  <c r="CB58" i="40"/>
  <c r="CF76" i="39"/>
  <c r="CB60" i="40"/>
  <c r="EZ14" i="40"/>
  <c r="EZ13" i="40" s="1"/>
  <c r="BK35" i="40"/>
  <c r="BT14" i="39"/>
  <c r="BS81" i="39"/>
  <c r="BN22" i="40"/>
  <c r="BQ96" i="39"/>
  <c r="BN16" i="40"/>
  <c r="BQ90" i="39"/>
  <c r="EF60" i="39"/>
  <c r="EB44" i="40"/>
  <c r="EC44" i="40" s="1"/>
  <c r="FE44" i="40" s="1"/>
  <c r="EF57" i="39"/>
  <c r="EB41" i="40"/>
  <c r="EC41" i="40" s="1"/>
  <c r="FE41" i="40" s="1"/>
  <c r="EF62" i="39"/>
  <c r="EB46" i="40"/>
  <c r="EC46" i="40" s="1"/>
  <c r="FE46" i="40" s="1"/>
  <c r="CA61" i="40"/>
  <c r="FA58" i="40"/>
  <c r="FA61" i="40" s="1"/>
  <c r="BY61" i="40"/>
  <c r="BN14" i="40"/>
  <c r="BQ88" i="39"/>
  <c r="BN18" i="40"/>
  <c r="BQ92" i="39"/>
  <c r="EZ35" i="40"/>
  <c r="EZ63" i="40" s="1"/>
  <c r="G12" i="9" s="1"/>
  <c r="EF61" i="39"/>
  <c r="EB45" i="40"/>
  <c r="EC45" i="40" s="1"/>
  <c r="FE45" i="40" s="1"/>
  <c r="BR86" i="39"/>
  <c r="BR29" i="39"/>
  <c r="BR21" i="39"/>
  <c r="BR22" i="39"/>
  <c r="BR24" i="39"/>
  <c r="BS19" i="39"/>
  <c r="BR28" i="39"/>
  <c r="BR26" i="39"/>
  <c r="BR23" i="39"/>
  <c r="BR27" i="39"/>
  <c r="BR25" i="39"/>
  <c r="BN15" i="40"/>
  <c r="BQ89" i="39"/>
  <c r="BN17" i="40"/>
  <c r="BQ91" i="39"/>
  <c r="BN19" i="40"/>
  <c r="BQ93" i="39"/>
  <c r="EF64" i="39"/>
  <c r="EB48" i="40"/>
  <c r="EC48" i="40" s="1"/>
  <c r="FE48" i="40" s="1"/>
  <c r="EF56" i="39"/>
  <c r="EB40" i="40"/>
  <c r="BJ35" i="40"/>
  <c r="BJ63" i="40" s="1"/>
  <c r="BE19" i="29" s="1"/>
  <c r="BS16" i="39"/>
  <c r="BR83" i="39"/>
  <c r="BI14" i="29" s="1"/>
  <c r="BI16" i="29" s="1"/>
  <c r="BN21" i="40"/>
  <c r="BQ95" i="39"/>
  <c r="BN20" i="40"/>
  <c r="BQ94" i="39"/>
  <c r="BM34" i="40"/>
  <c r="BM35" i="40" s="1"/>
  <c r="BM63" i="40" s="1"/>
  <c r="BG19" i="29" s="1"/>
  <c r="BQ41" i="39"/>
  <c r="BQ108" i="39" s="1"/>
  <c r="EH63" i="39"/>
  <c r="EE47" i="40" s="1"/>
  <c r="EI54" i="39"/>
  <c r="EH62" i="39"/>
  <c r="EE46" i="40" s="1"/>
  <c r="EH59" i="39"/>
  <c r="EE43" i="40" s="1"/>
  <c r="EH64" i="39"/>
  <c r="EE48" i="40" s="1"/>
  <c r="EH61" i="39"/>
  <c r="EE45" i="40" s="1"/>
  <c r="EH58" i="39"/>
  <c r="EE42" i="40" s="1"/>
  <c r="EH60" i="39"/>
  <c r="EE44" i="40" s="1"/>
  <c r="EH56" i="39"/>
  <c r="EE40" i="40" s="1"/>
  <c r="EH57" i="39"/>
  <c r="EE41" i="40" s="1"/>
  <c r="EQ63" i="39"/>
  <c r="EN47" i="40" s="1"/>
  <c r="EQ58" i="39"/>
  <c r="EN42" i="40" s="1"/>
  <c r="EQ60" i="39"/>
  <c r="EN44" i="40" s="1"/>
  <c r="EQ62" i="39"/>
  <c r="EN46" i="40" s="1"/>
  <c r="EQ64" i="39"/>
  <c r="EN48" i="40" s="1"/>
  <c r="EQ56" i="39"/>
  <c r="EN40" i="40" s="1"/>
  <c r="EQ61" i="39"/>
  <c r="EN45" i="40" s="1"/>
  <c r="EQ57" i="39"/>
  <c r="EN41" i="40" s="1"/>
  <c r="EQ59" i="39"/>
  <c r="EN43" i="40" s="1"/>
  <c r="ER54" i="39"/>
  <c r="BR39" i="39"/>
  <c r="BR106" i="39" s="1"/>
  <c r="BN32" i="40"/>
  <c r="BT16" i="39" l="1"/>
  <c r="BS83" i="39"/>
  <c r="BJ14" i="29" s="1"/>
  <c r="BJ16" i="29" s="1"/>
  <c r="EC40" i="40"/>
  <c r="BO20" i="40"/>
  <c r="BR94" i="39"/>
  <c r="BS86" i="39"/>
  <c r="BS24" i="39"/>
  <c r="BS27" i="39"/>
  <c r="BS29" i="39"/>
  <c r="BT19" i="39"/>
  <c r="BS25" i="39"/>
  <c r="BS26" i="39"/>
  <c r="BS22" i="39"/>
  <c r="BS28" i="39"/>
  <c r="BS23" i="39"/>
  <c r="BS21" i="39"/>
  <c r="BO22" i="40"/>
  <c r="BR96" i="39"/>
  <c r="CB61" i="40"/>
  <c r="BO16" i="40"/>
  <c r="BR90" i="39"/>
  <c r="BO17" i="40"/>
  <c r="BR91" i="39"/>
  <c r="CG74" i="39"/>
  <c r="CC58" i="40"/>
  <c r="BO19" i="40"/>
  <c r="BR93" i="39"/>
  <c r="BO15" i="40"/>
  <c r="BR89" i="39"/>
  <c r="BO18" i="40"/>
  <c r="BR92" i="39"/>
  <c r="BO21" i="40"/>
  <c r="BR95" i="39"/>
  <c r="BO14" i="40"/>
  <c r="BR88" i="39"/>
  <c r="BU14" i="39"/>
  <c r="BT81" i="39"/>
  <c r="CG76" i="39"/>
  <c r="CC60" i="40"/>
  <c r="EI64" i="39"/>
  <c r="EF48" i="40" s="1"/>
  <c r="EI57" i="39"/>
  <c r="EF41" i="40" s="1"/>
  <c r="EI63" i="39"/>
  <c r="EF47" i="40" s="1"/>
  <c r="EI59" i="39"/>
  <c r="EF43" i="40" s="1"/>
  <c r="EI56" i="39"/>
  <c r="EF40" i="40" s="1"/>
  <c r="EI62" i="39"/>
  <c r="EF46" i="40" s="1"/>
  <c r="EI60" i="39"/>
  <c r="EF44" i="40" s="1"/>
  <c r="EI61" i="39"/>
  <c r="EF45" i="40" s="1"/>
  <c r="EI58" i="39"/>
  <c r="EF42" i="40" s="1"/>
  <c r="ER61" i="39"/>
  <c r="EO45" i="40" s="1"/>
  <c r="ER57" i="39"/>
  <c r="EO41" i="40" s="1"/>
  <c r="ER59" i="39"/>
  <c r="EO43" i="40" s="1"/>
  <c r="ER64" i="39"/>
  <c r="EO48" i="40" s="1"/>
  <c r="ER63" i="39"/>
  <c r="EO47" i="40" s="1"/>
  <c r="ER60" i="39"/>
  <c r="EO44" i="40" s="1"/>
  <c r="ES54" i="39"/>
  <c r="ET54" i="39" s="1"/>
  <c r="ER62" i="39"/>
  <c r="EO46" i="40" s="1"/>
  <c r="ER58" i="39"/>
  <c r="EO42" i="40" s="1"/>
  <c r="ER56" i="39"/>
  <c r="EO40" i="40" s="1"/>
  <c r="BR41" i="39"/>
  <c r="BR108" i="39" s="1"/>
  <c r="BN34" i="40"/>
  <c r="BN35" i="40" s="1"/>
  <c r="BN63" i="40" s="1"/>
  <c r="BH19" i="29" s="1"/>
  <c r="BS39" i="39"/>
  <c r="BS106" i="39" s="1"/>
  <c r="BO32" i="40"/>
  <c r="CH76" i="39" l="1"/>
  <c r="CD60" i="40"/>
  <c r="CH74" i="39"/>
  <c r="CD58" i="40"/>
  <c r="BP21" i="40"/>
  <c r="BS95" i="39"/>
  <c r="BT86" i="39"/>
  <c r="BT21" i="39"/>
  <c r="BT27" i="39"/>
  <c r="BT24" i="39"/>
  <c r="BT23" i="39"/>
  <c r="BT26" i="39"/>
  <c r="BT22" i="39"/>
  <c r="BT29" i="39"/>
  <c r="BU19" i="39"/>
  <c r="BT25" i="39"/>
  <c r="BT28" i="39"/>
  <c r="FE40" i="40"/>
  <c r="FE39" i="40" s="1"/>
  <c r="BU16" i="39"/>
  <c r="BT83" i="39"/>
  <c r="BK14" i="29" s="1"/>
  <c r="BK16" i="29" s="1"/>
  <c r="BP15" i="40"/>
  <c r="BS89" i="39"/>
  <c r="BP22" i="40"/>
  <c r="BS96" i="39"/>
  <c r="BV14" i="39"/>
  <c r="BU81" i="39"/>
  <c r="BP14" i="40"/>
  <c r="BS88" i="39"/>
  <c r="BP19" i="40"/>
  <c r="BS93" i="39"/>
  <c r="BP20" i="40"/>
  <c r="BS94" i="39"/>
  <c r="CC61" i="40"/>
  <c r="BP16" i="40"/>
  <c r="BS90" i="39"/>
  <c r="BP18" i="40"/>
  <c r="BS92" i="39"/>
  <c r="BP17" i="40"/>
  <c r="BS91" i="39"/>
  <c r="BS41" i="39"/>
  <c r="BS108" i="39" s="1"/>
  <c r="BO34" i="40"/>
  <c r="BO35" i="40" s="1"/>
  <c r="BO63" i="40" s="1"/>
  <c r="BI19" i="29" s="1"/>
  <c r="ES61" i="39"/>
  <c r="ES62" i="39"/>
  <c r="ES58" i="39"/>
  <c r="ES64" i="39"/>
  <c r="ES57" i="39"/>
  <c r="ES60" i="39"/>
  <c r="ES56" i="39"/>
  <c r="ES63" i="39"/>
  <c r="ES59" i="39"/>
  <c r="BT39" i="39"/>
  <c r="BT106" i="39" s="1"/>
  <c r="BP32" i="40"/>
  <c r="CD61" i="40" l="1"/>
  <c r="ET56" i="39"/>
  <c r="EP40" i="40"/>
  <c r="ET58" i="39"/>
  <c r="EP42" i="40"/>
  <c r="EQ42" i="40" s="1"/>
  <c r="FF42" i="40" s="1"/>
  <c r="BW14" i="39"/>
  <c r="BV81" i="39"/>
  <c r="BQ18" i="40"/>
  <c r="BT92" i="39"/>
  <c r="BQ19" i="40"/>
  <c r="BT93" i="39"/>
  <c r="BQ14" i="40"/>
  <c r="BT88" i="39"/>
  <c r="ET60" i="39"/>
  <c r="EP44" i="40"/>
  <c r="EQ44" i="40" s="1"/>
  <c r="FF44" i="40" s="1"/>
  <c r="ET62" i="39"/>
  <c r="EP46" i="40"/>
  <c r="EQ46" i="40" s="1"/>
  <c r="FF46" i="40" s="1"/>
  <c r="BU86" i="39"/>
  <c r="BU21" i="39"/>
  <c r="BU24" i="39"/>
  <c r="BU28" i="39"/>
  <c r="BU23" i="39"/>
  <c r="BU25" i="39"/>
  <c r="BU29" i="39"/>
  <c r="BU22" i="39"/>
  <c r="BU27" i="39"/>
  <c r="BV19" i="39"/>
  <c r="BU26" i="39"/>
  <c r="BQ16" i="40"/>
  <c r="BT90" i="39"/>
  <c r="ET59" i="39"/>
  <c r="EP43" i="40"/>
  <c r="EQ43" i="40" s="1"/>
  <c r="FF43" i="40" s="1"/>
  <c r="ET57" i="39"/>
  <c r="EP41" i="40"/>
  <c r="EQ41" i="40" s="1"/>
  <c r="FF41" i="40" s="1"/>
  <c r="ET61" i="39"/>
  <c r="EP45" i="40"/>
  <c r="EQ45" i="40" s="1"/>
  <c r="FF45" i="40" s="1"/>
  <c r="BQ22" i="40"/>
  <c r="BT96" i="39"/>
  <c r="BQ17" i="40"/>
  <c r="BT91" i="39"/>
  <c r="CI74" i="39"/>
  <c r="CE58" i="40"/>
  <c r="CI76" i="39"/>
  <c r="CE60" i="40"/>
  <c r="ET63" i="39"/>
  <c r="EP47" i="40"/>
  <c r="EQ47" i="40" s="1"/>
  <c r="FF47" i="40" s="1"/>
  <c r="ET64" i="39"/>
  <c r="EP48" i="40"/>
  <c r="EQ48" i="40" s="1"/>
  <c r="FF48" i="40" s="1"/>
  <c r="BV16" i="39"/>
  <c r="BU83" i="39"/>
  <c r="BL14" i="29" s="1"/>
  <c r="BL16" i="29" s="1"/>
  <c r="BQ21" i="40"/>
  <c r="BT95" i="39"/>
  <c r="BQ15" i="40"/>
  <c r="BT89" i="39"/>
  <c r="BQ20" i="40"/>
  <c r="BT94" i="39"/>
  <c r="BT41" i="39"/>
  <c r="BT108" i="39" s="1"/>
  <c r="BP34" i="40"/>
  <c r="BP35" i="40" s="1"/>
  <c r="BP63" i="40" s="1"/>
  <c r="BJ19" i="29" s="1"/>
  <c r="BU39" i="39"/>
  <c r="BU106" i="39" s="1"/>
  <c r="BQ32" i="40"/>
  <c r="BW16" i="39" l="1"/>
  <c r="BV83" i="39"/>
  <c r="BM14" i="29" s="1"/>
  <c r="BM16" i="29" s="1"/>
  <c r="CJ74" i="39"/>
  <c r="CF58" i="40"/>
  <c r="BR15" i="40"/>
  <c r="BU89" i="39"/>
  <c r="BR21" i="40"/>
  <c r="BU95" i="39"/>
  <c r="BR19" i="40"/>
  <c r="BU93" i="39"/>
  <c r="BR22" i="40"/>
  <c r="BU96" i="39"/>
  <c r="BR17" i="40"/>
  <c r="BU91" i="39"/>
  <c r="CJ76" i="39"/>
  <c r="CF60" i="40"/>
  <c r="BV86" i="39"/>
  <c r="BV29" i="39"/>
  <c r="BV23" i="39"/>
  <c r="BV26" i="39"/>
  <c r="BW19" i="39"/>
  <c r="BV21" i="39"/>
  <c r="BV28" i="39"/>
  <c r="BV24" i="39"/>
  <c r="BV25" i="39"/>
  <c r="BV22" i="39"/>
  <c r="BV27" i="39"/>
  <c r="BR18" i="40"/>
  <c r="BU92" i="39"/>
  <c r="BR14" i="40"/>
  <c r="BU88" i="39"/>
  <c r="EQ40" i="40"/>
  <c r="CE61" i="40"/>
  <c r="BR20" i="40"/>
  <c r="BU94" i="39"/>
  <c r="BR16" i="40"/>
  <c r="BU90" i="39"/>
  <c r="BX14" i="39"/>
  <c r="BW81" i="39"/>
  <c r="BQ34" i="40"/>
  <c r="BQ35" i="40" s="1"/>
  <c r="BQ63" i="40" s="1"/>
  <c r="BK19" i="29" s="1"/>
  <c r="BU41" i="39"/>
  <c r="BU108" i="39" s="1"/>
  <c r="BV39" i="39"/>
  <c r="BV106" i="39" s="1"/>
  <c r="BR32" i="40"/>
  <c r="BX36" i="39" l="1"/>
  <c r="BX81" i="39"/>
  <c r="BY14" i="39"/>
  <c r="BS20" i="40"/>
  <c r="BV94" i="39"/>
  <c r="BS21" i="40"/>
  <c r="BV95" i="39"/>
  <c r="BS16" i="40"/>
  <c r="BV90" i="39"/>
  <c r="FF40" i="40"/>
  <c r="FF39" i="40" s="1"/>
  <c r="BS15" i="40"/>
  <c r="BV89" i="39"/>
  <c r="BS14" i="40"/>
  <c r="BV88" i="39"/>
  <c r="BS22" i="40"/>
  <c r="BV96" i="39"/>
  <c r="CK76" i="39"/>
  <c r="CG60" i="40"/>
  <c r="BS18" i="40"/>
  <c r="BV92" i="39"/>
  <c r="BW86" i="39"/>
  <c r="BW25" i="39"/>
  <c r="BW29" i="39"/>
  <c r="BW24" i="39"/>
  <c r="BW27" i="39"/>
  <c r="BW21" i="39"/>
  <c r="BW28" i="39"/>
  <c r="BW23" i="39"/>
  <c r="BX19" i="39"/>
  <c r="BW26" i="39"/>
  <c r="BW22" i="39"/>
  <c r="CF61" i="40"/>
  <c r="BX16" i="39"/>
  <c r="BW83" i="39"/>
  <c r="BN14" i="29" s="1"/>
  <c r="BN16" i="29" s="1"/>
  <c r="BS17" i="40"/>
  <c r="BV91" i="39"/>
  <c r="BS19" i="40"/>
  <c r="BV93" i="39"/>
  <c r="CK74" i="39"/>
  <c r="CG58" i="40"/>
  <c r="BV41" i="39"/>
  <c r="BV108" i="39" s="1"/>
  <c r="BR34" i="40"/>
  <c r="BR35" i="40" s="1"/>
  <c r="BR63" i="40" s="1"/>
  <c r="BL19" i="29" s="1"/>
  <c r="BW39" i="39"/>
  <c r="BW106" i="39" s="1"/>
  <c r="BS32" i="40"/>
  <c r="C34" i="1"/>
  <c r="D40" i="30" s="1"/>
  <c r="BT16" i="40" l="1"/>
  <c r="BW90" i="39"/>
  <c r="BT17" i="40"/>
  <c r="BW91" i="39"/>
  <c r="BZ14" i="39"/>
  <c r="BY81" i="39"/>
  <c r="BT15" i="40"/>
  <c r="BW89" i="39"/>
  <c r="BT21" i="40"/>
  <c r="BW95" i="39"/>
  <c r="BT22" i="40"/>
  <c r="BW96" i="39"/>
  <c r="CG61" i="40"/>
  <c r="BY16" i="39"/>
  <c r="BX83" i="39"/>
  <c r="BO14" i="29" s="1"/>
  <c r="BO16" i="29" s="1"/>
  <c r="BT19" i="40"/>
  <c r="BW93" i="39"/>
  <c r="BT14" i="40"/>
  <c r="BW88" i="39"/>
  <c r="BT18" i="40"/>
  <c r="BW92" i="39"/>
  <c r="BX103" i="39"/>
  <c r="CB36" i="39"/>
  <c r="CB103" i="39" s="1"/>
  <c r="BU29" i="40"/>
  <c r="BY29" i="40" s="1"/>
  <c r="FA29" i="40" s="1"/>
  <c r="FA27" i="40" s="1"/>
  <c r="CL74" i="39"/>
  <c r="CH58" i="40"/>
  <c r="BX86" i="39"/>
  <c r="BX29" i="39"/>
  <c r="BX26" i="39"/>
  <c r="BX27" i="39"/>
  <c r="BY19" i="39"/>
  <c r="BX21" i="39"/>
  <c r="BX25" i="39"/>
  <c r="BX24" i="39"/>
  <c r="BX22" i="39"/>
  <c r="BX28" i="39"/>
  <c r="BX23" i="39"/>
  <c r="BT20" i="40"/>
  <c r="BW94" i="39"/>
  <c r="CL76" i="39"/>
  <c r="CH60" i="40"/>
  <c r="BW41" i="39"/>
  <c r="BW108" i="39" s="1"/>
  <c r="BS34" i="40"/>
  <c r="BS35" i="40" s="1"/>
  <c r="BS63" i="40" s="1"/>
  <c r="BM19" i="29" s="1"/>
  <c r="BX39" i="39"/>
  <c r="BX106" i="39" s="1"/>
  <c r="BT32" i="40"/>
  <c r="D47" i="30"/>
  <c r="C38" i="1" s="1"/>
  <c r="D38" i="1" s="1"/>
  <c r="D50" i="30"/>
  <c r="D56" i="30" s="1"/>
  <c r="D60" i="30" s="1"/>
  <c r="P38" i="30"/>
  <c r="BU15" i="40" l="1"/>
  <c r="BX89" i="39"/>
  <c r="BY86" i="39"/>
  <c r="BY25" i="39"/>
  <c r="BY24" i="39"/>
  <c r="BY21" i="39"/>
  <c r="BY26" i="39"/>
  <c r="BY29" i="39"/>
  <c r="BY22" i="39"/>
  <c r="BZ19" i="39"/>
  <c r="BY23" i="39"/>
  <c r="BY27" i="39"/>
  <c r="BY28" i="39"/>
  <c r="BZ16" i="39"/>
  <c r="BY83" i="39"/>
  <c r="BP14" i="29" s="1"/>
  <c r="BP16" i="29" s="1"/>
  <c r="CA14" i="39"/>
  <c r="BZ81" i="39"/>
  <c r="BU17" i="40"/>
  <c r="BX91" i="39"/>
  <c r="BU20" i="40"/>
  <c r="BX94" i="39"/>
  <c r="CH61" i="40"/>
  <c r="BU16" i="40"/>
  <c r="BX90" i="39"/>
  <c r="BU18" i="40"/>
  <c r="BX92" i="39"/>
  <c r="BU19" i="40"/>
  <c r="BX93" i="39"/>
  <c r="CM74" i="39"/>
  <c r="CI58" i="40"/>
  <c r="CI61" i="40" s="1"/>
  <c r="CM76" i="39"/>
  <c r="CI60" i="40"/>
  <c r="BU21" i="40"/>
  <c r="BX95" i="39"/>
  <c r="BU14" i="40"/>
  <c r="BX88" i="39"/>
  <c r="BU22" i="40"/>
  <c r="BX96" i="39"/>
  <c r="BT34" i="40"/>
  <c r="BT35" i="40" s="1"/>
  <c r="BT63" i="40" s="1"/>
  <c r="BN19" i="29" s="1"/>
  <c r="BX41" i="39"/>
  <c r="BX108" i="39" s="1"/>
  <c r="BY39" i="39"/>
  <c r="BY106" i="39" s="1"/>
  <c r="BU32" i="40"/>
  <c r="O8" i="2"/>
  <c r="X13" i="2" s="1"/>
  <c r="Y13" i="2" s="1"/>
  <c r="B28" i="17"/>
  <c r="B29" i="17" s="1"/>
  <c r="H33" i="17"/>
  <c r="B22" i="17"/>
  <c r="J11" i="17" s="1"/>
  <c r="L11" i="17" s="1"/>
  <c r="G33" i="17"/>
  <c r="F33" i="17"/>
  <c r="CN74" i="39" l="1"/>
  <c r="CJ58" i="40"/>
  <c r="BV20" i="40"/>
  <c r="BY94" i="39"/>
  <c r="BV22" i="40"/>
  <c r="BY96" i="39"/>
  <c r="BV18" i="40"/>
  <c r="BY92" i="39"/>
  <c r="CA16" i="39"/>
  <c r="BZ83" i="39"/>
  <c r="BQ14" i="29" s="1"/>
  <c r="BQ16" i="29" s="1"/>
  <c r="BV16" i="40"/>
  <c r="BY90" i="39"/>
  <c r="BV19" i="40"/>
  <c r="BY93" i="39"/>
  <c r="CN76" i="39"/>
  <c r="CJ60" i="40"/>
  <c r="BZ86" i="39"/>
  <c r="BZ29" i="39"/>
  <c r="BZ21" i="39"/>
  <c r="BZ28" i="39"/>
  <c r="BZ26" i="39"/>
  <c r="BZ22" i="39"/>
  <c r="CA19" i="39"/>
  <c r="BZ25" i="39"/>
  <c r="BZ24" i="39"/>
  <c r="BZ23" i="39"/>
  <c r="BZ27" i="39"/>
  <c r="BV14" i="40"/>
  <c r="BY88" i="39"/>
  <c r="CD14" i="39"/>
  <c r="CA81" i="39"/>
  <c r="BV21" i="40"/>
  <c r="BY95" i="39"/>
  <c r="BV15" i="40"/>
  <c r="BY89" i="39"/>
  <c r="BV17" i="40"/>
  <c r="BY91" i="39"/>
  <c r="BY41" i="39"/>
  <c r="BY108" i="39" s="1"/>
  <c r="BU34" i="40"/>
  <c r="BU35" i="40" s="1"/>
  <c r="BU63" i="40" s="1"/>
  <c r="BO19" i="29" s="1"/>
  <c r="BZ39" i="39"/>
  <c r="BZ106" i="39" s="1"/>
  <c r="BV32" i="40"/>
  <c r="DY28" i="40"/>
  <c r="DY31" i="40"/>
  <c r="DY26" i="40"/>
  <c r="EF36" i="39"/>
  <c r="EF103" i="39" s="1"/>
  <c r="DY29" i="40"/>
  <c r="EC29" i="40" s="1"/>
  <c r="FE29" i="40" s="1"/>
  <c r="DY30" i="40"/>
  <c r="M11" i="2"/>
  <c r="V11" i="2" s="1"/>
  <c r="F25" i="2"/>
  <c r="N27" i="2"/>
  <c r="X16" i="2"/>
  <c r="Y16" i="2" s="1"/>
  <c r="Z21" i="2"/>
  <c r="M20" i="2"/>
  <c r="V20" i="2" s="1"/>
  <c r="Z19" i="2"/>
  <c r="M13" i="2"/>
  <c r="V13" i="2" s="1"/>
  <c r="X19" i="2"/>
  <c r="Y19" i="2" s="1"/>
  <c r="M21" i="2"/>
  <c r="V21" i="2" s="1"/>
  <c r="Z12" i="2"/>
  <c r="Z15" i="2"/>
  <c r="M14" i="2"/>
  <c r="V14" i="2" s="1"/>
  <c r="Z20" i="2"/>
  <c r="M16" i="2"/>
  <c r="V16" i="2" s="1"/>
  <c r="X17" i="2"/>
  <c r="Y17" i="2" s="1"/>
  <c r="M15" i="2"/>
  <c r="V15" i="2" s="1"/>
  <c r="X15" i="2"/>
  <c r="Y15" i="2" s="1"/>
  <c r="M12" i="2"/>
  <c r="V12" i="2" s="1"/>
  <c r="Z13" i="2"/>
  <c r="M19" i="2"/>
  <c r="V19" i="2" s="1"/>
  <c r="M18" i="2"/>
  <c r="V18" i="2" s="1"/>
  <c r="X14" i="2"/>
  <c r="Y14" i="2" s="1"/>
  <c r="Z14" i="2"/>
  <c r="Z16" i="2"/>
  <c r="X18" i="2"/>
  <c r="Y18" i="2" s="1"/>
  <c r="X11" i="2"/>
  <c r="Y11" i="2" s="1"/>
  <c r="Z17" i="2"/>
  <c r="M17" i="2"/>
  <c r="V17" i="2" s="1"/>
  <c r="X20" i="2"/>
  <c r="Y20" i="2" s="1"/>
  <c r="Z18" i="2"/>
  <c r="X21" i="2"/>
  <c r="X12" i="2"/>
  <c r="Y12" i="2" s="1"/>
  <c r="J16" i="17"/>
  <c r="L16" i="17" s="1"/>
  <c r="K28" i="17"/>
  <c r="M28" i="17" s="1"/>
  <c r="K20" i="17"/>
  <c r="M20" i="17" s="1"/>
  <c r="K26" i="17"/>
  <c r="M26" i="17" s="1"/>
  <c r="K18" i="17"/>
  <c r="M18" i="17" s="1"/>
  <c r="K32" i="17"/>
  <c r="M32" i="17" s="1"/>
  <c r="K24" i="17"/>
  <c r="M24" i="17" s="1"/>
  <c r="K30" i="17"/>
  <c r="M30" i="17" s="1"/>
  <c r="K22" i="17"/>
  <c r="M22" i="17" s="1"/>
  <c r="J12" i="17"/>
  <c r="L12" i="17" s="1"/>
  <c r="K10" i="17"/>
  <c r="M10" i="17" s="1"/>
  <c r="K29" i="17"/>
  <c r="M29" i="17" s="1"/>
  <c r="K25" i="17"/>
  <c r="M25" i="17" s="1"/>
  <c r="B38" i="17" s="1"/>
  <c r="K21" i="17"/>
  <c r="M21" i="17" s="1"/>
  <c r="K17" i="17"/>
  <c r="M17" i="17" s="1"/>
  <c r="K31" i="17"/>
  <c r="M31" i="17" s="1"/>
  <c r="K27" i="17"/>
  <c r="M27" i="17" s="1"/>
  <c r="K23" i="17"/>
  <c r="M23" i="17" s="1"/>
  <c r="K19" i="17"/>
  <c r="M19" i="17" s="1"/>
  <c r="K13" i="17"/>
  <c r="M13" i="17" s="1"/>
  <c r="J32" i="17"/>
  <c r="L32" i="17" s="1"/>
  <c r="J31" i="17"/>
  <c r="L31" i="17" s="1"/>
  <c r="J30" i="17"/>
  <c r="L30" i="17" s="1"/>
  <c r="J29" i="17"/>
  <c r="L29" i="17" s="1"/>
  <c r="J28" i="17"/>
  <c r="L28" i="17" s="1"/>
  <c r="J27" i="17"/>
  <c r="L27" i="17" s="1"/>
  <c r="J26" i="17"/>
  <c r="L26" i="17" s="1"/>
  <c r="J25" i="17"/>
  <c r="L25" i="17" s="1"/>
  <c r="J24" i="17"/>
  <c r="L24" i="17" s="1"/>
  <c r="J23" i="17"/>
  <c r="L23" i="17" s="1"/>
  <c r="J22" i="17"/>
  <c r="L22" i="17" s="1"/>
  <c r="J21" i="17"/>
  <c r="L21" i="17" s="1"/>
  <c r="J20" i="17"/>
  <c r="L20" i="17" s="1"/>
  <c r="J19" i="17"/>
  <c r="L19" i="17" s="1"/>
  <c r="J18" i="17"/>
  <c r="L18" i="17" s="1"/>
  <c r="J17" i="17"/>
  <c r="L17" i="17" s="1"/>
  <c r="K14" i="17"/>
  <c r="M14" i="17" s="1"/>
  <c r="J13" i="17"/>
  <c r="L13" i="17" s="1"/>
  <c r="K15" i="17"/>
  <c r="M15" i="17" s="1"/>
  <c r="J14" i="17"/>
  <c r="L14" i="17" s="1"/>
  <c r="K11" i="17"/>
  <c r="M11" i="17" s="1"/>
  <c r="J10" i="17"/>
  <c r="L10" i="17" s="1"/>
  <c r="K16" i="17"/>
  <c r="M16" i="17" s="1"/>
  <c r="J15" i="17"/>
  <c r="L15" i="17" s="1"/>
  <c r="K12" i="17"/>
  <c r="M12" i="17" s="1"/>
  <c r="I33" i="17"/>
  <c r="M31" i="16"/>
  <c r="M30" i="16"/>
  <c r="M32" i="16"/>
  <c r="M33" i="16"/>
  <c r="M34" i="16"/>
  <c r="M35" i="16"/>
  <c r="M36" i="16"/>
  <c r="M29" i="16"/>
  <c r="M28" i="16"/>
  <c r="M21" i="16"/>
  <c r="M24" i="16"/>
  <c r="M25" i="16"/>
  <c r="M26" i="16"/>
  <c r="M27" i="16"/>
  <c r="M23" i="16"/>
  <c r="I58" i="16"/>
  <c r="I60" i="16" s="1"/>
  <c r="I53" i="16"/>
  <c r="I55" i="16" s="1"/>
  <c r="I45" i="16"/>
  <c r="I47" i="16" s="1"/>
  <c r="K47" i="16" s="1"/>
  <c r="I49" i="16" s="1"/>
  <c r="C36" i="16"/>
  <c r="E36" i="16" s="1"/>
  <c r="C34" i="16"/>
  <c r="E34" i="16" s="1"/>
  <c r="E35" i="16"/>
  <c r="E28" i="16"/>
  <c r="E29" i="16"/>
  <c r="E30" i="16"/>
  <c r="E31" i="16"/>
  <c r="E32" i="16"/>
  <c r="E26" i="16"/>
  <c r="E27" i="16"/>
  <c r="E20" i="16"/>
  <c r="E21" i="16"/>
  <c r="E22" i="16"/>
  <c r="E23" i="16"/>
  <c r="E24" i="16"/>
  <c r="E19" i="16"/>
  <c r="CJ61" i="40" l="1"/>
  <c r="CE14" i="39"/>
  <c r="CD81" i="39"/>
  <c r="BW20" i="40"/>
  <c r="BZ94" i="39"/>
  <c r="CA86" i="39"/>
  <c r="CA21" i="39"/>
  <c r="CA22" i="39"/>
  <c r="CA25" i="39"/>
  <c r="CA23" i="39"/>
  <c r="CA29" i="39"/>
  <c r="CA27" i="39"/>
  <c r="CA24" i="39"/>
  <c r="CD19" i="39"/>
  <c r="CA28" i="39"/>
  <c r="CA26" i="39"/>
  <c r="CB19" i="39"/>
  <c r="CB86" i="39" s="1"/>
  <c r="BW14" i="40"/>
  <c r="BZ88" i="39"/>
  <c r="CO76" i="39"/>
  <c r="CK60" i="40"/>
  <c r="BW16" i="40"/>
  <c r="BZ90" i="39"/>
  <c r="BW15" i="40"/>
  <c r="BZ89" i="39"/>
  <c r="BW22" i="40"/>
  <c r="BZ96" i="39"/>
  <c r="BW17" i="40"/>
  <c r="BZ91" i="39"/>
  <c r="BW19" i="40"/>
  <c r="BZ93" i="39"/>
  <c r="BW18" i="40"/>
  <c r="BZ92" i="39"/>
  <c r="BW21" i="40"/>
  <c r="BZ95" i="39"/>
  <c r="CD16" i="39"/>
  <c r="CA83" i="39"/>
  <c r="BR14" i="29" s="1"/>
  <c r="BR16" i="29" s="1"/>
  <c r="K42" i="29" s="1"/>
  <c r="CB16" i="39"/>
  <c r="CB83" i="39" s="1"/>
  <c r="J14" i="5" s="1"/>
  <c r="CO74" i="39"/>
  <c r="CK58" i="40"/>
  <c r="BV34" i="40"/>
  <c r="BV35" i="40" s="1"/>
  <c r="BV63" i="40" s="1"/>
  <c r="BP19" i="29" s="1"/>
  <c r="BZ41" i="39"/>
  <c r="BZ108" i="39" s="1"/>
  <c r="CA39" i="39"/>
  <c r="CA106" i="39" s="1"/>
  <c r="BW32" i="40"/>
  <c r="N34" i="2"/>
  <c r="N25" i="2"/>
  <c r="J33" i="17"/>
  <c r="L33" i="17"/>
  <c r="K33" i="17"/>
  <c r="B27" i="17" s="1"/>
  <c r="B32" i="17" s="1"/>
  <c r="M33" i="17"/>
  <c r="B26" i="17" s="1"/>
  <c r="H11" i="14"/>
  <c r="H12" i="14" s="1"/>
  <c r="H13" i="14" s="1"/>
  <c r="H14" i="14" s="1"/>
  <c r="H15" i="14" s="1"/>
  <c r="H16" i="14" s="1"/>
  <c r="H17" i="14" s="1"/>
  <c r="H18" i="14" s="1"/>
  <c r="H19" i="14" s="1"/>
  <c r="I28" i="11"/>
  <c r="I29" i="11" s="1"/>
  <c r="I30" i="11" s="1"/>
  <c r="G11" i="11"/>
  <c r="G12" i="11" s="1"/>
  <c r="G13" i="11" s="1"/>
  <c r="G14" i="11" s="1"/>
  <c r="G15" i="11" s="1"/>
  <c r="G16" i="11" s="1"/>
  <c r="G17" i="11" s="1"/>
  <c r="G18" i="11" s="1"/>
  <c r="G19" i="11" s="1"/>
  <c r="N14" i="10"/>
  <c r="C11" i="10"/>
  <c r="N15" i="10"/>
  <c r="O15" i="10" s="1"/>
  <c r="R15" i="10" s="1"/>
  <c r="E10" i="10"/>
  <c r="E11" i="10" s="1"/>
  <c r="E12" i="10" s="1"/>
  <c r="E13" i="10" s="1"/>
  <c r="E14" i="10" s="1"/>
  <c r="E15" i="10" s="1"/>
  <c r="E16" i="10" s="1"/>
  <c r="E17" i="10" s="1"/>
  <c r="E18" i="10" s="1"/>
  <c r="I10" i="8"/>
  <c r="I11" i="8" s="1"/>
  <c r="I12" i="8" s="1"/>
  <c r="I13" i="8" s="1"/>
  <c r="I14" i="8" s="1"/>
  <c r="I15" i="8" s="1"/>
  <c r="I16" i="8" s="1"/>
  <c r="I17" i="8" s="1"/>
  <c r="I18" i="8" s="1"/>
  <c r="A2" i="8"/>
  <c r="A2" i="11" s="1"/>
  <c r="I9" i="9"/>
  <c r="F9" i="9"/>
  <c r="A2" i="5"/>
  <c r="A2" i="3"/>
  <c r="E10" i="9"/>
  <c r="E11" i="9" s="1"/>
  <c r="E12" i="9" s="1"/>
  <c r="E13" i="9" s="1"/>
  <c r="E14" i="9" s="1"/>
  <c r="E15" i="9" s="1"/>
  <c r="E16" i="9" s="1"/>
  <c r="E17" i="9" s="1"/>
  <c r="E18" i="9" s="1"/>
  <c r="A2" i="9"/>
  <c r="CK61" i="40" l="1"/>
  <c r="CD83" i="39"/>
  <c r="BT14" i="29" s="1"/>
  <c r="BT16" i="29" s="1"/>
  <c r="CE16" i="39"/>
  <c r="CR76" i="39"/>
  <c r="CL60" i="40"/>
  <c r="CM60" i="40" s="1"/>
  <c r="FB60" i="40" s="1"/>
  <c r="CP76" i="39"/>
  <c r="CA93" i="39"/>
  <c r="BX19" i="40"/>
  <c r="BY19" i="40" s="1"/>
  <c r="FA19" i="40" s="1"/>
  <c r="CB26" i="39"/>
  <c r="CB93" i="39" s="1"/>
  <c r="CA94" i="39"/>
  <c r="BX20" i="40"/>
  <c r="BY20" i="40" s="1"/>
  <c r="FA20" i="40" s="1"/>
  <c r="CB27" i="39"/>
  <c r="CB94" i="39" s="1"/>
  <c r="CA89" i="39"/>
  <c r="BX15" i="40"/>
  <c r="BY15" i="40" s="1"/>
  <c r="FA15" i="40" s="1"/>
  <c r="CB22" i="39"/>
  <c r="CB89" i="39" s="1"/>
  <c r="CR74" i="39"/>
  <c r="CL58" i="40"/>
  <c r="CP74" i="39"/>
  <c r="CA95" i="39"/>
  <c r="BX21" i="40"/>
  <c r="BY21" i="40" s="1"/>
  <c r="FA21" i="40" s="1"/>
  <c r="CB28" i="39"/>
  <c r="CB95" i="39" s="1"/>
  <c r="CA96" i="39"/>
  <c r="BX22" i="40"/>
  <c r="BY22" i="40" s="1"/>
  <c r="FA22" i="40" s="1"/>
  <c r="CB29" i="39"/>
  <c r="CB96" i="39" s="1"/>
  <c r="CA88" i="39"/>
  <c r="BX14" i="40"/>
  <c r="CB21" i="39"/>
  <c r="CB88" i="39" s="1"/>
  <c r="CD86" i="39"/>
  <c r="CD22" i="39"/>
  <c r="CD28" i="39"/>
  <c r="CD26" i="39"/>
  <c r="CD29" i="39"/>
  <c r="CD21" i="39"/>
  <c r="CD23" i="39"/>
  <c r="CD24" i="39"/>
  <c r="CE19" i="39"/>
  <c r="CD27" i="39"/>
  <c r="CD25" i="39"/>
  <c r="CA90" i="39"/>
  <c r="BX16" i="40"/>
  <c r="BY16" i="40" s="1"/>
  <c r="FA16" i="40" s="1"/>
  <c r="CB23" i="39"/>
  <c r="CB90" i="39" s="1"/>
  <c r="CF14" i="39"/>
  <c r="CE81" i="39"/>
  <c r="CA91" i="39"/>
  <c r="BX17" i="40"/>
  <c r="BY17" i="40" s="1"/>
  <c r="FA17" i="40" s="1"/>
  <c r="CB24" i="39"/>
  <c r="CB91" i="39" s="1"/>
  <c r="CA92" i="39"/>
  <c r="BX18" i="40"/>
  <c r="BY18" i="40" s="1"/>
  <c r="FA18" i="40" s="1"/>
  <c r="CB25" i="39"/>
  <c r="CB92" i="39" s="1"/>
  <c r="CA41" i="39"/>
  <c r="CA108" i="39" s="1"/>
  <c r="BW34" i="40"/>
  <c r="BW35" i="40" s="1"/>
  <c r="BW63" i="40" s="1"/>
  <c r="BQ19" i="29" s="1"/>
  <c r="CD39" i="39"/>
  <c r="CD106" i="39" s="1"/>
  <c r="BX32" i="40"/>
  <c r="BY32" i="40" s="1"/>
  <c r="FA32" i="40" s="1"/>
  <c r="CB39" i="39"/>
  <c r="CB106" i="39" s="1"/>
  <c r="O14" i="10"/>
  <c r="R14" i="10" s="1"/>
  <c r="R16" i="10" s="1"/>
  <c r="T14" i="10"/>
  <c r="J12" i="11"/>
  <c r="J13" i="11" s="1"/>
  <c r="J14" i="11" s="1"/>
  <c r="J15" i="11" s="1"/>
  <c r="J16" i="11" s="1"/>
  <c r="J17" i="11" s="1"/>
  <c r="J18" i="11" s="1"/>
  <c r="J19" i="11" s="1"/>
  <c r="I12" i="11"/>
  <c r="I13" i="11" s="1"/>
  <c r="I14" i="11" s="1"/>
  <c r="I15" i="11" s="1"/>
  <c r="I16" i="11" s="1"/>
  <c r="I17" i="11" s="1"/>
  <c r="I18" i="11" s="1"/>
  <c r="I19" i="11" s="1"/>
  <c r="A2" i="29"/>
  <c r="A2" i="30" s="1"/>
  <c r="A2" i="17" s="1"/>
  <c r="A2" i="28"/>
  <c r="O12" i="11"/>
  <c r="O13" i="11" s="1"/>
  <c r="O14" i="11" s="1"/>
  <c r="O15" i="11" s="1"/>
  <c r="O16" i="11" s="1"/>
  <c r="O17" i="11" s="1"/>
  <c r="O18" i="11" s="1"/>
  <c r="O19" i="11" s="1"/>
  <c r="O22" i="11" s="1"/>
  <c r="N11" i="8"/>
  <c r="L11" i="8"/>
  <c r="AG23" i="29" s="1"/>
  <c r="AH23" i="29" s="1"/>
  <c r="AI23" i="29" s="1"/>
  <c r="AJ23" i="29" s="1"/>
  <c r="AK23" i="29" s="1"/>
  <c r="AL23" i="29" s="1"/>
  <c r="AM23" i="29" s="1"/>
  <c r="AN23" i="29" s="1"/>
  <c r="AO23" i="29" s="1"/>
  <c r="AP23" i="29" s="1"/>
  <c r="AQ23" i="29" s="1"/>
  <c r="AR23" i="29" s="1"/>
  <c r="A2" i="10"/>
  <c r="A2" i="14" s="1"/>
  <c r="A2" i="23"/>
  <c r="P12" i="11"/>
  <c r="AG30" i="29" s="1"/>
  <c r="AH30" i="29" s="1"/>
  <c r="AI30" i="29" s="1"/>
  <c r="AJ30" i="29" s="1"/>
  <c r="AK30" i="29" s="1"/>
  <c r="AL30" i="29" s="1"/>
  <c r="AM30" i="29" s="1"/>
  <c r="AN30" i="29" s="1"/>
  <c r="AO30" i="29" s="1"/>
  <c r="AP30" i="29" s="1"/>
  <c r="AQ30" i="29" s="1"/>
  <c r="AR30" i="29" s="1"/>
  <c r="C29" i="1"/>
  <c r="B30" i="17"/>
  <c r="B31" i="17"/>
  <c r="O12" i="10"/>
  <c r="V12" i="10" s="1"/>
  <c r="K11" i="8"/>
  <c r="I10" i="9"/>
  <c r="N12" i="8" l="1"/>
  <c r="AR24" i="29"/>
  <c r="V14" i="10"/>
  <c r="V16" i="10" s="1"/>
  <c r="K12" i="8"/>
  <c r="AR22" i="29"/>
  <c r="CF81" i="39"/>
  <c r="CF38" i="39"/>
  <c r="CG14" i="39"/>
  <c r="CF37" i="39"/>
  <c r="CP14" i="39"/>
  <c r="CP81" i="39" s="1"/>
  <c r="CF35" i="39"/>
  <c r="CF19" i="39"/>
  <c r="CF33" i="39"/>
  <c r="CA17" i="40"/>
  <c r="CD91" i="39"/>
  <c r="CA19" i="40"/>
  <c r="CD93" i="39"/>
  <c r="CO58" i="40"/>
  <c r="CS74" i="39"/>
  <c r="CO60" i="40"/>
  <c r="DF76" i="39"/>
  <c r="CS76" i="39"/>
  <c r="CA18" i="40"/>
  <c r="CD92" i="39"/>
  <c r="CA16" i="40"/>
  <c r="CD90" i="39"/>
  <c r="CA21" i="40"/>
  <c r="CD95" i="39"/>
  <c r="CA20" i="40"/>
  <c r="CD94" i="39"/>
  <c r="CA14" i="40"/>
  <c r="CD88" i="39"/>
  <c r="CA15" i="40"/>
  <c r="CD89" i="39"/>
  <c r="BY14" i="40"/>
  <c r="CF16" i="39"/>
  <c r="CE83" i="39"/>
  <c r="BU14" i="29" s="1"/>
  <c r="BU16" i="29" s="1"/>
  <c r="CE86" i="39"/>
  <c r="CE29" i="39"/>
  <c r="CE26" i="39"/>
  <c r="CE23" i="39"/>
  <c r="CE22" i="39"/>
  <c r="CE28" i="39"/>
  <c r="CE24" i="39"/>
  <c r="CE21" i="39"/>
  <c r="CE27" i="39"/>
  <c r="CE25" i="39"/>
  <c r="CA22" i="40"/>
  <c r="CD96" i="39"/>
  <c r="CL61" i="40"/>
  <c r="CM58" i="40"/>
  <c r="CD41" i="39"/>
  <c r="CD108" i="39" s="1"/>
  <c r="BX34" i="40"/>
  <c r="BY34" i="40" s="1"/>
  <c r="FA34" i="40" s="1"/>
  <c r="CB41" i="39"/>
  <c r="CB108" i="39" s="1"/>
  <c r="CA32" i="40"/>
  <c r="CE39" i="39"/>
  <c r="CE106" i="39" s="1"/>
  <c r="P13" i="11"/>
  <c r="AT30" i="29" s="1"/>
  <c r="AU30" i="29" s="1"/>
  <c r="AV30" i="29" s="1"/>
  <c r="AW30" i="29" s="1"/>
  <c r="AX30" i="29" s="1"/>
  <c r="AY30" i="29" s="1"/>
  <c r="AZ30" i="29" s="1"/>
  <c r="BA30" i="29" s="1"/>
  <c r="BB30" i="29" s="1"/>
  <c r="BC30" i="29" s="1"/>
  <c r="BD30" i="29" s="1"/>
  <c r="BE30" i="29" s="1"/>
  <c r="L12" i="8"/>
  <c r="AT23" i="29" s="1"/>
  <c r="AU23" i="29" s="1"/>
  <c r="AV23" i="29" s="1"/>
  <c r="AW23" i="29" s="1"/>
  <c r="AX23" i="29" s="1"/>
  <c r="AY23" i="29" s="1"/>
  <c r="AZ23" i="29" s="1"/>
  <c r="BA23" i="29" s="1"/>
  <c r="BB23" i="29" s="1"/>
  <c r="BC23" i="29" s="1"/>
  <c r="BD23" i="29" s="1"/>
  <c r="BE23" i="29" s="1"/>
  <c r="E15" i="8"/>
  <c r="J9" i="8" s="1"/>
  <c r="G21" i="29" s="1"/>
  <c r="F9" i="10"/>
  <c r="J21" i="11"/>
  <c r="J22" i="11"/>
  <c r="I21" i="11"/>
  <c r="I22" i="11"/>
  <c r="O21" i="11"/>
  <c r="A2" i="16"/>
  <c r="I11" i="9"/>
  <c r="I12" i="9" s="1"/>
  <c r="I13" i="9" s="1"/>
  <c r="I14" i="9" s="1"/>
  <c r="I15" i="9" s="1"/>
  <c r="I16" i="9" s="1"/>
  <c r="I17" i="9" s="1"/>
  <c r="I18" i="9" s="1"/>
  <c r="O16" i="10"/>
  <c r="F10" i="9"/>
  <c r="P9" i="8" l="1"/>
  <c r="H9" i="9" s="1"/>
  <c r="K13" i="8"/>
  <c r="BE22" i="29"/>
  <c r="H21" i="29"/>
  <c r="N13" i="8"/>
  <c r="BE24" i="29"/>
  <c r="CB20" i="40"/>
  <c r="CE94" i="39"/>
  <c r="CB15" i="40"/>
  <c r="CE89" i="39"/>
  <c r="FA14" i="40"/>
  <c r="FA13" i="40" s="1"/>
  <c r="FA35" i="40" s="1"/>
  <c r="FA63" i="40" s="1"/>
  <c r="G13" i="9" s="1"/>
  <c r="BY35" i="40"/>
  <c r="CT76" i="39"/>
  <c r="CP60" i="40"/>
  <c r="CT74" i="39"/>
  <c r="CP58" i="40"/>
  <c r="CC26" i="40"/>
  <c r="CM26" i="40" s="1"/>
  <c r="FB26" i="40" s="1"/>
  <c r="FB23" i="40" s="1"/>
  <c r="CF100" i="39"/>
  <c r="CP33" i="39"/>
  <c r="CP100" i="39" s="1"/>
  <c r="CC30" i="40"/>
  <c r="CM30" i="40" s="1"/>
  <c r="FB30" i="40" s="1"/>
  <c r="CF104" i="39"/>
  <c r="CP37" i="39"/>
  <c r="CP104" i="39" s="1"/>
  <c r="CB14" i="40"/>
  <c r="CE88" i="39"/>
  <c r="CB16" i="40"/>
  <c r="CE90" i="39"/>
  <c r="DC60" i="40"/>
  <c r="DG76" i="39"/>
  <c r="CO61" i="40"/>
  <c r="CF86" i="39"/>
  <c r="CF29" i="39"/>
  <c r="CF25" i="39"/>
  <c r="CF21" i="39"/>
  <c r="CG19" i="39"/>
  <c r="CF22" i="39"/>
  <c r="CF28" i="39"/>
  <c r="CF24" i="39"/>
  <c r="CF27" i="39"/>
  <c r="CF26" i="39"/>
  <c r="CF23" i="39"/>
  <c r="CH14" i="39"/>
  <c r="CG81" i="39"/>
  <c r="FB58" i="40"/>
  <c r="FB61" i="40" s="1"/>
  <c r="CM61" i="40"/>
  <c r="CB17" i="40"/>
  <c r="CE91" i="39"/>
  <c r="CB19" i="40"/>
  <c r="CE93" i="39"/>
  <c r="CG16" i="39"/>
  <c r="CF83" i="39"/>
  <c r="BV14" i="29" s="1"/>
  <c r="BV16" i="29" s="1"/>
  <c r="CC28" i="40"/>
  <c r="CM28" i="40" s="1"/>
  <c r="FB28" i="40" s="1"/>
  <c r="FB27" i="40" s="1"/>
  <c r="CF102" i="39"/>
  <c r="CP35" i="39"/>
  <c r="CP102" i="39" s="1"/>
  <c r="CC31" i="40"/>
  <c r="CM31" i="40" s="1"/>
  <c r="FB31" i="40" s="1"/>
  <c r="CF105" i="39"/>
  <c r="CP38" i="39"/>
  <c r="CP105" i="39" s="1"/>
  <c r="CB18" i="40"/>
  <c r="CE92" i="39"/>
  <c r="CB21" i="40"/>
  <c r="CE95" i="39"/>
  <c r="CB22" i="40"/>
  <c r="CE96" i="39"/>
  <c r="BX35" i="40"/>
  <c r="BX63" i="40" s="1"/>
  <c r="BR19" i="29" s="1"/>
  <c r="CE41" i="39"/>
  <c r="CE108" i="39" s="1"/>
  <c r="CR41" i="39"/>
  <c r="CR108" i="39" s="1"/>
  <c r="CA34" i="40"/>
  <c r="CA35" i="40" s="1"/>
  <c r="CA63" i="40" s="1"/>
  <c r="BT19" i="29" s="1"/>
  <c r="CF39" i="39"/>
  <c r="CF106" i="39" s="1"/>
  <c r="CB32" i="40"/>
  <c r="P14" i="11"/>
  <c r="BG30" i="29" s="1"/>
  <c r="BH30" i="29" s="1"/>
  <c r="BI30" i="29" s="1"/>
  <c r="BJ30" i="29" s="1"/>
  <c r="BK30" i="29" s="1"/>
  <c r="BL30" i="29" s="1"/>
  <c r="BM30" i="29" s="1"/>
  <c r="BN30" i="29" s="1"/>
  <c r="BO30" i="29" s="1"/>
  <c r="BP30" i="29" s="1"/>
  <c r="BQ30" i="29" s="1"/>
  <c r="BR30" i="29" s="1"/>
  <c r="L13" i="8"/>
  <c r="BG23" i="29" s="1"/>
  <c r="BH23" i="29" s="1"/>
  <c r="BI23" i="29" s="1"/>
  <c r="BJ23" i="29" s="1"/>
  <c r="BK23" i="29" s="1"/>
  <c r="BL23" i="29" s="1"/>
  <c r="BM23" i="29" s="1"/>
  <c r="BN23" i="29" s="1"/>
  <c r="BO23" i="29" s="1"/>
  <c r="BP23" i="29" s="1"/>
  <c r="BQ23" i="29" s="1"/>
  <c r="BR23" i="29" s="1"/>
  <c r="D21" i="11"/>
  <c r="M10" i="11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Q28" i="29" s="1"/>
  <c r="R28" i="29" s="1"/>
  <c r="H9" i="10"/>
  <c r="N12" i="11"/>
  <c r="AG29" i="29" s="1"/>
  <c r="I20" i="9"/>
  <c r="T16" i="10"/>
  <c r="G9" i="10" s="1"/>
  <c r="F11" i="9"/>
  <c r="N14" i="8" l="1"/>
  <c r="BR24" i="29"/>
  <c r="I21" i="29"/>
  <c r="K14" i="8"/>
  <c r="BR22" i="29"/>
  <c r="CP61" i="40"/>
  <c r="CC16" i="40"/>
  <c r="CF90" i="39"/>
  <c r="CC21" i="40"/>
  <c r="CF95" i="39"/>
  <c r="CC18" i="40"/>
  <c r="CF92" i="39"/>
  <c r="CU76" i="39"/>
  <c r="CQ60" i="40"/>
  <c r="CH16" i="39"/>
  <c r="CG83" i="39"/>
  <c r="BW14" i="29" s="1"/>
  <c r="BW16" i="29" s="1"/>
  <c r="CC19" i="40"/>
  <c r="CF93" i="39"/>
  <c r="CC15" i="40"/>
  <c r="CF89" i="39"/>
  <c r="CC22" i="40"/>
  <c r="CF96" i="39"/>
  <c r="CI14" i="39"/>
  <c r="CH81" i="39"/>
  <c r="CC20" i="40"/>
  <c r="CF94" i="39"/>
  <c r="CG86" i="39"/>
  <c r="CG22" i="39"/>
  <c r="CG26" i="39"/>
  <c r="CG29" i="39"/>
  <c r="CG24" i="39"/>
  <c r="CG27" i="39"/>
  <c r="CH19" i="39"/>
  <c r="CG21" i="39"/>
  <c r="CG23" i="39"/>
  <c r="CG25" i="39"/>
  <c r="CG28" i="39"/>
  <c r="DH76" i="39"/>
  <c r="DD60" i="40"/>
  <c r="CU74" i="39"/>
  <c r="CQ58" i="40"/>
  <c r="CC17" i="40"/>
  <c r="CF91" i="39"/>
  <c r="CC14" i="40"/>
  <c r="CF88" i="39"/>
  <c r="CS41" i="39"/>
  <c r="CS108" i="39" s="1"/>
  <c r="CO34" i="40"/>
  <c r="CF41" i="39"/>
  <c r="CF108" i="39" s="1"/>
  <c r="CB34" i="40"/>
  <c r="CB35" i="40" s="1"/>
  <c r="CB63" i="40" s="1"/>
  <c r="BU19" i="29" s="1"/>
  <c r="CG39" i="39"/>
  <c r="CG106" i="39" s="1"/>
  <c r="CC32" i="40"/>
  <c r="P15" i="11"/>
  <c r="BT30" i="29" s="1"/>
  <c r="BU30" i="29" s="1"/>
  <c r="BV30" i="29" s="1"/>
  <c r="BW30" i="29" s="1"/>
  <c r="BX30" i="29" s="1"/>
  <c r="BY30" i="29" s="1"/>
  <c r="BZ30" i="29" s="1"/>
  <c r="CA30" i="29" s="1"/>
  <c r="CB30" i="29" s="1"/>
  <c r="CC30" i="29" s="1"/>
  <c r="CD30" i="29" s="1"/>
  <c r="CE30" i="29" s="1"/>
  <c r="N13" i="11"/>
  <c r="AT29" i="29" s="1"/>
  <c r="L14" i="8"/>
  <c r="BT23" i="29" s="1"/>
  <c r="BU23" i="29" s="1"/>
  <c r="BV23" i="29" s="1"/>
  <c r="BW23" i="29" s="1"/>
  <c r="BX23" i="29" s="1"/>
  <c r="BY23" i="29" s="1"/>
  <c r="BZ23" i="29" s="1"/>
  <c r="CA23" i="29" s="1"/>
  <c r="CB23" i="29" s="1"/>
  <c r="CC23" i="29" s="1"/>
  <c r="CD23" i="29" s="1"/>
  <c r="CE23" i="29" s="1"/>
  <c r="D16" i="11"/>
  <c r="H10" i="11" s="1"/>
  <c r="G27" i="29" s="1"/>
  <c r="H11" i="10"/>
  <c r="H12" i="10" s="1"/>
  <c r="H13" i="10" s="1"/>
  <c r="H14" i="10" s="1"/>
  <c r="H15" i="10" s="1"/>
  <c r="H16" i="10" s="1"/>
  <c r="H17" i="10" s="1"/>
  <c r="H18" i="10" s="1"/>
  <c r="D25" i="11"/>
  <c r="F12" i="9"/>
  <c r="H27" i="29" l="1"/>
  <c r="G32" i="29"/>
  <c r="J21" i="29"/>
  <c r="K15" i="8"/>
  <c r="CE22" i="29"/>
  <c r="N15" i="8"/>
  <c r="CE24" i="29"/>
  <c r="DI76" i="39"/>
  <c r="DE60" i="40"/>
  <c r="CD14" i="40"/>
  <c r="CG88" i="39"/>
  <c r="CD22" i="40"/>
  <c r="CG96" i="39"/>
  <c r="CI16" i="39"/>
  <c r="CH83" i="39"/>
  <c r="BX14" i="29" s="1"/>
  <c r="BX16" i="29" s="1"/>
  <c r="CV76" i="39"/>
  <c r="CR60" i="40"/>
  <c r="CQ61" i="40"/>
  <c r="CD21" i="40"/>
  <c r="CG95" i="39"/>
  <c r="CH86" i="39"/>
  <c r="CH24" i="39"/>
  <c r="CH22" i="39"/>
  <c r="CI19" i="39"/>
  <c r="CH29" i="39"/>
  <c r="CH27" i="39"/>
  <c r="CH23" i="39"/>
  <c r="CH21" i="39"/>
  <c r="CH26" i="39"/>
  <c r="CH25" i="39"/>
  <c r="CH28" i="39"/>
  <c r="CD19" i="40"/>
  <c r="CG93" i="39"/>
  <c r="CV74" i="39"/>
  <c r="CR58" i="40"/>
  <c r="CD18" i="40"/>
  <c r="CG92" i="39"/>
  <c r="CD20" i="40"/>
  <c r="CG94" i="39"/>
  <c r="CD15" i="40"/>
  <c r="CG89" i="39"/>
  <c r="CD16" i="40"/>
  <c r="CG90" i="39"/>
  <c r="CD17" i="40"/>
  <c r="CG91" i="39"/>
  <c r="CJ14" i="39"/>
  <c r="CI81" i="39"/>
  <c r="CC34" i="40"/>
  <c r="CC35" i="40" s="1"/>
  <c r="CC63" i="40" s="1"/>
  <c r="BV19" i="29" s="1"/>
  <c r="CG41" i="39"/>
  <c r="CG108" i="39" s="1"/>
  <c r="CT41" i="39"/>
  <c r="CT108" i="39" s="1"/>
  <c r="CP34" i="40"/>
  <c r="CH39" i="39"/>
  <c r="CH106" i="39" s="1"/>
  <c r="CD32" i="40"/>
  <c r="P16" i="11"/>
  <c r="CG30" i="29" s="1"/>
  <c r="CH30" i="29" s="1"/>
  <c r="CI30" i="29" s="1"/>
  <c r="CJ30" i="29" s="1"/>
  <c r="CK30" i="29" s="1"/>
  <c r="CL30" i="29" s="1"/>
  <c r="CM30" i="29" s="1"/>
  <c r="CN30" i="29" s="1"/>
  <c r="CO30" i="29" s="1"/>
  <c r="CP30" i="29" s="1"/>
  <c r="CQ30" i="29" s="1"/>
  <c r="CR30" i="29" s="1"/>
  <c r="L15" i="8"/>
  <c r="CG23" i="29" s="1"/>
  <c r="CH23" i="29" s="1"/>
  <c r="CI23" i="29" s="1"/>
  <c r="CJ23" i="29" s="1"/>
  <c r="CK23" i="29" s="1"/>
  <c r="CL23" i="29" s="1"/>
  <c r="CM23" i="29" s="1"/>
  <c r="CN23" i="29" s="1"/>
  <c r="CO23" i="29" s="1"/>
  <c r="CP23" i="29" s="1"/>
  <c r="CQ23" i="29" s="1"/>
  <c r="CR23" i="29" s="1"/>
  <c r="N14" i="11"/>
  <c r="BG29" i="29" s="1"/>
  <c r="G11" i="10"/>
  <c r="G12" i="10" s="1"/>
  <c r="G13" i="10" s="1"/>
  <c r="G14" i="10" s="1"/>
  <c r="G15" i="10" s="1"/>
  <c r="G16" i="10" s="1"/>
  <c r="G17" i="10" s="1"/>
  <c r="G18" i="10" s="1"/>
  <c r="I10" i="10"/>
  <c r="I9" i="10"/>
  <c r="D19" i="11"/>
  <c r="F11" i="10"/>
  <c r="F13" i="9"/>
  <c r="K16" i="8" l="1"/>
  <c r="CR22" i="29"/>
  <c r="K21" i="29"/>
  <c r="I27" i="29"/>
  <c r="H32" i="29"/>
  <c r="N16" i="8"/>
  <c r="CR24" i="29"/>
  <c r="CR61" i="40"/>
  <c r="CW74" i="39"/>
  <c r="CS58" i="40"/>
  <c r="CE14" i="40"/>
  <c r="CH88" i="39"/>
  <c r="CI86" i="39"/>
  <c r="CI26" i="39"/>
  <c r="CI21" i="39"/>
  <c r="CI27" i="39"/>
  <c r="CI23" i="39"/>
  <c r="CI24" i="39"/>
  <c r="CI25" i="39"/>
  <c r="CI28" i="39"/>
  <c r="CI29" i="39"/>
  <c r="CJ19" i="39"/>
  <c r="CI22" i="39"/>
  <c r="CJ16" i="39"/>
  <c r="CI83" i="39"/>
  <c r="BY14" i="29" s="1"/>
  <c r="BY16" i="29" s="1"/>
  <c r="CK14" i="39"/>
  <c r="CJ81" i="39"/>
  <c r="CE21" i="40"/>
  <c r="CH95" i="39"/>
  <c r="CE16" i="40"/>
  <c r="CH90" i="39"/>
  <c r="CE15" i="40"/>
  <c r="CH89" i="39"/>
  <c r="CE18" i="40"/>
  <c r="CH92" i="39"/>
  <c r="CE20" i="40"/>
  <c r="CH94" i="39"/>
  <c r="CE17" i="40"/>
  <c r="CH91" i="39"/>
  <c r="CW76" i="39"/>
  <c r="CS60" i="40"/>
  <c r="CE19" i="40"/>
  <c r="CH93" i="39"/>
  <c r="CE22" i="40"/>
  <c r="CH96" i="39"/>
  <c r="DJ76" i="39"/>
  <c r="DF60" i="40"/>
  <c r="CQ34" i="40"/>
  <c r="CU41" i="39"/>
  <c r="CU108" i="39" s="1"/>
  <c r="CH41" i="39"/>
  <c r="CH108" i="39" s="1"/>
  <c r="CD34" i="40"/>
  <c r="CD35" i="40" s="1"/>
  <c r="CD63" i="40" s="1"/>
  <c r="BW19" i="29" s="1"/>
  <c r="CI39" i="39"/>
  <c r="CI106" i="39" s="1"/>
  <c r="CE32" i="40"/>
  <c r="P17" i="11"/>
  <c r="CT30" i="29" s="1"/>
  <c r="CU30" i="29" s="1"/>
  <c r="CV30" i="29" s="1"/>
  <c r="CW30" i="29" s="1"/>
  <c r="CX30" i="29" s="1"/>
  <c r="CY30" i="29" s="1"/>
  <c r="CZ30" i="29" s="1"/>
  <c r="DA30" i="29" s="1"/>
  <c r="DB30" i="29" s="1"/>
  <c r="DC30" i="29" s="1"/>
  <c r="DD30" i="29" s="1"/>
  <c r="DE30" i="29" s="1"/>
  <c r="L16" i="8"/>
  <c r="CT23" i="29" s="1"/>
  <c r="CU23" i="29" s="1"/>
  <c r="CV23" i="29" s="1"/>
  <c r="CW23" i="29" s="1"/>
  <c r="CX23" i="29" s="1"/>
  <c r="CY23" i="29" s="1"/>
  <c r="CZ23" i="29" s="1"/>
  <c r="DA23" i="29" s="1"/>
  <c r="DB23" i="29" s="1"/>
  <c r="DC23" i="29" s="1"/>
  <c r="DD23" i="29" s="1"/>
  <c r="DE23" i="29" s="1"/>
  <c r="N15" i="11"/>
  <c r="BT29" i="29" s="1"/>
  <c r="Q10" i="11"/>
  <c r="B15" i="3" s="1"/>
  <c r="J11" i="8"/>
  <c r="AG21" i="29" s="1"/>
  <c r="K10" i="11"/>
  <c r="B14" i="3" s="1"/>
  <c r="F12" i="10"/>
  <c r="I11" i="10"/>
  <c r="F14" i="9"/>
  <c r="AH21" i="29" l="1"/>
  <c r="N17" i="8"/>
  <c r="DE24" i="29"/>
  <c r="J27" i="29"/>
  <c r="I32" i="29"/>
  <c r="L21" i="29"/>
  <c r="K17" i="8"/>
  <c r="DE22" i="29"/>
  <c r="CF15" i="40"/>
  <c r="CI89" i="39"/>
  <c r="CF18" i="40"/>
  <c r="CI92" i="39"/>
  <c r="CF14" i="40"/>
  <c r="CI88" i="39"/>
  <c r="CJ86" i="39"/>
  <c r="CJ26" i="39"/>
  <c r="CJ27" i="39"/>
  <c r="CJ29" i="39"/>
  <c r="CJ23" i="39"/>
  <c r="CJ25" i="39"/>
  <c r="CJ21" i="39"/>
  <c r="CK19" i="39"/>
  <c r="CJ28" i="39"/>
  <c r="CJ24" i="39"/>
  <c r="CJ22" i="39"/>
  <c r="CF17" i="40"/>
  <c r="CI91" i="39"/>
  <c r="CF19" i="40"/>
  <c r="CI93" i="39"/>
  <c r="CX76" i="39"/>
  <c r="CT60" i="40"/>
  <c r="CL14" i="39"/>
  <c r="CK81" i="39"/>
  <c r="CF22" i="40"/>
  <c r="CI96" i="39"/>
  <c r="CF16" i="40"/>
  <c r="CI90" i="39"/>
  <c r="CS61" i="40"/>
  <c r="DK76" i="39"/>
  <c r="DG60" i="40"/>
  <c r="CK16" i="39"/>
  <c r="CJ83" i="39"/>
  <c r="BZ14" i="29" s="1"/>
  <c r="BZ16" i="29" s="1"/>
  <c r="CF21" i="40"/>
  <c r="CI95" i="39"/>
  <c r="CF20" i="40"/>
  <c r="CI94" i="39"/>
  <c r="CX74" i="39"/>
  <c r="CT58" i="40"/>
  <c r="CI41" i="39"/>
  <c r="CI108" i="39" s="1"/>
  <c r="CE34" i="40"/>
  <c r="CE35" i="40" s="1"/>
  <c r="CE63" i="40" s="1"/>
  <c r="BX19" i="29" s="1"/>
  <c r="CV41" i="39"/>
  <c r="CV108" i="39" s="1"/>
  <c r="CR34" i="40"/>
  <c r="CJ39" i="39"/>
  <c r="CJ106" i="39" s="1"/>
  <c r="CF32" i="40"/>
  <c r="P18" i="11"/>
  <c r="DG30" i="29" s="1"/>
  <c r="DH30" i="29" s="1"/>
  <c r="DI30" i="29" s="1"/>
  <c r="DJ30" i="29" s="1"/>
  <c r="DK30" i="29" s="1"/>
  <c r="DL30" i="29" s="1"/>
  <c r="DM30" i="29" s="1"/>
  <c r="DN30" i="29" s="1"/>
  <c r="DO30" i="29" s="1"/>
  <c r="DP30" i="29" s="1"/>
  <c r="DQ30" i="29" s="1"/>
  <c r="DR30" i="29" s="1"/>
  <c r="L17" i="8"/>
  <c r="DG23" i="29" s="1"/>
  <c r="DH23" i="29" s="1"/>
  <c r="DI23" i="29" s="1"/>
  <c r="DJ23" i="29" s="1"/>
  <c r="DK23" i="29" s="1"/>
  <c r="DL23" i="29" s="1"/>
  <c r="DM23" i="29" s="1"/>
  <c r="DN23" i="29" s="1"/>
  <c r="DO23" i="29" s="1"/>
  <c r="DP23" i="29" s="1"/>
  <c r="DQ23" i="29" s="1"/>
  <c r="DR23" i="29" s="1"/>
  <c r="N16" i="11"/>
  <c r="CG29" i="29" s="1"/>
  <c r="R10" i="11"/>
  <c r="D9" i="23"/>
  <c r="C9" i="23"/>
  <c r="B16" i="3"/>
  <c r="M12" i="11"/>
  <c r="AG28" i="29" s="1"/>
  <c r="AH28" i="29" s="1"/>
  <c r="AI28" i="29" s="1"/>
  <c r="AJ28" i="29" s="1"/>
  <c r="AK28" i="29" s="1"/>
  <c r="AL28" i="29" s="1"/>
  <c r="AM28" i="29" s="1"/>
  <c r="AN28" i="29" s="1"/>
  <c r="AO28" i="29" s="1"/>
  <c r="AP28" i="29" s="1"/>
  <c r="AQ28" i="29" s="1"/>
  <c r="AR28" i="29" s="1"/>
  <c r="Q11" i="11"/>
  <c r="C15" i="3" s="1"/>
  <c r="H12" i="11"/>
  <c r="AG27" i="29" s="1"/>
  <c r="AH27" i="29" s="1"/>
  <c r="AI27" i="29" s="1"/>
  <c r="AJ27" i="29" s="1"/>
  <c r="AK27" i="29" s="1"/>
  <c r="AL27" i="29" s="1"/>
  <c r="AM27" i="29" s="1"/>
  <c r="AN27" i="29" s="1"/>
  <c r="AO27" i="29" s="1"/>
  <c r="AP27" i="29" s="1"/>
  <c r="AQ27" i="29" s="1"/>
  <c r="AR27" i="29" s="1"/>
  <c r="K11" i="11"/>
  <c r="C14" i="3" s="1"/>
  <c r="J12" i="8"/>
  <c r="AT21" i="29" s="1"/>
  <c r="F13" i="10"/>
  <c r="I12" i="10"/>
  <c r="F15" i="9"/>
  <c r="M21" i="29" l="1"/>
  <c r="AU21" i="29"/>
  <c r="K27" i="29"/>
  <c r="J32" i="29"/>
  <c r="K18" i="8"/>
  <c r="EE22" i="29" s="1"/>
  <c r="DR22" i="29"/>
  <c r="N18" i="8"/>
  <c r="EE24" i="29" s="1"/>
  <c r="DR24" i="29"/>
  <c r="AG32" i="29"/>
  <c r="N20" i="8"/>
  <c r="AI21" i="29"/>
  <c r="AH32" i="29"/>
  <c r="CT61" i="40"/>
  <c r="CL16" i="39"/>
  <c r="CK83" i="39"/>
  <c r="CA14" i="29" s="1"/>
  <c r="CA16" i="29" s="1"/>
  <c r="CK86" i="39"/>
  <c r="CK28" i="39"/>
  <c r="CK25" i="39"/>
  <c r="CK21" i="39"/>
  <c r="CK27" i="39"/>
  <c r="CK29" i="39"/>
  <c r="CK22" i="39"/>
  <c r="CK24" i="39"/>
  <c r="CK26" i="39"/>
  <c r="CK23" i="39"/>
  <c r="CL19" i="39"/>
  <c r="CG22" i="40"/>
  <c r="CJ96" i="39"/>
  <c r="CY74" i="39"/>
  <c r="CU58" i="40"/>
  <c r="CU61" i="40" s="1"/>
  <c r="CY76" i="39"/>
  <c r="CU60" i="40"/>
  <c r="CG15" i="40"/>
  <c r="CJ89" i="39"/>
  <c r="CG14" i="40"/>
  <c r="CJ88" i="39"/>
  <c r="CG20" i="40"/>
  <c r="CJ94" i="39"/>
  <c r="CL81" i="39"/>
  <c r="CM14" i="39"/>
  <c r="CG17" i="40"/>
  <c r="CJ91" i="39"/>
  <c r="CG18" i="40"/>
  <c r="CJ92" i="39"/>
  <c r="CG19" i="40"/>
  <c r="CJ93" i="39"/>
  <c r="DL76" i="39"/>
  <c r="DH60" i="40"/>
  <c r="CG21" i="40"/>
  <c r="CJ95" i="39"/>
  <c r="CG16" i="40"/>
  <c r="CJ90" i="39"/>
  <c r="CW41" i="39"/>
  <c r="CW108" i="39" s="1"/>
  <c r="CS34" i="40"/>
  <c r="CJ41" i="39"/>
  <c r="CJ108" i="39" s="1"/>
  <c r="CF34" i="40"/>
  <c r="CF35" i="40" s="1"/>
  <c r="CF63" i="40" s="1"/>
  <c r="BY19" i="29" s="1"/>
  <c r="CK39" i="39"/>
  <c r="CK106" i="39" s="1"/>
  <c r="CG32" i="40"/>
  <c r="P19" i="11"/>
  <c r="DT30" i="29" s="1"/>
  <c r="DU30" i="29" s="1"/>
  <c r="DV30" i="29" s="1"/>
  <c r="DW30" i="29" s="1"/>
  <c r="DX30" i="29" s="1"/>
  <c r="DY30" i="29" s="1"/>
  <c r="DZ30" i="29" s="1"/>
  <c r="EA30" i="29" s="1"/>
  <c r="EB30" i="29" s="1"/>
  <c r="EC30" i="29" s="1"/>
  <c r="ED30" i="29" s="1"/>
  <c r="EE30" i="29" s="1"/>
  <c r="P22" i="11"/>
  <c r="N17" i="11"/>
  <c r="CT29" i="29" s="1"/>
  <c r="L18" i="8"/>
  <c r="DT23" i="29" s="1"/>
  <c r="DU23" i="29" s="1"/>
  <c r="DV23" i="29" s="1"/>
  <c r="DW23" i="29" s="1"/>
  <c r="DX23" i="29" s="1"/>
  <c r="DY23" i="29" s="1"/>
  <c r="DZ23" i="29" s="1"/>
  <c r="EA23" i="29" s="1"/>
  <c r="EB23" i="29" s="1"/>
  <c r="EC23" i="29" s="1"/>
  <c r="ED23" i="29" s="1"/>
  <c r="EE23" i="29" s="1"/>
  <c r="C16" i="3"/>
  <c r="D15" i="35"/>
  <c r="C15" i="35"/>
  <c r="D10" i="23"/>
  <c r="C10" i="23"/>
  <c r="R11" i="11"/>
  <c r="M13" i="11"/>
  <c r="AT28" i="29" s="1"/>
  <c r="AU28" i="29" s="1"/>
  <c r="AV28" i="29" s="1"/>
  <c r="AW28" i="29" s="1"/>
  <c r="AX28" i="29" s="1"/>
  <c r="AY28" i="29" s="1"/>
  <c r="AZ28" i="29" s="1"/>
  <c r="BA28" i="29" s="1"/>
  <c r="BB28" i="29" s="1"/>
  <c r="BC28" i="29" s="1"/>
  <c r="BD28" i="29" s="1"/>
  <c r="BE28" i="29" s="1"/>
  <c r="Q12" i="11"/>
  <c r="D15" i="3" s="1"/>
  <c r="H13" i="11"/>
  <c r="AT27" i="29" s="1"/>
  <c r="AU27" i="29" s="1"/>
  <c r="AV27" i="29" s="1"/>
  <c r="AW27" i="29" s="1"/>
  <c r="AX27" i="29" s="1"/>
  <c r="AY27" i="29" s="1"/>
  <c r="AZ27" i="29" s="1"/>
  <c r="BA27" i="29" s="1"/>
  <c r="BB27" i="29" s="1"/>
  <c r="BC27" i="29" s="1"/>
  <c r="BD27" i="29" s="1"/>
  <c r="BE27" i="29" s="1"/>
  <c r="K12" i="11"/>
  <c r="D14" i="3" s="1"/>
  <c r="J13" i="8"/>
  <c r="BG21" i="29" s="1"/>
  <c r="F14" i="10"/>
  <c r="I13" i="10"/>
  <c r="F16" i="9"/>
  <c r="N21" i="8" l="1"/>
  <c r="L20" i="8"/>
  <c r="L27" i="29"/>
  <c r="K32" i="29"/>
  <c r="K20" i="8"/>
  <c r="AV21" i="29"/>
  <c r="AU32" i="29"/>
  <c r="AT32" i="29"/>
  <c r="BH21" i="29"/>
  <c r="K21" i="8"/>
  <c r="AJ21" i="29"/>
  <c r="AI32" i="29"/>
  <c r="N21" i="29"/>
  <c r="CN14" i="39"/>
  <c r="CM81" i="39"/>
  <c r="CZ74" i="39"/>
  <c r="CV58" i="40"/>
  <c r="CL86" i="39"/>
  <c r="CL26" i="39"/>
  <c r="CL21" i="39"/>
  <c r="CL27" i="39"/>
  <c r="CM19" i="39"/>
  <c r="CL22" i="39"/>
  <c r="CL29" i="39"/>
  <c r="CL25" i="39"/>
  <c r="CL23" i="39"/>
  <c r="CL28" i="39"/>
  <c r="CL24" i="39"/>
  <c r="CH15" i="40"/>
  <c r="CK89" i="39"/>
  <c r="CH18" i="40"/>
  <c r="CK92" i="39"/>
  <c r="CZ76" i="39"/>
  <c r="CV60" i="40"/>
  <c r="CH16" i="40"/>
  <c r="CK90" i="39"/>
  <c r="CH22" i="40"/>
  <c r="CK96" i="39"/>
  <c r="CH21" i="40"/>
  <c r="CK95" i="39"/>
  <c r="CM16" i="39"/>
  <c r="CL83" i="39"/>
  <c r="CB14" i="29" s="1"/>
  <c r="CB16" i="29" s="1"/>
  <c r="CH19" i="40"/>
  <c r="CK93" i="39"/>
  <c r="CH20" i="40"/>
  <c r="CK94" i="39"/>
  <c r="DM76" i="39"/>
  <c r="DI60" i="40"/>
  <c r="CH17" i="40"/>
  <c r="CK91" i="39"/>
  <c r="CH14" i="40"/>
  <c r="CK88" i="39"/>
  <c r="CK41" i="39"/>
  <c r="CK108" i="39" s="1"/>
  <c r="CG34" i="40"/>
  <c r="CG35" i="40" s="1"/>
  <c r="CG63" i="40" s="1"/>
  <c r="BZ19" i="29" s="1"/>
  <c r="CX41" i="39"/>
  <c r="CX108" i="39" s="1"/>
  <c r="CT34" i="40"/>
  <c r="CL39" i="39"/>
  <c r="CL106" i="39" s="1"/>
  <c r="CH32" i="40"/>
  <c r="P21" i="11"/>
  <c r="N18" i="11"/>
  <c r="DG29" i="29" s="1"/>
  <c r="L21" i="8"/>
  <c r="E15" i="35"/>
  <c r="D16" i="3"/>
  <c r="D11" i="23"/>
  <c r="C11" i="23"/>
  <c r="H14" i="11"/>
  <c r="BG27" i="29" s="1"/>
  <c r="BH27" i="29" s="1"/>
  <c r="BI27" i="29" s="1"/>
  <c r="BJ27" i="29" s="1"/>
  <c r="BK27" i="29" s="1"/>
  <c r="BL27" i="29" s="1"/>
  <c r="BM27" i="29" s="1"/>
  <c r="BN27" i="29" s="1"/>
  <c r="BO27" i="29" s="1"/>
  <c r="BP27" i="29" s="1"/>
  <c r="BQ27" i="29" s="1"/>
  <c r="BR27" i="29" s="1"/>
  <c r="K13" i="11"/>
  <c r="E14" i="3" s="1"/>
  <c r="J14" i="8"/>
  <c r="BT21" i="29" s="1"/>
  <c r="M14" i="11"/>
  <c r="BG28" i="29" s="1"/>
  <c r="BH28" i="29" s="1"/>
  <c r="BI28" i="29" s="1"/>
  <c r="BJ28" i="29" s="1"/>
  <c r="BK28" i="29" s="1"/>
  <c r="BL28" i="29" s="1"/>
  <c r="BM28" i="29" s="1"/>
  <c r="BN28" i="29" s="1"/>
  <c r="BO28" i="29" s="1"/>
  <c r="BP28" i="29" s="1"/>
  <c r="BQ28" i="29" s="1"/>
  <c r="BR28" i="29" s="1"/>
  <c r="Q13" i="11"/>
  <c r="E15" i="3" s="1"/>
  <c r="R12" i="11"/>
  <c r="F15" i="10"/>
  <c r="I14" i="10"/>
  <c r="F17" i="9"/>
  <c r="O21" i="29" l="1"/>
  <c r="BU21" i="29"/>
  <c r="AW21" i="29"/>
  <c r="AV32" i="29"/>
  <c r="AK21" i="29"/>
  <c r="AJ32" i="29"/>
  <c r="BG32" i="29"/>
  <c r="M27" i="29"/>
  <c r="L32" i="29"/>
  <c r="BI21" i="29"/>
  <c r="BH32" i="29"/>
  <c r="CI18" i="40"/>
  <c r="CL92" i="39"/>
  <c r="CI20" i="40"/>
  <c r="CL94" i="39"/>
  <c r="CV61" i="40"/>
  <c r="CI17" i="40"/>
  <c r="CL91" i="39"/>
  <c r="CI22" i="40"/>
  <c r="CL96" i="39"/>
  <c r="CI14" i="40"/>
  <c r="CL88" i="39"/>
  <c r="DA74" i="39"/>
  <c r="CW58" i="40"/>
  <c r="DN76" i="39"/>
  <c r="DJ60" i="40"/>
  <c r="CN16" i="39"/>
  <c r="CM83" i="39"/>
  <c r="CC14" i="29" s="1"/>
  <c r="CC16" i="29" s="1"/>
  <c r="DA76" i="39"/>
  <c r="CW60" i="40"/>
  <c r="CI21" i="40"/>
  <c r="CL95" i="39"/>
  <c r="CI15" i="40"/>
  <c r="CL89" i="39"/>
  <c r="CI19" i="40"/>
  <c r="CL93" i="39"/>
  <c r="CI16" i="40"/>
  <c r="CL90" i="39"/>
  <c r="CM86" i="39"/>
  <c r="CM23" i="39"/>
  <c r="CN19" i="39"/>
  <c r="CM22" i="39"/>
  <c r="CM24" i="39"/>
  <c r="CM26" i="39"/>
  <c r="CM27" i="39"/>
  <c r="CM28" i="39"/>
  <c r="CM25" i="39"/>
  <c r="CM21" i="39"/>
  <c r="CM29" i="39"/>
  <c r="CO14" i="39"/>
  <c r="CN81" i="39"/>
  <c r="CY41" i="39"/>
  <c r="CY108" i="39" s="1"/>
  <c r="CU34" i="40"/>
  <c r="CL41" i="39"/>
  <c r="CL108" i="39" s="1"/>
  <c r="CH34" i="40"/>
  <c r="CH35" i="40" s="1"/>
  <c r="CH63" i="40" s="1"/>
  <c r="CA19" i="29" s="1"/>
  <c r="CM39" i="39"/>
  <c r="CM106" i="39" s="1"/>
  <c r="CI32" i="40"/>
  <c r="N19" i="11"/>
  <c r="DT29" i="29" s="1"/>
  <c r="F15" i="35"/>
  <c r="E16" i="3"/>
  <c r="D12" i="23"/>
  <c r="C12" i="23"/>
  <c r="J15" i="8"/>
  <c r="CG21" i="29" s="1"/>
  <c r="CH21" i="29" s="1"/>
  <c r="CI21" i="29" s="1"/>
  <c r="CJ21" i="29" s="1"/>
  <c r="CK21" i="29" s="1"/>
  <c r="CL21" i="29" s="1"/>
  <c r="CM21" i="29" s="1"/>
  <c r="CN21" i="29" s="1"/>
  <c r="CO21" i="29" s="1"/>
  <c r="CP21" i="29" s="1"/>
  <c r="CQ21" i="29" s="1"/>
  <c r="CR21" i="29" s="1"/>
  <c r="R13" i="11"/>
  <c r="M15" i="11"/>
  <c r="BT28" i="29" s="1"/>
  <c r="BU28" i="29" s="1"/>
  <c r="BV28" i="29" s="1"/>
  <c r="BW28" i="29" s="1"/>
  <c r="BX28" i="29" s="1"/>
  <c r="BY28" i="29" s="1"/>
  <c r="BZ28" i="29" s="1"/>
  <c r="CA28" i="29" s="1"/>
  <c r="CB28" i="29" s="1"/>
  <c r="CC28" i="29" s="1"/>
  <c r="CD28" i="29" s="1"/>
  <c r="CE28" i="29" s="1"/>
  <c r="Q14" i="11"/>
  <c r="F15" i="3" s="1"/>
  <c r="H15" i="11"/>
  <c r="BT27" i="29" s="1"/>
  <c r="BU27" i="29" s="1"/>
  <c r="BV27" i="29" s="1"/>
  <c r="BW27" i="29" s="1"/>
  <c r="BX27" i="29" s="1"/>
  <c r="BY27" i="29" s="1"/>
  <c r="BZ27" i="29" s="1"/>
  <c r="CA27" i="29" s="1"/>
  <c r="CB27" i="29" s="1"/>
  <c r="CC27" i="29" s="1"/>
  <c r="CD27" i="29" s="1"/>
  <c r="CE27" i="29" s="1"/>
  <c r="K14" i="11"/>
  <c r="F14" i="3" s="1"/>
  <c r="F16" i="10"/>
  <c r="I15" i="10"/>
  <c r="F18" i="9"/>
  <c r="AL21" i="29" l="1"/>
  <c r="AK32" i="29"/>
  <c r="BJ21" i="29"/>
  <c r="BI32" i="29"/>
  <c r="BV21" i="29"/>
  <c r="BU32" i="29"/>
  <c r="AX21" i="29"/>
  <c r="AW32" i="29"/>
  <c r="N27" i="29"/>
  <c r="M32" i="29"/>
  <c r="BT32" i="29"/>
  <c r="P21" i="29"/>
  <c r="CJ14" i="40"/>
  <c r="CM88" i="39"/>
  <c r="CJ19" i="40"/>
  <c r="CM93" i="39"/>
  <c r="CJ16" i="40"/>
  <c r="CM90" i="39"/>
  <c r="CW61" i="40"/>
  <c r="CJ18" i="40"/>
  <c r="CM92" i="39"/>
  <c r="CJ17" i="40"/>
  <c r="CM91" i="39"/>
  <c r="CO16" i="39"/>
  <c r="CN83" i="39"/>
  <c r="CD14" i="29" s="1"/>
  <c r="CD16" i="29" s="1"/>
  <c r="DB74" i="39"/>
  <c r="CX58" i="40"/>
  <c r="CR14" i="39"/>
  <c r="CO81" i="39"/>
  <c r="CJ21" i="40"/>
  <c r="CM95" i="39"/>
  <c r="CJ15" i="40"/>
  <c r="CM89" i="39"/>
  <c r="CJ22" i="40"/>
  <c r="CM96" i="39"/>
  <c r="CJ20" i="40"/>
  <c r="CM94" i="39"/>
  <c r="CN86" i="39"/>
  <c r="CN23" i="39"/>
  <c r="CO19" i="39"/>
  <c r="CN28" i="39"/>
  <c r="CN27" i="39"/>
  <c r="CN26" i="39"/>
  <c r="CN25" i="39"/>
  <c r="CN24" i="39"/>
  <c r="CN29" i="39"/>
  <c r="CN21" i="39"/>
  <c r="CN22" i="39"/>
  <c r="DB76" i="39"/>
  <c r="CX60" i="40"/>
  <c r="DO76" i="39"/>
  <c r="DK60" i="40"/>
  <c r="CI35" i="40"/>
  <c r="CI63" i="40" s="1"/>
  <c r="CB19" i="29" s="1"/>
  <c r="CM41" i="39"/>
  <c r="CM108" i="39" s="1"/>
  <c r="CI34" i="40"/>
  <c r="CV34" i="40"/>
  <c r="CZ41" i="39"/>
  <c r="CZ108" i="39" s="1"/>
  <c r="CN39" i="39"/>
  <c r="CN106" i="39" s="1"/>
  <c r="CJ32" i="40"/>
  <c r="N21" i="11"/>
  <c r="N22" i="11"/>
  <c r="G15" i="35"/>
  <c r="F16" i="3"/>
  <c r="D13" i="23"/>
  <c r="C13" i="23"/>
  <c r="M16" i="11"/>
  <c r="CG28" i="29" s="1"/>
  <c r="CH28" i="29" s="1"/>
  <c r="CI28" i="29" s="1"/>
  <c r="CJ28" i="29" s="1"/>
  <c r="CK28" i="29" s="1"/>
  <c r="CL28" i="29" s="1"/>
  <c r="CM28" i="29" s="1"/>
  <c r="CN28" i="29" s="1"/>
  <c r="CO28" i="29" s="1"/>
  <c r="CP28" i="29" s="1"/>
  <c r="CQ28" i="29" s="1"/>
  <c r="CR28" i="29" s="1"/>
  <c r="Q15" i="11"/>
  <c r="G15" i="3" s="1"/>
  <c r="J16" i="8"/>
  <c r="CT21" i="29" s="1"/>
  <c r="CU21" i="29" s="1"/>
  <c r="CV21" i="29" s="1"/>
  <c r="CW21" i="29" s="1"/>
  <c r="CX21" i="29" s="1"/>
  <c r="CY21" i="29" s="1"/>
  <c r="CZ21" i="29" s="1"/>
  <c r="DA21" i="29" s="1"/>
  <c r="DB21" i="29" s="1"/>
  <c r="DC21" i="29" s="1"/>
  <c r="DD21" i="29" s="1"/>
  <c r="DE21" i="29" s="1"/>
  <c r="R14" i="11"/>
  <c r="H16" i="11"/>
  <c r="CG27" i="29" s="1"/>
  <c r="CH27" i="29" s="1"/>
  <c r="CI27" i="29" s="1"/>
  <c r="CJ27" i="29" s="1"/>
  <c r="CK27" i="29" s="1"/>
  <c r="CL27" i="29" s="1"/>
  <c r="CM27" i="29" s="1"/>
  <c r="CN27" i="29" s="1"/>
  <c r="CO27" i="29" s="1"/>
  <c r="CP27" i="29" s="1"/>
  <c r="CQ27" i="29" s="1"/>
  <c r="CR27" i="29" s="1"/>
  <c r="K15" i="11"/>
  <c r="G14" i="3" s="1"/>
  <c r="F17" i="10"/>
  <c r="I16" i="10"/>
  <c r="AY21" i="29" l="1"/>
  <c r="AX32" i="29"/>
  <c r="Q21" i="29"/>
  <c r="BW21" i="29"/>
  <c r="BV32" i="29"/>
  <c r="O27" i="29"/>
  <c r="N32" i="29"/>
  <c r="BK21" i="29"/>
  <c r="BJ32" i="29"/>
  <c r="AM21" i="29"/>
  <c r="AL32" i="29"/>
  <c r="CX61" i="40"/>
  <c r="CK19" i="40"/>
  <c r="CN93" i="39"/>
  <c r="CK16" i="40"/>
  <c r="CN90" i="39"/>
  <c r="CK22" i="40"/>
  <c r="CN96" i="39"/>
  <c r="CK20" i="40"/>
  <c r="CN94" i="39"/>
  <c r="DC74" i="39"/>
  <c r="CY58" i="40"/>
  <c r="DP76" i="39"/>
  <c r="DL60" i="40"/>
  <c r="DC76" i="39"/>
  <c r="CY60" i="40"/>
  <c r="CK17" i="40"/>
  <c r="CN91" i="39"/>
  <c r="CK21" i="40"/>
  <c r="CN95" i="39"/>
  <c r="CK14" i="40"/>
  <c r="CN88" i="39"/>
  <c r="CK15" i="40"/>
  <c r="CN89" i="39"/>
  <c r="CK18" i="40"/>
  <c r="CN92" i="39"/>
  <c r="CR19" i="39"/>
  <c r="CO86" i="39"/>
  <c r="CO28" i="39"/>
  <c r="CO21" i="39"/>
  <c r="CO25" i="39"/>
  <c r="CO26" i="39"/>
  <c r="CO22" i="39"/>
  <c r="CO24" i="39"/>
  <c r="CO29" i="39"/>
  <c r="CO27" i="39"/>
  <c r="CO23" i="39"/>
  <c r="CP19" i="39"/>
  <c r="CP86" i="39" s="1"/>
  <c r="CS14" i="39"/>
  <c r="CR81" i="39"/>
  <c r="CR16" i="39"/>
  <c r="CO83" i="39"/>
  <c r="CE14" i="29" s="1"/>
  <c r="CE16" i="29" s="1"/>
  <c r="L42" i="29" s="1"/>
  <c r="CP16" i="39"/>
  <c r="CP83" i="39" s="1"/>
  <c r="J15" i="5" s="1"/>
  <c r="DA41" i="39"/>
  <c r="DA108" i="39" s="1"/>
  <c r="CW34" i="40"/>
  <c r="CN41" i="39"/>
  <c r="CN108" i="39" s="1"/>
  <c r="CJ34" i="40"/>
  <c r="CJ35" i="40" s="1"/>
  <c r="CJ63" i="40" s="1"/>
  <c r="CC19" i="29" s="1"/>
  <c r="CO39" i="39"/>
  <c r="CO106" i="39" s="1"/>
  <c r="CK32" i="40"/>
  <c r="G16" i="3"/>
  <c r="H15" i="35"/>
  <c r="D14" i="23"/>
  <c r="C14" i="23"/>
  <c r="H17" i="11"/>
  <c r="CT27" i="29" s="1"/>
  <c r="CU27" i="29" s="1"/>
  <c r="CV27" i="29" s="1"/>
  <c r="CW27" i="29" s="1"/>
  <c r="CX27" i="29" s="1"/>
  <c r="CY27" i="29" s="1"/>
  <c r="CZ27" i="29" s="1"/>
  <c r="DA27" i="29" s="1"/>
  <c r="DB27" i="29" s="1"/>
  <c r="DC27" i="29" s="1"/>
  <c r="DD27" i="29" s="1"/>
  <c r="DE27" i="29" s="1"/>
  <c r="K16" i="11"/>
  <c r="H14" i="3" s="1"/>
  <c r="J17" i="8"/>
  <c r="DG21" i="29" s="1"/>
  <c r="DH21" i="29" s="1"/>
  <c r="DI21" i="29" s="1"/>
  <c r="DJ21" i="29" s="1"/>
  <c r="DK21" i="29" s="1"/>
  <c r="DL21" i="29" s="1"/>
  <c r="DM21" i="29" s="1"/>
  <c r="DN21" i="29" s="1"/>
  <c r="DO21" i="29" s="1"/>
  <c r="DP21" i="29" s="1"/>
  <c r="DQ21" i="29" s="1"/>
  <c r="DR21" i="29" s="1"/>
  <c r="R15" i="11"/>
  <c r="M17" i="11"/>
  <c r="CT28" i="29" s="1"/>
  <c r="CU28" i="29" s="1"/>
  <c r="CV28" i="29" s="1"/>
  <c r="CW28" i="29" s="1"/>
  <c r="CX28" i="29" s="1"/>
  <c r="CY28" i="29" s="1"/>
  <c r="CZ28" i="29" s="1"/>
  <c r="DA28" i="29" s="1"/>
  <c r="DB28" i="29" s="1"/>
  <c r="DC28" i="29" s="1"/>
  <c r="DD28" i="29" s="1"/>
  <c r="DE28" i="29" s="1"/>
  <c r="Q16" i="11"/>
  <c r="H15" i="3" s="1"/>
  <c r="I15" i="35" s="1"/>
  <c r="F18" i="10"/>
  <c r="I17" i="10"/>
  <c r="BX21" i="29" l="1"/>
  <c r="BW32" i="29"/>
  <c r="P27" i="29"/>
  <c r="O32" i="29"/>
  <c r="AN21" i="29"/>
  <c r="AM32" i="29"/>
  <c r="R21" i="29"/>
  <c r="BL21" i="29"/>
  <c r="BK32" i="29"/>
  <c r="AZ21" i="29"/>
  <c r="AY32" i="29"/>
  <c r="CL17" i="40"/>
  <c r="CM17" i="40" s="1"/>
  <c r="FB17" i="40" s="1"/>
  <c r="CO91" i="39"/>
  <c r="CP24" i="39"/>
  <c r="CP91" i="39" s="1"/>
  <c r="CL14" i="40"/>
  <c r="CO88" i="39"/>
  <c r="CP21" i="39"/>
  <c r="CP88" i="39" s="1"/>
  <c r="CS16" i="39"/>
  <c r="CR83" i="39"/>
  <c r="CG14" i="29" s="1"/>
  <c r="CG16" i="29" s="1"/>
  <c r="CO90" i="39"/>
  <c r="CL16" i="40"/>
  <c r="CM16" i="40" s="1"/>
  <c r="FB16" i="40" s="1"/>
  <c r="CP23" i="39"/>
  <c r="CP90" i="39" s="1"/>
  <c r="CL15" i="40"/>
  <c r="CM15" i="40" s="1"/>
  <c r="FB15" i="40" s="1"/>
  <c r="CO89" i="39"/>
  <c r="CP22" i="39"/>
  <c r="CP89" i="39" s="1"/>
  <c r="CO95" i="39"/>
  <c r="CL21" i="40"/>
  <c r="CM21" i="40" s="1"/>
  <c r="FB21" i="40" s="1"/>
  <c r="CP28" i="39"/>
  <c r="CP95" i="39" s="1"/>
  <c r="DQ76" i="39"/>
  <c r="DM60" i="40"/>
  <c r="CL20" i="40"/>
  <c r="CM20" i="40" s="1"/>
  <c r="FB20" i="40" s="1"/>
  <c r="CO94" i="39"/>
  <c r="CP27" i="39"/>
  <c r="CP94" i="39" s="1"/>
  <c r="CL19" i="40"/>
  <c r="CM19" i="40" s="1"/>
  <c r="FB19" i="40" s="1"/>
  <c r="CO93" i="39"/>
  <c r="CP26" i="39"/>
  <c r="CP93" i="39" s="1"/>
  <c r="CY61" i="40"/>
  <c r="CT14" i="39"/>
  <c r="CS81" i="39"/>
  <c r="CL22" i="40"/>
  <c r="CM22" i="40" s="1"/>
  <c r="FB22" i="40" s="1"/>
  <c r="CO96" i="39"/>
  <c r="CP29" i="39"/>
  <c r="CP96" i="39" s="1"/>
  <c r="CL18" i="40"/>
  <c r="CM18" i="40" s="1"/>
  <c r="FB18" i="40" s="1"/>
  <c r="CO92" i="39"/>
  <c r="CP25" i="39"/>
  <c r="CP92" i="39" s="1"/>
  <c r="CR86" i="39"/>
  <c r="CR29" i="39"/>
  <c r="CR23" i="39"/>
  <c r="CR24" i="39"/>
  <c r="CR26" i="39"/>
  <c r="CR22" i="39"/>
  <c r="CR27" i="39"/>
  <c r="CR28" i="39"/>
  <c r="CS19" i="39"/>
  <c r="CR25" i="39"/>
  <c r="CR21" i="39"/>
  <c r="CZ60" i="40"/>
  <c r="DA60" i="40" s="1"/>
  <c r="FC60" i="40" s="1"/>
  <c r="DD76" i="39"/>
  <c r="DF74" i="39"/>
  <c r="CZ58" i="40"/>
  <c r="DD74" i="39"/>
  <c r="CO41" i="39"/>
  <c r="CO108" i="39" s="1"/>
  <c r="CK34" i="40"/>
  <c r="CK35" i="40" s="1"/>
  <c r="CK63" i="40" s="1"/>
  <c r="CD19" i="29" s="1"/>
  <c r="DB41" i="39"/>
  <c r="DB108" i="39" s="1"/>
  <c r="CX34" i="40"/>
  <c r="CR39" i="39"/>
  <c r="CR106" i="39" s="1"/>
  <c r="CL32" i="40"/>
  <c r="CM32" i="40" s="1"/>
  <c r="FB32" i="40" s="1"/>
  <c r="CP39" i="39"/>
  <c r="CP106" i="39" s="1"/>
  <c r="H16" i="3"/>
  <c r="D15" i="23"/>
  <c r="C15" i="23"/>
  <c r="R16" i="11"/>
  <c r="H18" i="11"/>
  <c r="DG27" i="29" s="1"/>
  <c r="DH27" i="29" s="1"/>
  <c r="DI27" i="29" s="1"/>
  <c r="DJ27" i="29" s="1"/>
  <c r="DK27" i="29" s="1"/>
  <c r="DL27" i="29" s="1"/>
  <c r="DM27" i="29" s="1"/>
  <c r="DN27" i="29" s="1"/>
  <c r="DO27" i="29" s="1"/>
  <c r="DP27" i="29" s="1"/>
  <c r="DQ27" i="29" s="1"/>
  <c r="DR27" i="29" s="1"/>
  <c r="K17" i="11"/>
  <c r="I14" i="3" s="1"/>
  <c r="M18" i="11"/>
  <c r="DG28" i="29" s="1"/>
  <c r="DH28" i="29" s="1"/>
  <c r="DI28" i="29" s="1"/>
  <c r="DJ28" i="29" s="1"/>
  <c r="DK28" i="29" s="1"/>
  <c r="DL28" i="29" s="1"/>
  <c r="DM28" i="29" s="1"/>
  <c r="DN28" i="29" s="1"/>
  <c r="DO28" i="29" s="1"/>
  <c r="DP28" i="29" s="1"/>
  <c r="DQ28" i="29" s="1"/>
  <c r="DR28" i="29" s="1"/>
  <c r="Q17" i="11"/>
  <c r="I15" i="3" s="1"/>
  <c r="J18" i="8"/>
  <c r="DT21" i="29" s="1"/>
  <c r="DU21" i="29" s="1"/>
  <c r="DV21" i="29" s="1"/>
  <c r="DW21" i="29" s="1"/>
  <c r="DX21" i="29" s="1"/>
  <c r="DY21" i="29" s="1"/>
  <c r="DZ21" i="29" s="1"/>
  <c r="EA21" i="29" s="1"/>
  <c r="EB21" i="29" s="1"/>
  <c r="EC21" i="29" s="1"/>
  <c r="ED21" i="29" s="1"/>
  <c r="EE21" i="29" s="1"/>
  <c r="I18" i="10"/>
  <c r="AO21" i="29" l="1"/>
  <c r="AN32" i="29"/>
  <c r="BA21" i="29"/>
  <c r="AZ32" i="29"/>
  <c r="Q27" i="29"/>
  <c r="P32" i="29"/>
  <c r="BM21" i="29"/>
  <c r="BL32" i="29"/>
  <c r="BY21" i="29"/>
  <c r="BX32" i="29"/>
  <c r="CZ61" i="40"/>
  <c r="DA58" i="40"/>
  <c r="CO21" i="40"/>
  <c r="CR95" i="39"/>
  <c r="CO17" i="40"/>
  <c r="CR91" i="39"/>
  <c r="DT76" i="39"/>
  <c r="DN60" i="40"/>
  <c r="DO60" i="40" s="1"/>
  <c r="FD60" i="40" s="1"/>
  <c r="DR76" i="39"/>
  <c r="CM14" i="40"/>
  <c r="DC58" i="40"/>
  <c r="DG74" i="39"/>
  <c r="CO14" i="40"/>
  <c r="CR88" i="39"/>
  <c r="CO20" i="40"/>
  <c r="CR94" i="39"/>
  <c r="CO16" i="40"/>
  <c r="CR90" i="39"/>
  <c r="CT16" i="39"/>
  <c r="CS83" i="39"/>
  <c r="CH14" i="29" s="1"/>
  <c r="CH16" i="29" s="1"/>
  <c r="CO18" i="40"/>
  <c r="CR92" i="39"/>
  <c r="CO15" i="40"/>
  <c r="CR89" i="39"/>
  <c r="CO22" i="40"/>
  <c r="CR96" i="39"/>
  <c r="CS86" i="39"/>
  <c r="CS29" i="39"/>
  <c r="CS24" i="39"/>
  <c r="CS26" i="39"/>
  <c r="CS22" i="39"/>
  <c r="CS28" i="39"/>
  <c r="CS27" i="39"/>
  <c r="CS21" i="39"/>
  <c r="CT19" i="39"/>
  <c r="CS25" i="39"/>
  <c r="CS23" i="39"/>
  <c r="CO19" i="40"/>
  <c r="CR93" i="39"/>
  <c r="CT36" i="39"/>
  <c r="CT81" i="39"/>
  <c r="CU14" i="39"/>
  <c r="DD14" i="39"/>
  <c r="DD81" i="39" s="1"/>
  <c r="DC41" i="39"/>
  <c r="DC108" i="39" s="1"/>
  <c r="CY34" i="40"/>
  <c r="CL34" i="40"/>
  <c r="CM34" i="40" s="1"/>
  <c r="FB34" i="40" s="1"/>
  <c r="CP41" i="39"/>
  <c r="CP108" i="39" s="1"/>
  <c r="CS39" i="39"/>
  <c r="CS106" i="39" s="1"/>
  <c r="CO32" i="40"/>
  <c r="J15" i="35"/>
  <c r="I16" i="3"/>
  <c r="D16" i="23"/>
  <c r="C16" i="23"/>
  <c r="J20" i="8"/>
  <c r="J21" i="8"/>
  <c r="R17" i="11"/>
  <c r="M19" i="11"/>
  <c r="DT28" i="29" s="1"/>
  <c r="DU28" i="29" s="1"/>
  <c r="DV28" i="29" s="1"/>
  <c r="DW28" i="29" s="1"/>
  <c r="DX28" i="29" s="1"/>
  <c r="DY28" i="29" s="1"/>
  <c r="DZ28" i="29" s="1"/>
  <c r="EA28" i="29" s="1"/>
  <c r="EB28" i="29" s="1"/>
  <c r="EC28" i="29" s="1"/>
  <c r="ED28" i="29" s="1"/>
  <c r="EE28" i="29" s="1"/>
  <c r="Q18" i="11"/>
  <c r="J15" i="3" s="1"/>
  <c r="H19" i="11"/>
  <c r="DT27" i="29" s="1"/>
  <c r="DU27" i="29" s="1"/>
  <c r="DV27" i="29" s="1"/>
  <c r="DW27" i="29" s="1"/>
  <c r="DX27" i="29" s="1"/>
  <c r="DY27" i="29" s="1"/>
  <c r="DZ27" i="29" s="1"/>
  <c r="EA27" i="29" s="1"/>
  <c r="EB27" i="29" s="1"/>
  <c r="EC27" i="29" s="1"/>
  <c r="ED27" i="29" s="1"/>
  <c r="EE27" i="29" s="1"/>
  <c r="K18" i="11"/>
  <c r="J14" i="3" s="1"/>
  <c r="BN21" i="29" l="1"/>
  <c r="BM32" i="29"/>
  <c r="R27" i="29"/>
  <c r="Q32" i="29"/>
  <c r="BB21" i="29"/>
  <c r="BA32" i="29"/>
  <c r="BZ21" i="29"/>
  <c r="BY32" i="29"/>
  <c r="AP21" i="29"/>
  <c r="AO32" i="29"/>
  <c r="CT103" i="39"/>
  <c r="DD36" i="39"/>
  <c r="DD103" i="39" s="1"/>
  <c r="CQ29" i="40"/>
  <c r="DA29" i="40" s="1"/>
  <c r="FC29" i="40" s="1"/>
  <c r="CP16" i="40"/>
  <c r="CS90" i="39"/>
  <c r="CP20" i="40"/>
  <c r="CS94" i="39"/>
  <c r="CP17" i="40"/>
  <c r="CS91" i="39"/>
  <c r="DH74" i="39"/>
  <c r="DD58" i="40"/>
  <c r="DD61" i="40" s="1"/>
  <c r="CP18" i="40"/>
  <c r="CS92" i="39"/>
  <c r="CP21" i="40"/>
  <c r="CS95" i="39"/>
  <c r="CP22" i="40"/>
  <c r="CS96" i="39"/>
  <c r="CT83" i="39"/>
  <c r="CI14" i="29" s="1"/>
  <c r="CI16" i="29" s="1"/>
  <c r="CU16" i="39"/>
  <c r="DC61" i="40"/>
  <c r="FC58" i="40"/>
  <c r="FC61" i="40" s="1"/>
  <c r="DA61" i="40"/>
  <c r="CU81" i="39"/>
  <c r="CV14" i="39"/>
  <c r="CU19" i="39"/>
  <c r="CT86" i="39"/>
  <c r="CT25" i="39"/>
  <c r="CT22" i="39"/>
  <c r="CT29" i="39"/>
  <c r="CT21" i="39"/>
  <c r="CT24" i="39"/>
  <c r="CT27" i="39"/>
  <c r="CT28" i="39"/>
  <c r="CT23" i="39"/>
  <c r="CT26" i="39"/>
  <c r="CP15" i="40"/>
  <c r="CS89" i="39"/>
  <c r="CO35" i="40"/>
  <c r="CO63" i="40" s="1"/>
  <c r="CG19" i="29" s="1"/>
  <c r="CG32" i="29" s="1"/>
  <c r="FB14" i="40"/>
  <c r="FB13" i="40" s="1"/>
  <c r="FB35" i="40" s="1"/>
  <c r="FB63" i="40" s="1"/>
  <c r="G14" i="9" s="1"/>
  <c r="CM35" i="40"/>
  <c r="DQ60" i="40"/>
  <c r="DU76" i="39"/>
  <c r="CP14" i="40"/>
  <c r="CS88" i="39"/>
  <c r="CP19" i="40"/>
  <c r="CS93" i="39"/>
  <c r="CL35" i="40"/>
  <c r="CL63" i="40" s="1"/>
  <c r="CE19" i="29" s="1"/>
  <c r="CZ34" i="40"/>
  <c r="DA34" i="40" s="1"/>
  <c r="FC34" i="40" s="1"/>
  <c r="DD41" i="39"/>
  <c r="DD108" i="39" s="1"/>
  <c r="DF41" i="39"/>
  <c r="DF108" i="39" s="1"/>
  <c r="CT39" i="39"/>
  <c r="CT106" i="39" s="1"/>
  <c r="CP32" i="40"/>
  <c r="K15" i="35"/>
  <c r="J16" i="3"/>
  <c r="D17" i="23"/>
  <c r="C17" i="23"/>
  <c r="K19" i="11"/>
  <c r="K14" i="3" s="1"/>
  <c r="H21" i="11"/>
  <c r="H22" i="11"/>
  <c r="Q19" i="11"/>
  <c r="K15" i="3" s="1"/>
  <c r="L15" i="35" s="1"/>
  <c r="M21" i="11"/>
  <c r="M22" i="11"/>
  <c r="R18" i="11"/>
  <c r="BC21" i="29" l="1"/>
  <c r="BB32" i="29"/>
  <c r="CA21" i="29"/>
  <c r="BZ32" i="29"/>
  <c r="AQ21" i="29"/>
  <c r="AP32" i="29"/>
  <c r="BO21" i="29"/>
  <c r="BN32" i="29"/>
  <c r="CQ21" i="40"/>
  <c r="CT95" i="39"/>
  <c r="CQ22" i="40"/>
  <c r="CT96" i="39"/>
  <c r="CU86" i="39"/>
  <c r="CU27" i="39"/>
  <c r="CU28" i="39"/>
  <c r="CU29" i="39"/>
  <c r="CU25" i="39"/>
  <c r="CU21" i="39"/>
  <c r="CU23" i="39"/>
  <c r="CU24" i="39"/>
  <c r="CU22" i="39"/>
  <c r="CU26" i="39"/>
  <c r="DI74" i="39"/>
  <c r="DE58" i="40"/>
  <c r="CP35" i="40"/>
  <c r="CP63" i="40" s="1"/>
  <c r="CH19" i="29" s="1"/>
  <c r="CH32" i="29" s="1"/>
  <c r="DV76" i="39"/>
  <c r="DR60" i="40"/>
  <c r="CQ20" i="40"/>
  <c r="CT94" i="39"/>
  <c r="CQ15" i="40"/>
  <c r="CT89" i="39"/>
  <c r="CV81" i="39"/>
  <c r="CW14" i="39"/>
  <c r="CV19" i="39"/>
  <c r="CV16" i="39"/>
  <c r="CU83" i="39"/>
  <c r="CJ14" i="29" s="1"/>
  <c r="CJ16" i="29" s="1"/>
  <c r="CQ19" i="40"/>
  <c r="CT93" i="39"/>
  <c r="CQ17" i="40"/>
  <c r="CT91" i="39"/>
  <c r="CQ18" i="40"/>
  <c r="CT92" i="39"/>
  <c r="CQ16" i="40"/>
  <c r="CT90" i="39"/>
  <c r="CQ14" i="40"/>
  <c r="CT88" i="39"/>
  <c r="DG41" i="39"/>
  <c r="DG108" i="39" s="1"/>
  <c r="DC34" i="40"/>
  <c r="CQ32" i="40"/>
  <c r="CU39" i="39"/>
  <c r="CU106" i="39" s="1"/>
  <c r="K16" i="3"/>
  <c r="D18" i="23"/>
  <c r="D20" i="23" s="1"/>
  <c r="C18" i="23"/>
  <c r="C20" i="23" s="1"/>
  <c r="K22" i="11"/>
  <c r="K21" i="11"/>
  <c r="R19" i="11"/>
  <c r="R21" i="11" s="1"/>
  <c r="Q22" i="11"/>
  <c r="Q21" i="11"/>
  <c r="CQ35" i="40" l="1"/>
  <c r="CQ63" i="40" s="1"/>
  <c r="CI19" i="29" s="1"/>
  <c r="CI32" i="29" s="1"/>
  <c r="AR21" i="29"/>
  <c r="AQ32" i="29"/>
  <c r="CB21" i="29"/>
  <c r="CA32" i="29"/>
  <c r="BP21" i="29"/>
  <c r="BO32" i="29"/>
  <c r="BD21" i="29"/>
  <c r="BC32" i="29"/>
  <c r="CW16" i="39"/>
  <c r="CV83" i="39"/>
  <c r="CK14" i="29" s="1"/>
  <c r="CK16" i="29" s="1"/>
  <c r="DE61" i="40"/>
  <c r="CR17" i="40"/>
  <c r="CU91" i="39"/>
  <c r="CR22" i="40"/>
  <c r="CU96" i="39"/>
  <c r="CV86" i="39"/>
  <c r="CV25" i="39"/>
  <c r="CV29" i="39"/>
  <c r="CV27" i="39"/>
  <c r="CV23" i="39"/>
  <c r="CV26" i="39"/>
  <c r="CV21" i="39"/>
  <c r="CV22" i="39"/>
  <c r="CV24" i="39"/>
  <c r="CV28" i="39"/>
  <c r="DW76" i="39"/>
  <c r="DS60" i="40"/>
  <c r="DJ74" i="39"/>
  <c r="DF58" i="40"/>
  <c r="DF61" i="40" s="1"/>
  <c r="CR16" i="40"/>
  <c r="CU90" i="39"/>
  <c r="CR21" i="40"/>
  <c r="CU95" i="39"/>
  <c r="CW81" i="39"/>
  <c r="CW19" i="39"/>
  <c r="CX14" i="39"/>
  <c r="CR19" i="40"/>
  <c r="CU93" i="39"/>
  <c r="CR14" i="40"/>
  <c r="CU88" i="39"/>
  <c r="CR20" i="40"/>
  <c r="CU94" i="39"/>
  <c r="CR15" i="40"/>
  <c r="CU89" i="39"/>
  <c r="CR18" i="40"/>
  <c r="CU92" i="39"/>
  <c r="DD34" i="40"/>
  <c r="DH41" i="39"/>
  <c r="DH108" i="39" s="1"/>
  <c r="CV39" i="39"/>
  <c r="CV106" i="39" s="1"/>
  <c r="CR32" i="40"/>
  <c r="Q23" i="11"/>
  <c r="R22" i="11"/>
  <c r="M23" i="11"/>
  <c r="N23" i="11"/>
  <c r="P23" i="11"/>
  <c r="O23" i="11"/>
  <c r="P10" i="8"/>
  <c r="H10" i="9" s="1"/>
  <c r="J10" i="9" s="1"/>
  <c r="BQ21" i="29" l="1"/>
  <c r="BP32" i="29"/>
  <c r="BE21" i="29"/>
  <c r="BD32" i="29"/>
  <c r="CC21" i="29"/>
  <c r="CB32" i="29"/>
  <c r="DX76" i="39"/>
  <c r="DT60" i="40"/>
  <c r="CS15" i="40"/>
  <c r="CV89" i="39"/>
  <c r="CS20" i="40"/>
  <c r="CV94" i="39"/>
  <c r="CX81" i="39"/>
  <c r="CY14" i="39"/>
  <c r="CX19" i="39"/>
  <c r="DK74" i="39"/>
  <c r="DG58" i="40"/>
  <c r="DG61" i="40" s="1"/>
  <c r="CS19" i="40"/>
  <c r="CV93" i="39"/>
  <c r="CS14" i="40"/>
  <c r="CV88" i="39"/>
  <c r="CS22" i="40"/>
  <c r="CV96" i="39"/>
  <c r="CS21" i="40"/>
  <c r="CV95" i="39"/>
  <c r="CS18" i="40"/>
  <c r="CV92" i="39"/>
  <c r="CX16" i="39"/>
  <c r="CW83" i="39"/>
  <c r="CL14" i="29" s="1"/>
  <c r="CL16" i="29" s="1"/>
  <c r="CR35" i="40"/>
  <c r="CR63" i="40" s="1"/>
  <c r="CJ19" i="29" s="1"/>
  <c r="CJ32" i="29" s="1"/>
  <c r="CW86" i="39"/>
  <c r="CW25" i="39"/>
  <c r="CW24" i="39"/>
  <c r="CW21" i="39"/>
  <c r="CW22" i="39"/>
  <c r="CW28" i="39"/>
  <c r="CW29" i="39"/>
  <c r="CW27" i="39"/>
  <c r="CW26" i="39"/>
  <c r="CW23" i="39"/>
  <c r="CS17" i="40"/>
  <c r="CV91" i="39"/>
  <c r="CS16" i="40"/>
  <c r="CV90" i="39"/>
  <c r="DI41" i="39"/>
  <c r="DI108" i="39" s="1"/>
  <c r="DE34" i="40"/>
  <c r="CW39" i="39"/>
  <c r="CW106" i="39" s="1"/>
  <c r="CS32" i="40"/>
  <c r="M10" i="9"/>
  <c r="C11" i="3"/>
  <c r="P11" i="8"/>
  <c r="H11" i="9" s="1"/>
  <c r="J11" i="9" s="1"/>
  <c r="CD21" i="29" l="1"/>
  <c r="CC32" i="29"/>
  <c r="BR21" i="29"/>
  <c r="BQ32" i="29"/>
  <c r="CT17" i="40"/>
  <c r="CW91" i="39"/>
  <c r="CT16" i="40"/>
  <c r="CW90" i="39"/>
  <c r="CT21" i="40"/>
  <c r="CW95" i="39"/>
  <c r="CT18" i="40"/>
  <c r="CW92" i="39"/>
  <c r="CS35" i="40"/>
  <c r="CS63" i="40" s="1"/>
  <c r="CK19" i="29" s="1"/>
  <c r="CK32" i="29" s="1"/>
  <c r="CY81" i="39"/>
  <c r="CY33" i="39"/>
  <c r="CZ14" i="39"/>
  <c r="CY35" i="39"/>
  <c r="CY38" i="39"/>
  <c r="CY19" i="39"/>
  <c r="CY37" i="39"/>
  <c r="CT22" i="40"/>
  <c r="CW96" i="39"/>
  <c r="CX86" i="39"/>
  <c r="CX29" i="39"/>
  <c r="CX23" i="39"/>
  <c r="CX25" i="39"/>
  <c r="CX24" i="39"/>
  <c r="CX27" i="39"/>
  <c r="CX21" i="39"/>
  <c r="CX26" i="39"/>
  <c r="CX22" i="39"/>
  <c r="CX28" i="39"/>
  <c r="CT19" i="40"/>
  <c r="CW93" i="39"/>
  <c r="CT15" i="40"/>
  <c r="CW89" i="39"/>
  <c r="CY16" i="39"/>
  <c r="CX83" i="39"/>
  <c r="CM14" i="29" s="1"/>
  <c r="CM16" i="29" s="1"/>
  <c r="DY76" i="39"/>
  <c r="DU60" i="40"/>
  <c r="CT20" i="40"/>
  <c r="CW94" i="39"/>
  <c r="CT14" i="40"/>
  <c r="CW88" i="39"/>
  <c r="DL74" i="39"/>
  <c r="DH58" i="40"/>
  <c r="DJ41" i="39"/>
  <c r="DJ108" i="39" s="1"/>
  <c r="DF34" i="40"/>
  <c r="CX39" i="39"/>
  <c r="CX106" i="39" s="1"/>
  <c r="CT32" i="40"/>
  <c r="D11" i="3"/>
  <c r="M11" i="9"/>
  <c r="P12" i="8"/>
  <c r="H12" i="9" s="1"/>
  <c r="J12" i="9" s="1"/>
  <c r="CE21" i="29" l="1"/>
  <c r="CD32" i="29"/>
  <c r="CT35" i="40"/>
  <c r="CT63" i="40" s="1"/>
  <c r="CL19" i="29" s="1"/>
  <c r="CL32" i="29" s="1"/>
  <c r="CU22" i="40"/>
  <c r="CX96" i="39"/>
  <c r="DM74" i="39"/>
  <c r="DI58" i="40"/>
  <c r="DI61" i="40" s="1"/>
  <c r="DZ76" i="39"/>
  <c r="DV60" i="40"/>
  <c r="CU15" i="40"/>
  <c r="CX89" i="39"/>
  <c r="CU17" i="40"/>
  <c r="CX91" i="39"/>
  <c r="CY104" i="39"/>
  <c r="DD37" i="39"/>
  <c r="DD104" i="39" s="1"/>
  <c r="CV30" i="40"/>
  <c r="DA30" i="40" s="1"/>
  <c r="FC30" i="40" s="1"/>
  <c r="CZ81" i="39"/>
  <c r="CZ19" i="39"/>
  <c r="DA14" i="39"/>
  <c r="DH61" i="40"/>
  <c r="CU21" i="40"/>
  <c r="CX95" i="39"/>
  <c r="CY102" i="39"/>
  <c r="CV28" i="40"/>
  <c r="DA28" i="40" s="1"/>
  <c r="FC28" i="40" s="1"/>
  <c r="FC27" i="40" s="1"/>
  <c r="DD35" i="39"/>
  <c r="DD102" i="39" s="1"/>
  <c r="CZ16" i="39"/>
  <c r="CY83" i="39"/>
  <c r="CN14" i="29" s="1"/>
  <c r="CN16" i="29" s="1"/>
  <c r="CU19" i="40"/>
  <c r="CX93" i="39"/>
  <c r="CU18" i="40"/>
  <c r="CX92" i="39"/>
  <c r="CY86" i="39"/>
  <c r="CY27" i="39"/>
  <c r="CY23" i="39"/>
  <c r="CY28" i="39"/>
  <c r="CY21" i="39"/>
  <c r="CY22" i="39"/>
  <c r="CY24" i="39"/>
  <c r="CY26" i="39"/>
  <c r="CY29" i="39"/>
  <c r="CY25" i="39"/>
  <c r="CY100" i="39"/>
  <c r="DD33" i="39"/>
  <c r="DD100" i="39" s="1"/>
  <c r="CV26" i="40"/>
  <c r="DA26" i="40" s="1"/>
  <c r="FC26" i="40" s="1"/>
  <c r="FC23" i="40" s="1"/>
  <c r="CU20" i="40"/>
  <c r="CX94" i="39"/>
  <c r="CU14" i="40"/>
  <c r="CX88" i="39"/>
  <c r="CU16" i="40"/>
  <c r="CX90" i="39"/>
  <c r="CY105" i="39"/>
  <c r="CV31" i="40"/>
  <c r="DA31" i="40" s="1"/>
  <c r="FC31" i="40" s="1"/>
  <c r="DD38" i="39"/>
  <c r="DD105" i="39" s="1"/>
  <c r="DG34" i="40"/>
  <c r="DK41" i="39"/>
  <c r="DK108" i="39" s="1"/>
  <c r="CY39" i="39"/>
  <c r="CY106" i="39" s="1"/>
  <c r="CU32" i="40"/>
  <c r="E11" i="3"/>
  <c r="M12" i="9"/>
  <c r="P13" i="8"/>
  <c r="H13" i="9" s="1"/>
  <c r="J13" i="9" s="1"/>
  <c r="CV22" i="40" l="1"/>
  <c r="CY96" i="39"/>
  <c r="CV14" i="40"/>
  <c r="CY88" i="39"/>
  <c r="CZ86" i="39"/>
  <c r="CZ29" i="39"/>
  <c r="CZ23" i="39"/>
  <c r="CZ21" i="39"/>
  <c r="CZ27" i="39"/>
  <c r="CZ25" i="39"/>
  <c r="CZ26" i="39"/>
  <c r="CZ28" i="39"/>
  <c r="CZ24" i="39"/>
  <c r="CZ22" i="39"/>
  <c r="DN74" i="39"/>
  <c r="DJ58" i="40"/>
  <c r="CV19" i="40"/>
  <c r="CY93" i="39"/>
  <c r="CV21" i="40"/>
  <c r="CY95" i="39"/>
  <c r="CU35" i="40"/>
  <c r="CU63" i="40" s="1"/>
  <c r="CM19" i="29" s="1"/>
  <c r="CM32" i="29" s="1"/>
  <c r="CV17" i="40"/>
  <c r="CY91" i="39"/>
  <c r="CV16" i="40"/>
  <c r="CY90" i="39"/>
  <c r="EA76" i="39"/>
  <c r="DW60" i="40"/>
  <c r="CV18" i="40"/>
  <c r="CY92" i="39"/>
  <c r="CV15" i="40"/>
  <c r="CY89" i="39"/>
  <c r="CV20" i="40"/>
  <c r="CY94" i="39"/>
  <c r="DA16" i="39"/>
  <c r="CZ83" i="39"/>
  <c r="CO14" i="29" s="1"/>
  <c r="CO16" i="29" s="1"/>
  <c r="DA81" i="39"/>
  <c r="DA19" i="39"/>
  <c r="DB14" i="39"/>
  <c r="DL41" i="39"/>
  <c r="DL108" i="39" s="1"/>
  <c r="DH34" i="40"/>
  <c r="CZ39" i="39"/>
  <c r="CZ106" i="39" s="1"/>
  <c r="CV32" i="40"/>
  <c r="F11" i="3"/>
  <c r="M13" i="9"/>
  <c r="P14" i="8"/>
  <c r="H14" i="9" s="1"/>
  <c r="J14" i="9" s="1"/>
  <c r="F20" i="9"/>
  <c r="DJ61" i="40" l="1"/>
  <c r="CW21" i="40"/>
  <c r="CZ95" i="39"/>
  <c r="CW14" i="40"/>
  <c r="CZ88" i="39"/>
  <c r="DO74" i="39"/>
  <c r="DK58" i="40"/>
  <c r="DK61" i="40" s="1"/>
  <c r="CW19" i="40"/>
  <c r="CZ93" i="39"/>
  <c r="CW16" i="40"/>
  <c r="CZ90" i="39"/>
  <c r="DB16" i="39"/>
  <c r="DA83" i="39"/>
  <c r="CP14" i="29" s="1"/>
  <c r="CP16" i="29" s="1"/>
  <c r="EB76" i="39"/>
  <c r="DX60" i="40"/>
  <c r="CW15" i="40"/>
  <c r="CZ89" i="39"/>
  <c r="CW18" i="40"/>
  <c r="CZ92" i="39"/>
  <c r="CW22" i="40"/>
  <c r="CZ96" i="39"/>
  <c r="CV35" i="40"/>
  <c r="CV63" i="40" s="1"/>
  <c r="CN19" i="29" s="1"/>
  <c r="CN32" i="29" s="1"/>
  <c r="DB81" i="39"/>
  <c r="DB19" i="39"/>
  <c r="DC14" i="39"/>
  <c r="DA86" i="39"/>
  <c r="DA28" i="39"/>
  <c r="DA26" i="39"/>
  <c r="DA27" i="39"/>
  <c r="DA22" i="39"/>
  <c r="DA23" i="39"/>
  <c r="DA25" i="39"/>
  <c r="DA29" i="39"/>
  <c r="DA21" i="39"/>
  <c r="DA24" i="39"/>
  <c r="CW17" i="40"/>
  <c r="CZ91" i="39"/>
  <c r="CW20" i="40"/>
  <c r="CZ94" i="39"/>
  <c r="DM41" i="39"/>
  <c r="DM108" i="39" s="1"/>
  <c r="DI34" i="40"/>
  <c r="DA39" i="39"/>
  <c r="DA106" i="39" s="1"/>
  <c r="CW32" i="40"/>
  <c r="M14" i="9"/>
  <c r="G11" i="3"/>
  <c r="P15" i="8"/>
  <c r="H15" i="9" s="1"/>
  <c r="CX14" i="40" l="1"/>
  <c r="DA88" i="39"/>
  <c r="CX15" i="40"/>
  <c r="DA89" i="39"/>
  <c r="EC76" i="39"/>
  <c r="DY60" i="40"/>
  <c r="DP74" i="39"/>
  <c r="DL58" i="40"/>
  <c r="DL61" i="40" s="1"/>
  <c r="CX17" i="40"/>
  <c r="DA91" i="39"/>
  <c r="CX21" i="40"/>
  <c r="DA95" i="39"/>
  <c r="CX22" i="40"/>
  <c r="DA96" i="39"/>
  <c r="CX20" i="40"/>
  <c r="DA94" i="39"/>
  <c r="DF14" i="39"/>
  <c r="DC81" i="39"/>
  <c r="DC19" i="39"/>
  <c r="CX16" i="40"/>
  <c r="DA90" i="39"/>
  <c r="CX18" i="40"/>
  <c r="DA92" i="39"/>
  <c r="CX19" i="40"/>
  <c r="DA93" i="39"/>
  <c r="DB86" i="39"/>
  <c r="DB28" i="39"/>
  <c r="DB24" i="39"/>
  <c r="DB25" i="39"/>
  <c r="DB26" i="39"/>
  <c r="DB23" i="39"/>
  <c r="DB27" i="39"/>
  <c r="DB21" i="39"/>
  <c r="DB29" i="39"/>
  <c r="DB22" i="39"/>
  <c r="DC16" i="39"/>
  <c r="DB83" i="39"/>
  <c r="CQ14" i="29" s="1"/>
  <c r="CQ16" i="29" s="1"/>
  <c r="CW35" i="40"/>
  <c r="CW63" i="40" s="1"/>
  <c r="CO19" i="29" s="1"/>
  <c r="CO32" i="29" s="1"/>
  <c r="DN41" i="39"/>
  <c r="DN108" i="39" s="1"/>
  <c r="DJ34" i="40"/>
  <c r="DB39" i="39"/>
  <c r="DB106" i="39" s="1"/>
  <c r="CX32" i="40"/>
  <c r="P16" i="8"/>
  <c r="H16" i="9" s="1"/>
  <c r="B36" i="17"/>
  <c r="B39" i="17" s="1"/>
  <c r="A1" i="11"/>
  <c r="A1" i="3"/>
  <c r="E40" i="5"/>
  <c r="E41" i="5"/>
  <c r="A1" i="5"/>
  <c r="A1" i="23" s="1"/>
  <c r="CY19" i="40" l="1"/>
  <c r="DB93" i="39"/>
  <c r="DC86" i="39"/>
  <c r="DC27" i="39"/>
  <c r="DC25" i="39"/>
  <c r="DC26" i="39"/>
  <c r="DC24" i="39"/>
  <c r="DF19" i="39"/>
  <c r="DC29" i="39"/>
  <c r="DC22" i="39"/>
  <c r="DC21" i="39"/>
  <c r="DC28" i="39"/>
  <c r="DC23" i="39"/>
  <c r="DD19" i="39"/>
  <c r="DD86" i="39" s="1"/>
  <c r="DQ74" i="39"/>
  <c r="DM58" i="40"/>
  <c r="DM61" i="40" s="1"/>
  <c r="CY14" i="40"/>
  <c r="DB88" i="39"/>
  <c r="CY18" i="40"/>
  <c r="DB92" i="39"/>
  <c r="CY22" i="40"/>
  <c r="DB96" i="39"/>
  <c r="DF16" i="39"/>
  <c r="DC83" i="39"/>
  <c r="CR14" i="29" s="1"/>
  <c r="CR16" i="29" s="1"/>
  <c r="M42" i="29" s="1"/>
  <c r="DD16" i="39"/>
  <c r="DD83" i="39" s="1"/>
  <c r="J16" i="5" s="1"/>
  <c r="M16" i="5" s="1"/>
  <c r="CY20" i="40"/>
  <c r="DB94" i="39"/>
  <c r="CY17" i="40"/>
  <c r="DB91" i="39"/>
  <c r="DG14" i="39"/>
  <c r="DF81" i="39"/>
  <c r="ED76" i="39"/>
  <c r="DZ60" i="40"/>
  <c r="CX35" i="40"/>
  <c r="CX63" i="40" s="1"/>
  <c r="CP19" i="29" s="1"/>
  <c r="CP32" i="29" s="1"/>
  <c r="CY15" i="40"/>
  <c r="DB89" i="39"/>
  <c r="CY16" i="40"/>
  <c r="DB90" i="39"/>
  <c r="CY21" i="40"/>
  <c r="DB95" i="39"/>
  <c r="DO41" i="39"/>
  <c r="DO108" i="39" s="1"/>
  <c r="DK34" i="40"/>
  <c r="DC39" i="39"/>
  <c r="DC106" i="39" s="1"/>
  <c r="CY32" i="40"/>
  <c r="M14" i="5"/>
  <c r="M13" i="5"/>
  <c r="M15" i="5"/>
  <c r="M11" i="5"/>
  <c r="M10" i="5"/>
  <c r="M12" i="5"/>
  <c r="N10" i="5"/>
  <c r="N13" i="5"/>
  <c r="N12" i="5"/>
  <c r="N18" i="5"/>
  <c r="N16" i="5"/>
  <c r="N11" i="5"/>
  <c r="N15" i="5"/>
  <c r="N19" i="5"/>
  <c r="N17" i="5"/>
  <c r="N14" i="5"/>
  <c r="B40" i="17"/>
  <c r="B41" i="17"/>
  <c r="A1" i="29"/>
  <c r="A1" i="30" s="1"/>
  <c r="A1" i="17" s="1"/>
  <c r="A1" i="28"/>
  <c r="P17" i="8"/>
  <c r="H17" i="9" s="1"/>
  <c r="A1" i="9"/>
  <c r="A1" i="10"/>
  <c r="O10" i="5" l="1"/>
  <c r="B10" i="3" s="1"/>
  <c r="DG16" i="39"/>
  <c r="DF83" i="39"/>
  <c r="CT14" i="29" s="1"/>
  <c r="CT16" i="29" s="1"/>
  <c r="CZ21" i="40"/>
  <c r="DA21" i="40" s="1"/>
  <c r="FC21" i="40" s="1"/>
  <c r="DC95" i="39"/>
  <c r="DD28" i="39"/>
  <c r="DD95" i="39" s="1"/>
  <c r="DH14" i="39"/>
  <c r="DG81" i="39"/>
  <c r="DT74" i="39"/>
  <c r="DN58" i="40"/>
  <c r="DR74" i="39"/>
  <c r="CZ14" i="40"/>
  <c r="DC88" i="39"/>
  <c r="DD21" i="39"/>
  <c r="DD88" i="39" s="1"/>
  <c r="CZ17" i="40"/>
  <c r="DA17" i="40" s="1"/>
  <c r="FC17" i="40" s="1"/>
  <c r="DC91" i="39"/>
  <c r="DD24" i="39"/>
  <c r="DD91" i="39" s="1"/>
  <c r="CZ20" i="40"/>
  <c r="DA20" i="40" s="1"/>
  <c r="FC20" i="40" s="1"/>
  <c r="DC94" i="39"/>
  <c r="DD27" i="39"/>
  <c r="DD94" i="39" s="1"/>
  <c r="CY35" i="40"/>
  <c r="CY63" i="40" s="1"/>
  <c r="CQ19" i="29" s="1"/>
  <c r="CQ32" i="29" s="1"/>
  <c r="DC89" i="39"/>
  <c r="CZ15" i="40"/>
  <c r="DA15" i="40" s="1"/>
  <c r="FC15" i="40" s="1"/>
  <c r="DD22" i="39"/>
  <c r="DD89" i="39" s="1"/>
  <c r="CZ19" i="40"/>
  <c r="DA19" i="40" s="1"/>
  <c r="FC19" i="40" s="1"/>
  <c r="DC93" i="39"/>
  <c r="DD26" i="39"/>
  <c r="DD93" i="39" s="1"/>
  <c r="DF86" i="39"/>
  <c r="DF26" i="39"/>
  <c r="DF21" i="39"/>
  <c r="DF25" i="39"/>
  <c r="DF24" i="39"/>
  <c r="DG19" i="39"/>
  <c r="DF23" i="39"/>
  <c r="DF28" i="39"/>
  <c r="DF22" i="39"/>
  <c r="DF27" i="39"/>
  <c r="DF29" i="39"/>
  <c r="EE76" i="39"/>
  <c r="EA60" i="40"/>
  <c r="CZ16" i="40"/>
  <c r="DA16" i="40" s="1"/>
  <c r="FC16" i="40" s="1"/>
  <c r="DC90" i="39"/>
  <c r="DD23" i="39"/>
  <c r="DD90" i="39" s="1"/>
  <c r="CZ22" i="40"/>
  <c r="DA22" i="40" s="1"/>
  <c r="FC22" i="40" s="1"/>
  <c r="DC96" i="39"/>
  <c r="DD29" i="39"/>
  <c r="DD96" i="39" s="1"/>
  <c r="CZ18" i="40"/>
  <c r="DA18" i="40" s="1"/>
  <c r="FC18" i="40" s="1"/>
  <c r="DC92" i="39"/>
  <c r="DD25" i="39"/>
  <c r="DD92" i="39" s="1"/>
  <c r="DP41" i="39"/>
  <c r="DP108" i="39" s="1"/>
  <c r="DL34" i="40"/>
  <c r="DF39" i="39"/>
  <c r="DF106" i="39" s="1"/>
  <c r="CZ32" i="40"/>
  <c r="DA32" i="40" s="1"/>
  <c r="FC32" i="40" s="1"/>
  <c r="DD39" i="39"/>
  <c r="DD106" i="39" s="1"/>
  <c r="O11" i="5"/>
  <c r="C11" i="35"/>
  <c r="O13" i="5"/>
  <c r="O14" i="5"/>
  <c r="O12" i="5"/>
  <c r="O15" i="5"/>
  <c r="O16" i="5"/>
  <c r="A1" i="14"/>
  <c r="H11" i="37" l="1"/>
  <c r="G43" i="29"/>
  <c r="DC16" i="40"/>
  <c r="DF90" i="39"/>
  <c r="DC14" i="40"/>
  <c r="DF88" i="39"/>
  <c r="DN61" i="40"/>
  <c r="DO58" i="40"/>
  <c r="DH81" i="39"/>
  <c r="DH19" i="39"/>
  <c r="DI14" i="39"/>
  <c r="DR14" i="39"/>
  <c r="DR81" i="39" s="1"/>
  <c r="DF96" i="39"/>
  <c r="DC22" i="40"/>
  <c r="DF94" i="39"/>
  <c r="DC20" i="40"/>
  <c r="DG86" i="39"/>
  <c r="DG28" i="39"/>
  <c r="DG23" i="39"/>
  <c r="DG21" i="39"/>
  <c r="DG24" i="39"/>
  <c r="DG29" i="39"/>
  <c r="DG25" i="39"/>
  <c r="DG26" i="39"/>
  <c r="DG27" i="39"/>
  <c r="DG22" i="39"/>
  <c r="DC19" i="40"/>
  <c r="DF93" i="39"/>
  <c r="DQ58" i="40"/>
  <c r="DU74" i="39"/>
  <c r="DC21" i="40"/>
  <c r="DF95" i="39"/>
  <c r="DF92" i="39"/>
  <c r="DC18" i="40"/>
  <c r="EH76" i="39"/>
  <c r="EB60" i="40"/>
  <c r="EC60" i="40" s="1"/>
  <c r="FE60" i="40" s="1"/>
  <c r="EF76" i="39"/>
  <c r="DF89" i="39"/>
  <c r="DC15" i="40"/>
  <c r="DF91" i="39"/>
  <c r="DC17" i="40"/>
  <c r="DA14" i="40"/>
  <c r="CZ35" i="40"/>
  <c r="CZ63" i="40" s="1"/>
  <c r="CR19" i="29" s="1"/>
  <c r="DH16" i="39"/>
  <c r="DG83" i="39"/>
  <c r="CU14" i="29" s="1"/>
  <c r="CU16" i="29" s="1"/>
  <c r="DQ41" i="39"/>
  <c r="DQ108" i="39" s="1"/>
  <c r="DM34" i="40"/>
  <c r="DG39" i="39"/>
  <c r="DG106" i="39" s="1"/>
  <c r="DC32" i="40"/>
  <c r="G17" i="29"/>
  <c r="G36" i="29" s="1"/>
  <c r="H11" i="29" s="1"/>
  <c r="H17" i="29" s="1"/>
  <c r="H36" i="29" s="1"/>
  <c r="I11" i="29" s="1"/>
  <c r="I17" i="29" s="1"/>
  <c r="C10" i="3"/>
  <c r="D10" i="3"/>
  <c r="F10" i="3"/>
  <c r="G11" i="35" s="1"/>
  <c r="H10" i="3"/>
  <c r="I11" i="35" s="1"/>
  <c r="G10" i="3"/>
  <c r="H11" i="35" s="1"/>
  <c r="E10" i="3"/>
  <c r="F11" i="35" s="1"/>
  <c r="M21" i="8"/>
  <c r="P18" i="8"/>
  <c r="M20" i="8"/>
  <c r="A1" i="16"/>
  <c r="N21" i="5"/>
  <c r="N22" i="5" s="1"/>
  <c r="H17" i="37" l="1"/>
  <c r="M43" i="29"/>
  <c r="H16" i="37"/>
  <c r="L43" i="29"/>
  <c r="H14" i="37"/>
  <c r="J43" i="29"/>
  <c r="H15" i="37"/>
  <c r="K43" i="29"/>
  <c r="DD19" i="40"/>
  <c r="DG93" i="39"/>
  <c r="DG88" i="39"/>
  <c r="DD14" i="40"/>
  <c r="DH86" i="39"/>
  <c r="DI19" i="39"/>
  <c r="DH24" i="39"/>
  <c r="DH21" i="39"/>
  <c r="DH26" i="39"/>
  <c r="DH23" i="39"/>
  <c r="DH28" i="39"/>
  <c r="DH22" i="39"/>
  <c r="DH25" i="39"/>
  <c r="DH29" i="39"/>
  <c r="DH27" i="39"/>
  <c r="DG91" i="39"/>
  <c r="DD17" i="40"/>
  <c r="FC14" i="40"/>
  <c r="FC13" i="40" s="1"/>
  <c r="FC35" i="40" s="1"/>
  <c r="FC63" i="40" s="1"/>
  <c r="G15" i="9" s="1"/>
  <c r="DA35" i="40"/>
  <c r="EE60" i="40"/>
  <c r="EI76" i="39"/>
  <c r="DV74" i="39"/>
  <c r="DR58" i="40"/>
  <c r="DR61" i="40" s="1"/>
  <c r="DD18" i="40"/>
  <c r="DG92" i="39"/>
  <c r="DG90" i="39"/>
  <c r="DD16" i="40"/>
  <c r="DG94" i="39"/>
  <c r="DD20" i="40"/>
  <c r="DJ14" i="39"/>
  <c r="DI81" i="39"/>
  <c r="DI16" i="39"/>
  <c r="DH83" i="39"/>
  <c r="CV14" i="29" s="1"/>
  <c r="CV16" i="29" s="1"/>
  <c r="DQ61" i="40"/>
  <c r="DG89" i="39"/>
  <c r="DD15" i="40"/>
  <c r="DG96" i="39"/>
  <c r="DD22" i="40"/>
  <c r="DG95" i="39"/>
  <c r="DD21" i="40"/>
  <c r="FD58" i="40"/>
  <c r="FD61" i="40" s="1"/>
  <c r="DO61" i="40"/>
  <c r="DC35" i="40"/>
  <c r="DC63" i="40" s="1"/>
  <c r="CT19" i="29" s="1"/>
  <c r="CT32" i="29" s="1"/>
  <c r="DN34" i="40"/>
  <c r="DO34" i="40" s="1"/>
  <c r="FD34" i="40" s="1"/>
  <c r="DT41" i="39"/>
  <c r="DT108" i="39" s="1"/>
  <c r="DR41" i="39"/>
  <c r="DR108" i="39" s="1"/>
  <c r="DH39" i="39"/>
  <c r="DH106" i="39" s="1"/>
  <c r="DD32" i="40"/>
  <c r="P20" i="8"/>
  <c r="H18" i="9"/>
  <c r="D11" i="35"/>
  <c r="E11" i="35"/>
  <c r="P21" i="8"/>
  <c r="H12" i="37" l="1"/>
  <c r="H43" i="29"/>
  <c r="H13" i="37"/>
  <c r="I43" i="29"/>
  <c r="DW74" i="39"/>
  <c r="DS58" i="40"/>
  <c r="DH94" i="39"/>
  <c r="DE20" i="40"/>
  <c r="DH91" i="39"/>
  <c r="DE17" i="40"/>
  <c r="DK14" i="39"/>
  <c r="DJ81" i="39"/>
  <c r="DH96" i="39"/>
  <c r="DE22" i="40"/>
  <c r="DH90" i="39"/>
  <c r="DE16" i="40"/>
  <c r="DI86" i="39"/>
  <c r="DI25" i="39"/>
  <c r="DI28" i="39"/>
  <c r="DI26" i="39"/>
  <c r="DI21" i="39"/>
  <c r="DI24" i="39"/>
  <c r="DJ19" i="39"/>
  <c r="DI27" i="39"/>
  <c r="DI29" i="39"/>
  <c r="DI22" i="39"/>
  <c r="DI23" i="39"/>
  <c r="DH95" i="39"/>
  <c r="DE21" i="40"/>
  <c r="EJ76" i="39"/>
  <c r="EF60" i="40"/>
  <c r="DH92" i="39"/>
  <c r="DE18" i="40"/>
  <c r="DH93" i="39"/>
  <c r="DE19" i="40"/>
  <c r="DJ16" i="39"/>
  <c r="DI83" i="39"/>
  <c r="CW14" i="29" s="1"/>
  <c r="CW16" i="29" s="1"/>
  <c r="J15" i="9"/>
  <c r="H11" i="3" s="1"/>
  <c r="DH89" i="39"/>
  <c r="DE15" i="40"/>
  <c r="DH88" i="39"/>
  <c r="DE14" i="40"/>
  <c r="DD35" i="40"/>
  <c r="DD63" i="40" s="1"/>
  <c r="CU19" i="29" s="1"/>
  <c r="CU32" i="29" s="1"/>
  <c r="DQ34" i="40"/>
  <c r="DU41" i="39"/>
  <c r="DU108" i="39" s="1"/>
  <c r="EH41" i="39"/>
  <c r="EH108" i="39" s="1"/>
  <c r="DI39" i="39"/>
  <c r="DI106" i="39" s="1"/>
  <c r="DE32" i="40"/>
  <c r="H20" i="9"/>
  <c r="P22" i="8"/>
  <c r="O22" i="8"/>
  <c r="N22" i="8"/>
  <c r="J22" i="8"/>
  <c r="L22" i="8"/>
  <c r="K22" i="8"/>
  <c r="M22" i="8"/>
  <c r="DI89" i="39" l="1"/>
  <c r="DF15" i="40"/>
  <c r="DI96" i="39"/>
  <c r="DF22" i="40"/>
  <c r="DI88" i="39"/>
  <c r="DF14" i="40"/>
  <c r="DS61" i="40"/>
  <c r="DI92" i="39"/>
  <c r="DF18" i="40"/>
  <c r="DE35" i="40"/>
  <c r="DE63" i="40" s="1"/>
  <c r="CV19" i="29" s="1"/>
  <c r="CV32" i="29" s="1"/>
  <c r="DI94" i="39"/>
  <c r="DF20" i="40"/>
  <c r="DI93" i="39"/>
  <c r="DF19" i="40"/>
  <c r="DL14" i="39"/>
  <c r="DK81" i="39"/>
  <c r="DX74" i="39"/>
  <c r="DT58" i="40"/>
  <c r="DT61" i="40" s="1"/>
  <c r="DI91" i="39"/>
  <c r="DF17" i="40"/>
  <c r="M15" i="9"/>
  <c r="DK16" i="39"/>
  <c r="DJ83" i="39"/>
  <c r="CX14" i="29" s="1"/>
  <c r="CX16" i="29" s="1"/>
  <c r="EK76" i="39"/>
  <c r="EG60" i="40"/>
  <c r="DI90" i="39"/>
  <c r="DF16" i="40"/>
  <c r="DJ86" i="39"/>
  <c r="DJ27" i="39"/>
  <c r="DJ28" i="39"/>
  <c r="DK19" i="39"/>
  <c r="DJ29" i="39"/>
  <c r="DJ24" i="39"/>
  <c r="DJ26" i="39"/>
  <c r="DJ25" i="39"/>
  <c r="DJ23" i="39"/>
  <c r="DJ22" i="39"/>
  <c r="DJ21" i="39"/>
  <c r="DI95" i="39"/>
  <c r="DF21" i="40"/>
  <c r="EE34" i="40"/>
  <c r="EI41" i="39"/>
  <c r="EI108" i="39" s="1"/>
  <c r="DV41" i="39"/>
  <c r="DV108" i="39" s="1"/>
  <c r="DR34" i="40"/>
  <c r="DJ39" i="39"/>
  <c r="DJ106" i="39" s="1"/>
  <c r="DF32" i="40"/>
  <c r="N10" i="9"/>
  <c r="B10" i="23"/>
  <c r="E10" i="23" s="1"/>
  <c r="H10" i="23" s="1"/>
  <c r="C12" i="3"/>
  <c r="C17" i="3" s="1"/>
  <c r="DJ93" i="39" l="1"/>
  <c r="DG19" i="40"/>
  <c r="DJ89" i="39"/>
  <c r="DG15" i="40"/>
  <c r="DJ91" i="39"/>
  <c r="DG17" i="40"/>
  <c r="DJ94" i="39"/>
  <c r="DG20" i="40"/>
  <c r="DL16" i="39"/>
  <c r="DK83" i="39"/>
  <c r="CY14" i="29" s="1"/>
  <c r="CY16" i="29" s="1"/>
  <c r="DM14" i="39"/>
  <c r="DL81" i="39"/>
  <c r="DJ90" i="39"/>
  <c r="DG16" i="40"/>
  <c r="DJ96" i="39"/>
  <c r="DG22" i="40"/>
  <c r="EL76" i="39"/>
  <c r="EH60" i="40"/>
  <c r="DF35" i="40"/>
  <c r="DF63" i="40" s="1"/>
  <c r="CW19" i="29" s="1"/>
  <c r="CW32" i="29" s="1"/>
  <c r="DJ88" i="39"/>
  <c r="DG14" i="40"/>
  <c r="DJ95" i="39"/>
  <c r="DG21" i="40"/>
  <c r="DJ92" i="39"/>
  <c r="DG18" i="40"/>
  <c r="DK86" i="39"/>
  <c r="DK24" i="39"/>
  <c r="DK26" i="39"/>
  <c r="DK21" i="39"/>
  <c r="DL19" i="39"/>
  <c r="DK22" i="39"/>
  <c r="DK27" i="39"/>
  <c r="DK29" i="39"/>
  <c r="DK28" i="39"/>
  <c r="DK23" i="39"/>
  <c r="DK25" i="39"/>
  <c r="DY74" i="39"/>
  <c r="DU58" i="40"/>
  <c r="DU61" i="40" s="1"/>
  <c r="DS34" i="40"/>
  <c r="DW41" i="39"/>
  <c r="DW108" i="39" s="1"/>
  <c r="EF34" i="40"/>
  <c r="EJ41" i="39"/>
  <c r="EJ108" i="39" s="1"/>
  <c r="DK39" i="39"/>
  <c r="DK106" i="39" s="1"/>
  <c r="DG32" i="40"/>
  <c r="D14" i="35"/>
  <c r="O10" i="9"/>
  <c r="N11" i="9"/>
  <c r="B11" i="23"/>
  <c r="D12" i="3"/>
  <c r="D17" i="3" s="1"/>
  <c r="J10" i="23"/>
  <c r="I10" i="23"/>
  <c r="AE31" i="29" l="1"/>
  <c r="AE32" i="29" s="1"/>
  <c r="DK95" i="39"/>
  <c r="DH21" i="40"/>
  <c r="DK96" i="39"/>
  <c r="DH22" i="40"/>
  <c r="DK88" i="39"/>
  <c r="DH14" i="40"/>
  <c r="DN14" i="39"/>
  <c r="DM81" i="39"/>
  <c r="DL86" i="39"/>
  <c r="DL22" i="39"/>
  <c r="DL21" i="39"/>
  <c r="DL28" i="39"/>
  <c r="DL29" i="39"/>
  <c r="DL26" i="39"/>
  <c r="DM19" i="39"/>
  <c r="DL24" i="39"/>
  <c r="DL25" i="39"/>
  <c r="DL23" i="39"/>
  <c r="DL27" i="39"/>
  <c r="DK92" i="39"/>
  <c r="DH18" i="40"/>
  <c r="DK94" i="39"/>
  <c r="DH20" i="40"/>
  <c r="DK93" i="39"/>
  <c r="DH19" i="40"/>
  <c r="DZ74" i="39"/>
  <c r="DV58" i="40"/>
  <c r="DK90" i="39"/>
  <c r="DH16" i="40"/>
  <c r="DK89" i="39"/>
  <c r="DH15" i="40"/>
  <c r="DK91" i="39"/>
  <c r="DH17" i="40"/>
  <c r="DG35" i="40"/>
  <c r="DG63" i="40" s="1"/>
  <c r="CX19" i="29" s="1"/>
  <c r="CX32" i="29" s="1"/>
  <c r="EM76" i="39"/>
  <c r="EI60" i="40"/>
  <c r="DM16" i="39"/>
  <c r="DL83" i="39"/>
  <c r="CZ14" i="29" s="1"/>
  <c r="CZ16" i="29" s="1"/>
  <c r="EK41" i="39"/>
  <c r="EK108" i="39" s="1"/>
  <c r="EG34" i="40"/>
  <c r="DX41" i="39"/>
  <c r="DX108" i="39" s="1"/>
  <c r="DT34" i="40"/>
  <c r="DL39" i="39"/>
  <c r="DL106" i="39" s="1"/>
  <c r="DH32" i="40"/>
  <c r="E14" i="35"/>
  <c r="D13" i="2"/>
  <c r="N12" i="9"/>
  <c r="B12" i="23"/>
  <c r="O11" i="9"/>
  <c r="K10" i="23"/>
  <c r="E11" i="23"/>
  <c r="H11" i="23" s="1"/>
  <c r="H45" i="29" l="1"/>
  <c r="DN16" i="39"/>
  <c r="DM83" i="39"/>
  <c r="DA14" i="29" s="1"/>
  <c r="DA16" i="29" s="1"/>
  <c r="DV61" i="40"/>
  <c r="DL90" i="39"/>
  <c r="DI16" i="40"/>
  <c r="DH35" i="40"/>
  <c r="DH63" i="40" s="1"/>
  <c r="CY19" i="29" s="1"/>
  <c r="CY32" i="29" s="1"/>
  <c r="EA74" i="39"/>
  <c r="DW58" i="40"/>
  <c r="DW61" i="40" s="1"/>
  <c r="DL92" i="39"/>
  <c r="DI18" i="40"/>
  <c r="DL96" i="39"/>
  <c r="DI22" i="40"/>
  <c r="DL89" i="39"/>
  <c r="DI15" i="40"/>
  <c r="EN76" i="39"/>
  <c r="EJ60" i="40"/>
  <c r="DL91" i="39"/>
  <c r="DI17" i="40"/>
  <c r="DL95" i="39"/>
  <c r="DI21" i="40"/>
  <c r="DL93" i="39"/>
  <c r="DI19" i="40"/>
  <c r="DL94" i="39"/>
  <c r="DI20" i="40"/>
  <c r="DM86" i="39"/>
  <c r="DM26" i="39"/>
  <c r="DN19" i="39"/>
  <c r="DM23" i="39"/>
  <c r="DM21" i="39"/>
  <c r="DM27" i="39"/>
  <c r="DM22" i="39"/>
  <c r="DM24" i="39"/>
  <c r="DM28" i="39"/>
  <c r="DM25" i="39"/>
  <c r="DM29" i="39"/>
  <c r="DL88" i="39"/>
  <c r="DI14" i="40"/>
  <c r="DN36" i="39"/>
  <c r="DN81" i="39"/>
  <c r="DO14" i="39"/>
  <c r="DY41" i="39"/>
  <c r="DY108" i="39" s="1"/>
  <c r="DU34" i="40"/>
  <c r="EL41" i="39"/>
  <c r="EL108" i="39" s="1"/>
  <c r="EH34" i="40"/>
  <c r="DM39" i="39"/>
  <c r="DM106" i="39" s="1"/>
  <c r="DI32" i="40"/>
  <c r="L12" i="37"/>
  <c r="N12" i="37" s="1"/>
  <c r="D16" i="35"/>
  <c r="H46" i="29" s="1"/>
  <c r="E12" i="3"/>
  <c r="E17" i="3" s="1"/>
  <c r="F14" i="35"/>
  <c r="O12" i="9"/>
  <c r="N13" i="9"/>
  <c r="B13" i="23"/>
  <c r="E13" i="23" s="1"/>
  <c r="J11" i="23"/>
  <c r="I11" i="23"/>
  <c r="E12" i="23"/>
  <c r="H12" i="23" s="1"/>
  <c r="D17" i="35" l="1"/>
  <c r="J12" i="37"/>
  <c r="DM92" i="39"/>
  <c r="DJ18" i="40"/>
  <c r="DM93" i="39"/>
  <c r="DJ19" i="40"/>
  <c r="DI35" i="40"/>
  <c r="DI63" i="40" s="1"/>
  <c r="CZ19" i="29" s="1"/>
  <c r="CZ32" i="29" s="1"/>
  <c r="DM95" i="39"/>
  <c r="DJ21" i="40"/>
  <c r="DM88" i="39"/>
  <c r="DJ14" i="40"/>
  <c r="EO76" i="39"/>
  <c r="EK60" i="40"/>
  <c r="DN103" i="39"/>
  <c r="DK29" i="40"/>
  <c r="DO29" i="40" s="1"/>
  <c r="FD29" i="40" s="1"/>
  <c r="FD27" i="40" s="1"/>
  <c r="DR36" i="39"/>
  <c r="DR103" i="39" s="1"/>
  <c r="DM94" i="39"/>
  <c r="DJ20" i="40"/>
  <c r="DP14" i="39"/>
  <c r="DO81" i="39"/>
  <c r="DM91" i="39"/>
  <c r="DJ17" i="40"/>
  <c r="DM90" i="39"/>
  <c r="DJ16" i="40"/>
  <c r="EB74" i="39"/>
  <c r="DX58" i="40"/>
  <c r="DX61" i="40" s="1"/>
  <c r="DO16" i="39"/>
  <c r="DN83" i="39"/>
  <c r="DB14" i="29" s="1"/>
  <c r="DB16" i="29" s="1"/>
  <c r="DM96" i="39"/>
  <c r="DJ22" i="40"/>
  <c r="DM89" i="39"/>
  <c r="DJ15" i="40"/>
  <c r="DN86" i="39"/>
  <c r="DN25" i="39"/>
  <c r="DN28" i="39"/>
  <c r="DN26" i="39"/>
  <c r="DN21" i="39"/>
  <c r="DN24" i="39"/>
  <c r="DO19" i="39"/>
  <c r="DN27" i="39"/>
  <c r="DN29" i="39"/>
  <c r="DN22" i="39"/>
  <c r="DN23" i="39"/>
  <c r="EM41" i="39"/>
  <c r="EM108" i="39" s="1"/>
  <c r="EI34" i="40"/>
  <c r="DZ41" i="39"/>
  <c r="DZ108" i="39" s="1"/>
  <c r="DV34" i="40"/>
  <c r="DN39" i="39"/>
  <c r="DN106" i="39" s="1"/>
  <c r="DJ32" i="40"/>
  <c r="F12" i="3"/>
  <c r="F17" i="3" s="1"/>
  <c r="G14" i="35"/>
  <c r="D15" i="2"/>
  <c r="F13" i="2"/>
  <c r="H13" i="2" s="1"/>
  <c r="D19" i="3"/>
  <c r="D14" i="2"/>
  <c r="O13" i="9"/>
  <c r="N14" i="9"/>
  <c r="B14" i="23"/>
  <c r="E19" i="3"/>
  <c r="J13" i="23"/>
  <c r="I13" i="23"/>
  <c r="K11" i="23"/>
  <c r="I12" i="23"/>
  <c r="J12" i="23"/>
  <c r="H13" i="23"/>
  <c r="D20" i="3" l="1"/>
  <c r="AR31" i="29" s="1"/>
  <c r="AR32" i="29" s="1"/>
  <c r="I45" i="29" s="1"/>
  <c r="E20" i="3"/>
  <c r="BE31" i="29" s="1"/>
  <c r="BE32" i="29" s="1"/>
  <c r="J45" i="29" s="1"/>
  <c r="DN96" i="39"/>
  <c r="DK22" i="40"/>
  <c r="DN94" i="39"/>
  <c r="DK20" i="40"/>
  <c r="DN93" i="39"/>
  <c r="DK19" i="40"/>
  <c r="EP76" i="39"/>
  <c r="EL60" i="40"/>
  <c r="DN88" i="39"/>
  <c r="DK14" i="40"/>
  <c r="DN90" i="39"/>
  <c r="DK16" i="40"/>
  <c r="DO86" i="39"/>
  <c r="DO28" i="39"/>
  <c r="DO23" i="39"/>
  <c r="DO29" i="39"/>
  <c r="DO24" i="39"/>
  <c r="DO26" i="39"/>
  <c r="DO25" i="39"/>
  <c r="DO22" i="39"/>
  <c r="DP19" i="39"/>
  <c r="DO21" i="39"/>
  <c r="DO27" i="39"/>
  <c r="DN95" i="39"/>
  <c r="DK21" i="40"/>
  <c r="DP16" i="39"/>
  <c r="DO83" i="39"/>
  <c r="DC14" i="29" s="1"/>
  <c r="DC16" i="29" s="1"/>
  <c r="DQ14" i="39"/>
  <c r="DP81" i="39"/>
  <c r="EC74" i="39"/>
  <c r="DY58" i="40"/>
  <c r="DN89" i="39"/>
  <c r="DK15" i="40"/>
  <c r="DN91" i="39"/>
  <c r="DK17" i="40"/>
  <c r="DN92" i="39"/>
  <c r="DK18" i="40"/>
  <c r="DJ35" i="40"/>
  <c r="DJ63" i="40" s="1"/>
  <c r="DA19" i="29" s="1"/>
  <c r="DA32" i="29" s="1"/>
  <c r="EA41" i="39"/>
  <c r="EA108" i="39" s="1"/>
  <c r="DW34" i="40"/>
  <c r="EN41" i="39"/>
  <c r="EN108" i="39" s="1"/>
  <c r="EJ34" i="40"/>
  <c r="DO39" i="39"/>
  <c r="DO106" i="39" s="1"/>
  <c r="DK32" i="40"/>
  <c r="D19" i="36"/>
  <c r="G12" i="3"/>
  <c r="G17" i="3" s="1"/>
  <c r="H14" i="35"/>
  <c r="J13" i="2"/>
  <c r="D16" i="2"/>
  <c r="N15" i="9"/>
  <c r="B15" i="23"/>
  <c r="K13" i="23"/>
  <c r="F19" i="3"/>
  <c r="O14" i="9"/>
  <c r="K12" i="23"/>
  <c r="E14" i="23"/>
  <c r="H14" i="23" s="1"/>
  <c r="F16" i="35" l="1"/>
  <c r="J46" i="29" s="1"/>
  <c r="F20" i="3"/>
  <c r="BR31" i="29" s="1"/>
  <c r="BR32" i="29" s="1"/>
  <c r="K45" i="29" s="1"/>
  <c r="AE33" i="29"/>
  <c r="AE36" i="29" s="1"/>
  <c r="D28" i="35"/>
  <c r="D29" i="35" s="1"/>
  <c r="R12" i="37"/>
  <c r="DO89" i="39"/>
  <c r="DL15" i="40"/>
  <c r="DY61" i="40"/>
  <c r="DO94" i="39"/>
  <c r="DL20" i="40"/>
  <c r="DO92" i="39"/>
  <c r="DL18" i="40"/>
  <c r="DO90" i="39"/>
  <c r="DL16" i="40"/>
  <c r="EQ76" i="39"/>
  <c r="EM60" i="40"/>
  <c r="DT14" i="39"/>
  <c r="DQ81" i="39"/>
  <c r="DO96" i="39"/>
  <c r="DL22" i="40"/>
  <c r="ED74" i="39"/>
  <c r="DZ58" i="40"/>
  <c r="DZ61" i="40" s="1"/>
  <c r="DQ16" i="39"/>
  <c r="DP83" i="39"/>
  <c r="DD14" i="29" s="1"/>
  <c r="DD16" i="29" s="1"/>
  <c r="DO88" i="39"/>
  <c r="DL14" i="40"/>
  <c r="DO93" i="39"/>
  <c r="DL19" i="40"/>
  <c r="DO95" i="39"/>
  <c r="DL21" i="40"/>
  <c r="DK35" i="40"/>
  <c r="DK63" i="40" s="1"/>
  <c r="DB19" i="29" s="1"/>
  <c r="DB32" i="29" s="1"/>
  <c r="DP86" i="39"/>
  <c r="DP27" i="39"/>
  <c r="DP28" i="39"/>
  <c r="DP25" i="39"/>
  <c r="DP21" i="39"/>
  <c r="DP29" i="39"/>
  <c r="DQ19" i="39"/>
  <c r="DP22" i="39"/>
  <c r="DP26" i="39"/>
  <c r="DP24" i="39"/>
  <c r="DP23" i="39"/>
  <c r="DO91" i="39"/>
  <c r="DL17" i="40"/>
  <c r="EO41" i="39"/>
  <c r="EO108" i="39" s="1"/>
  <c r="EK34" i="40"/>
  <c r="EB41" i="39"/>
  <c r="EB108" i="39" s="1"/>
  <c r="DX34" i="40"/>
  <c r="DP39" i="39"/>
  <c r="DP106" i="39" s="1"/>
  <c r="DL32" i="40"/>
  <c r="E16" i="35"/>
  <c r="I46" i="29" s="1"/>
  <c r="D20" i="36"/>
  <c r="D21" i="36" s="1"/>
  <c r="D17" i="2"/>
  <c r="H12" i="3"/>
  <c r="H17" i="3" s="1"/>
  <c r="I14" i="35"/>
  <c r="R13" i="2"/>
  <c r="N13" i="2"/>
  <c r="U13" i="2"/>
  <c r="AA13" i="2"/>
  <c r="F14" i="2"/>
  <c r="F15" i="2"/>
  <c r="H15" i="2" s="1"/>
  <c r="D21" i="3"/>
  <c r="L13" i="37" s="1"/>
  <c r="E21" i="3"/>
  <c r="L14" i="37" s="1"/>
  <c r="N14" i="37" s="1"/>
  <c r="O15" i="9"/>
  <c r="E15" i="23"/>
  <c r="H15" i="23" s="1"/>
  <c r="J14" i="23"/>
  <c r="I14" i="23"/>
  <c r="H14" i="2" l="1"/>
  <c r="U14" i="2" s="1"/>
  <c r="F17" i="35"/>
  <c r="G16" i="35"/>
  <c r="K46" i="29" s="1"/>
  <c r="J14" i="37"/>
  <c r="G20" i="3"/>
  <c r="CE31" i="29" s="1"/>
  <c r="CE32" i="29" s="1"/>
  <c r="L45" i="29" s="1"/>
  <c r="E17" i="35"/>
  <c r="J13" i="37"/>
  <c r="DP88" i="39"/>
  <c r="DM14" i="40"/>
  <c r="DP89" i="39"/>
  <c r="DM15" i="40"/>
  <c r="DP92" i="39"/>
  <c r="DM18" i="40"/>
  <c r="DT16" i="39"/>
  <c r="DQ83" i="39"/>
  <c r="DE14" i="29" s="1"/>
  <c r="DE16" i="29" s="1"/>
  <c r="N42" i="29" s="1"/>
  <c r="DR16" i="39"/>
  <c r="DR83" i="39" s="1"/>
  <c r="J17" i="5" s="1"/>
  <c r="M17" i="5" s="1"/>
  <c r="O17" i="5" s="1"/>
  <c r="I10" i="3" s="1"/>
  <c r="ER76" i="39"/>
  <c r="EN60" i="40"/>
  <c r="DQ86" i="39"/>
  <c r="DQ28" i="39"/>
  <c r="DQ27" i="39"/>
  <c r="DQ29" i="39"/>
  <c r="DQ24" i="39"/>
  <c r="DQ23" i="39"/>
  <c r="DQ26" i="39"/>
  <c r="DQ22" i="39"/>
  <c r="DT19" i="39"/>
  <c r="DQ21" i="39"/>
  <c r="DQ25" i="39"/>
  <c r="DR19" i="39"/>
  <c r="DR86" i="39" s="1"/>
  <c r="DP95" i="39"/>
  <c r="DM21" i="40"/>
  <c r="DL35" i="40"/>
  <c r="DL63" i="40" s="1"/>
  <c r="DC19" i="29" s="1"/>
  <c r="DC32" i="29" s="1"/>
  <c r="DP93" i="39"/>
  <c r="DM19" i="40"/>
  <c r="DP90" i="39"/>
  <c r="DM16" i="40"/>
  <c r="DP91" i="39"/>
  <c r="DM17" i="40"/>
  <c r="DP96" i="39"/>
  <c r="DM22" i="40"/>
  <c r="DP94" i="39"/>
  <c r="DM20" i="40"/>
  <c r="EE74" i="39"/>
  <c r="EA58" i="40"/>
  <c r="EA61" i="40" s="1"/>
  <c r="DU14" i="39"/>
  <c r="DT81" i="39"/>
  <c r="EC41" i="39"/>
  <c r="EC108" i="39" s="1"/>
  <c r="DY34" i="40"/>
  <c r="EP41" i="39"/>
  <c r="EP108" i="39" s="1"/>
  <c r="EL34" i="40"/>
  <c r="DQ39" i="39"/>
  <c r="DQ106" i="39" s="1"/>
  <c r="DM32" i="40"/>
  <c r="N13" i="37"/>
  <c r="F19" i="36"/>
  <c r="H19" i="3"/>
  <c r="D31" i="35"/>
  <c r="J15" i="2"/>
  <c r="R15" i="2" s="1"/>
  <c r="S12" i="37"/>
  <c r="T12" i="37" s="1"/>
  <c r="D18" i="2"/>
  <c r="E19" i="36"/>
  <c r="U15" i="2"/>
  <c r="F16" i="2"/>
  <c r="AA15" i="2"/>
  <c r="F21" i="3"/>
  <c r="K14" i="23"/>
  <c r="I15" i="23"/>
  <c r="J15" i="23"/>
  <c r="G21" i="3" l="1"/>
  <c r="L16" i="37" s="1"/>
  <c r="N16" i="37" s="1"/>
  <c r="AA14" i="2"/>
  <c r="H16" i="2"/>
  <c r="J16" i="2" s="1"/>
  <c r="J14" i="2"/>
  <c r="N14" i="2" s="1"/>
  <c r="G17" i="35"/>
  <c r="J11" i="35"/>
  <c r="J15" i="37"/>
  <c r="H20" i="3"/>
  <c r="CR31" i="29" s="1"/>
  <c r="CR32" i="29" s="1"/>
  <c r="M45" i="29" s="1"/>
  <c r="AR33" i="29"/>
  <c r="E28" i="35"/>
  <c r="E29" i="35" s="1"/>
  <c r="E31" i="35" s="1"/>
  <c r="BE33" i="29"/>
  <c r="F28" i="35"/>
  <c r="F29" i="35" s="1"/>
  <c r="F31" i="35" s="1"/>
  <c r="R14" i="37"/>
  <c r="R13" i="37"/>
  <c r="S13" i="37" s="1"/>
  <c r="DU81" i="39"/>
  <c r="DU35" i="39"/>
  <c r="DU33" i="39"/>
  <c r="DU38" i="39"/>
  <c r="DV14" i="39"/>
  <c r="DU37" i="39"/>
  <c r="DQ89" i="39"/>
  <c r="DN15" i="40"/>
  <c r="DO15" i="40" s="1"/>
  <c r="FD15" i="40" s="1"/>
  <c r="DR22" i="39"/>
  <c r="DR89" i="39" s="1"/>
  <c r="DQ96" i="39"/>
  <c r="DN22" i="40"/>
  <c r="DO22" i="40" s="1"/>
  <c r="FD22" i="40" s="1"/>
  <c r="DR29" i="39"/>
  <c r="DR96" i="39" s="1"/>
  <c r="DU16" i="39"/>
  <c r="DT83" i="39"/>
  <c r="DG14" i="29" s="1"/>
  <c r="DG16" i="29" s="1"/>
  <c r="DT86" i="39"/>
  <c r="DT27" i="39"/>
  <c r="DT22" i="39"/>
  <c r="DT21" i="39"/>
  <c r="DT28" i="39"/>
  <c r="DU19" i="39"/>
  <c r="DT26" i="39"/>
  <c r="DT24" i="39"/>
  <c r="DT23" i="39"/>
  <c r="DT25" i="39"/>
  <c r="DT29" i="39"/>
  <c r="DQ92" i="39"/>
  <c r="DN18" i="40"/>
  <c r="DO18" i="40" s="1"/>
  <c r="FD18" i="40" s="1"/>
  <c r="DR25" i="39"/>
  <c r="DR92" i="39" s="1"/>
  <c r="DN19" i="40"/>
  <c r="DO19" i="40" s="1"/>
  <c r="FD19" i="40" s="1"/>
  <c r="DQ93" i="39"/>
  <c r="DR26" i="39"/>
  <c r="DR93" i="39" s="1"/>
  <c r="DQ94" i="39"/>
  <c r="DN20" i="40"/>
  <c r="DO20" i="40" s="1"/>
  <c r="FD20" i="40" s="1"/>
  <c r="DR27" i="39"/>
  <c r="DR94" i="39" s="1"/>
  <c r="ES76" i="39"/>
  <c r="EO60" i="40"/>
  <c r="DM35" i="40"/>
  <c r="DM63" i="40" s="1"/>
  <c r="DD19" i="29" s="1"/>
  <c r="DD32" i="29" s="1"/>
  <c r="DQ91" i="39"/>
  <c r="DN17" i="40"/>
  <c r="DO17" i="40" s="1"/>
  <c r="FD17" i="40" s="1"/>
  <c r="DR24" i="39"/>
  <c r="DR91" i="39" s="1"/>
  <c r="EH74" i="39"/>
  <c r="EB58" i="40"/>
  <c r="EF74" i="39"/>
  <c r="DN14" i="40"/>
  <c r="DQ88" i="39"/>
  <c r="DR21" i="39"/>
  <c r="DR88" i="39" s="1"/>
  <c r="DQ90" i="39"/>
  <c r="DN16" i="40"/>
  <c r="DO16" i="40" s="1"/>
  <c r="FD16" i="40" s="1"/>
  <c r="DR23" i="39"/>
  <c r="DR90" i="39" s="1"/>
  <c r="DQ95" i="39"/>
  <c r="DN21" i="40"/>
  <c r="DO21" i="40" s="1"/>
  <c r="FD21" i="40" s="1"/>
  <c r="DR28" i="39"/>
  <c r="DR95" i="39" s="1"/>
  <c r="EQ41" i="39"/>
  <c r="EQ108" i="39" s="1"/>
  <c r="EM34" i="40"/>
  <c r="ED41" i="39"/>
  <c r="ED108" i="39" s="1"/>
  <c r="DZ34" i="40"/>
  <c r="DT39" i="39"/>
  <c r="DT106" i="39" s="1"/>
  <c r="DN32" i="40"/>
  <c r="DO32" i="40" s="1"/>
  <c r="FD32" i="40" s="1"/>
  <c r="DR39" i="39"/>
  <c r="DR106" i="39" s="1"/>
  <c r="L15" i="37"/>
  <c r="N15" i="37" s="1"/>
  <c r="E20" i="36"/>
  <c r="E21" i="36" s="1"/>
  <c r="F17" i="2"/>
  <c r="H16" i="35"/>
  <c r="L46" i="29" s="1"/>
  <c r="N15" i="2"/>
  <c r="F20" i="36"/>
  <c r="F21" i="36" s="1"/>
  <c r="G19" i="36"/>
  <c r="H19" i="36"/>
  <c r="U16" i="2"/>
  <c r="H21" i="3"/>
  <c r="K15" i="23"/>
  <c r="H17" i="2" l="1"/>
  <c r="AA17" i="2" s="1"/>
  <c r="R14" i="2"/>
  <c r="AA16" i="2"/>
  <c r="N16" i="2"/>
  <c r="R16" i="2"/>
  <c r="I16" i="35"/>
  <c r="M46" i="29" s="1"/>
  <c r="N43" i="29"/>
  <c r="H18" i="37"/>
  <c r="F18" i="2"/>
  <c r="J18" i="2" s="1"/>
  <c r="CE33" i="29"/>
  <c r="H28" i="35"/>
  <c r="H29" i="35" s="1"/>
  <c r="BR33" i="29"/>
  <c r="G28" i="35"/>
  <c r="G29" i="35" s="1"/>
  <c r="G31" i="35" s="1"/>
  <c r="R16" i="37"/>
  <c r="S16" i="37" s="1"/>
  <c r="R15" i="37"/>
  <c r="S15" i="37" s="1"/>
  <c r="T15" i="37" s="1"/>
  <c r="I17" i="35"/>
  <c r="J17" i="37"/>
  <c r="H17" i="35"/>
  <c r="J16" i="37"/>
  <c r="DQ21" i="40"/>
  <c r="DT95" i="39"/>
  <c r="DR31" i="40"/>
  <c r="EC31" i="40" s="1"/>
  <c r="FE31" i="40" s="1"/>
  <c r="DU105" i="39"/>
  <c r="EF38" i="39"/>
  <c r="EF105" i="39" s="1"/>
  <c r="EE58" i="40"/>
  <c r="EI74" i="39"/>
  <c r="DT91" i="39"/>
  <c r="DQ17" i="40"/>
  <c r="DQ14" i="40"/>
  <c r="DT88" i="39"/>
  <c r="DR26" i="40"/>
  <c r="EC26" i="40" s="1"/>
  <c r="FE26" i="40" s="1"/>
  <c r="FE23" i="40" s="1"/>
  <c r="DU100" i="39"/>
  <c r="EF33" i="39"/>
  <c r="EF100" i="39" s="1"/>
  <c r="EB61" i="40"/>
  <c r="EC58" i="40"/>
  <c r="DT90" i="39"/>
  <c r="DQ16" i="40"/>
  <c r="DN35" i="40"/>
  <c r="DN63" i="40" s="1"/>
  <c r="DE19" i="29" s="1"/>
  <c r="DO14" i="40"/>
  <c r="DT96" i="39"/>
  <c r="DQ22" i="40"/>
  <c r="DT93" i="39"/>
  <c r="DQ19" i="40"/>
  <c r="DQ15" i="40"/>
  <c r="DT89" i="39"/>
  <c r="DR30" i="40"/>
  <c r="EC30" i="40" s="1"/>
  <c r="FE30" i="40" s="1"/>
  <c r="DU104" i="39"/>
  <c r="EF37" i="39"/>
  <c r="EF104" i="39" s="1"/>
  <c r="DR28" i="40"/>
  <c r="EC28" i="40" s="1"/>
  <c r="FE28" i="40" s="1"/>
  <c r="FE27" i="40" s="1"/>
  <c r="DU102" i="39"/>
  <c r="EF35" i="39"/>
  <c r="EF102" i="39" s="1"/>
  <c r="EP60" i="40"/>
  <c r="EQ60" i="40" s="1"/>
  <c r="FF60" i="40" s="1"/>
  <c r="ET76" i="39"/>
  <c r="DT92" i="39"/>
  <c r="DQ18" i="40"/>
  <c r="DU86" i="39"/>
  <c r="DU22" i="39"/>
  <c r="DU27" i="39"/>
  <c r="DU25" i="39"/>
  <c r="DU28" i="39"/>
  <c r="DU29" i="39"/>
  <c r="DU23" i="39"/>
  <c r="DU26" i="39"/>
  <c r="DU24" i="39"/>
  <c r="DU21" i="39"/>
  <c r="DT94" i="39"/>
  <c r="DQ20" i="40"/>
  <c r="DV16" i="39"/>
  <c r="DU83" i="39"/>
  <c r="DH14" i="29" s="1"/>
  <c r="DH16" i="29" s="1"/>
  <c r="DV81" i="39"/>
  <c r="DW14" i="39"/>
  <c r="DV19" i="39"/>
  <c r="EF14" i="39"/>
  <c r="EF81" i="39" s="1"/>
  <c r="EE41" i="39"/>
  <c r="EE108" i="39" s="1"/>
  <c r="EA34" i="40"/>
  <c r="ER41" i="39"/>
  <c r="ER108" i="39" s="1"/>
  <c r="EN34" i="40"/>
  <c r="DU39" i="39"/>
  <c r="DU106" i="39" s="1"/>
  <c r="DQ32" i="40"/>
  <c r="L17" i="37"/>
  <c r="N17" i="37" s="1"/>
  <c r="U17" i="2"/>
  <c r="J17" i="2"/>
  <c r="N17" i="2" s="1"/>
  <c r="G20" i="36"/>
  <c r="G21" i="36" s="1"/>
  <c r="H20" i="36"/>
  <c r="H21" i="36" s="1"/>
  <c r="T13" i="37"/>
  <c r="I19" i="36"/>
  <c r="S14" i="37"/>
  <c r="T14" i="37" s="1"/>
  <c r="U18" i="2"/>
  <c r="R18" i="2"/>
  <c r="N18" i="2"/>
  <c r="AA18" i="2" l="1"/>
  <c r="CR33" i="29"/>
  <c r="I28" i="35"/>
  <c r="I29" i="35" s="1"/>
  <c r="I31" i="35" s="1"/>
  <c r="H31" i="35"/>
  <c r="R17" i="37"/>
  <c r="S17" i="37" s="1"/>
  <c r="T17" i="37" s="1"/>
  <c r="DW16" i="39"/>
  <c r="DV83" i="39"/>
  <c r="DI14" i="29" s="1"/>
  <c r="DI16" i="29" s="1"/>
  <c r="DU88" i="39"/>
  <c r="DR14" i="40"/>
  <c r="DU89" i="39"/>
  <c r="DR15" i="40"/>
  <c r="EE61" i="40"/>
  <c r="DX14" i="39"/>
  <c r="DW81" i="39"/>
  <c r="DU91" i="39"/>
  <c r="DR17" i="40"/>
  <c r="DR21" i="40"/>
  <c r="DU95" i="39"/>
  <c r="DU93" i="39"/>
  <c r="DR19" i="40"/>
  <c r="DU92" i="39"/>
  <c r="DR18" i="40"/>
  <c r="FD14" i="40"/>
  <c r="FD13" i="40" s="1"/>
  <c r="FD35" i="40" s="1"/>
  <c r="FD63" i="40" s="1"/>
  <c r="G16" i="9" s="1"/>
  <c r="DO35" i="40"/>
  <c r="DQ35" i="40"/>
  <c r="DQ63" i="40" s="1"/>
  <c r="DG19" i="29" s="1"/>
  <c r="DG32" i="29" s="1"/>
  <c r="DV86" i="39"/>
  <c r="DV23" i="39"/>
  <c r="DV26" i="39"/>
  <c r="DV24" i="39"/>
  <c r="DV28" i="39"/>
  <c r="DV25" i="39"/>
  <c r="DV29" i="39"/>
  <c r="DV27" i="39"/>
  <c r="DW19" i="39"/>
  <c r="DV22" i="39"/>
  <c r="DV21" i="39"/>
  <c r="DR22" i="40"/>
  <c r="DU96" i="39"/>
  <c r="DR16" i="40"/>
  <c r="DU90" i="39"/>
  <c r="DU94" i="39"/>
  <c r="DR20" i="40"/>
  <c r="FE58" i="40"/>
  <c r="FE61" i="40" s="1"/>
  <c r="EC61" i="40"/>
  <c r="EJ74" i="39"/>
  <c r="EF58" i="40"/>
  <c r="EF61" i="40" s="1"/>
  <c r="ES41" i="39"/>
  <c r="ES108" i="39" s="1"/>
  <c r="EO34" i="40"/>
  <c r="EB34" i="40"/>
  <c r="EC34" i="40" s="1"/>
  <c r="FE34" i="40" s="1"/>
  <c r="EF41" i="39"/>
  <c r="EF108" i="39" s="1"/>
  <c r="DV39" i="39"/>
  <c r="DV106" i="39" s="1"/>
  <c r="DR32" i="40"/>
  <c r="R17" i="2"/>
  <c r="I20" i="36"/>
  <c r="I21" i="36" s="1"/>
  <c r="T16" i="37"/>
  <c r="DW86" i="39" l="1"/>
  <c r="DW26" i="39"/>
  <c r="DW25" i="39"/>
  <c r="DW27" i="39"/>
  <c r="DW22" i="39"/>
  <c r="DW21" i="39"/>
  <c r="DW23" i="39"/>
  <c r="DW24" i="39"/>
  <c r="DW28" i="39"/>
  <c r="DX19" i="39"/>
  <c r="DW29" i="39"/>
  <c r="DV94" i="39"/>
  <c r="DS20" i="40"/>
  <c r="DV91" i="39"/>
  <c r="DS17" i="40"/>
  <c r="DR35" i="40"/>
  <c r="DR63" i="40" s="1"/>
  <c r="DH19" i="29" s="1"/>
  <c r="DH32" i="29" s="1"/>
  <c r="DX16" i="39"/>
  <c r="DW83" i="39"/>
  <c r="DJ14" i="29" s="1"/>
  <c r="DJ16" i="29" s="1"/>
  <c r="EK74" i="39"/>
  <c r="EG58" i="40"/>
  <c r="EG61" i="40" s="1"/>
  <c r="DV88" i="39"/>
  <c r="DS14" i="40"/>
  <c r="DV96" i="39"/>
  <c r="DS22" i="40"/>
  <c r="DV93" i="39"/>
  <c r="DS19" i="40"/>
  <c r="DV95" i="39"/>
  <c r="DS21" i="40"/>
  <c r="DY14" i="39"/>
  <c r="DX81" i="39"/>
  <c r="DV89" i="39"/>
  <c r="DS15" i="40"/>
  <c r="DV92" i="39"/>
  <c r="DS18" i="40"/>
  <c r="DV90" i="39"/>
  <c r="DS16" i="40"/>
  <c r="J16" i="9"/>
  <c r="M16" i="9" s="1"/>
  <c r="EP34" i="40"/>
  <c r="EQ34" i="40" s="1"/>
  <c r="FF34" i="40" s="1"/>
  <c r="ET41" i="39"/>
  <c r="ET108" i="39" s="1"/>
  <c r="DW39" i="39"/>
  <c r="DW106" i="39" s="1"/>
  <c r="DS32" i="40"/>
  <c r="DX86" i="39" l="1"/>
  <c r="DX28" i="39"/>
  <c r="DX21" i="39"/>
  <c r="DX29" i="39"/>
  <c r="DX24" i="39"/>
  <c r="DY19" i="39"/>
  <c r="DX25" i="39"/>
  <c r="DX27" i="39"/>
  <c r="DX26" i="39"/>
  <c r="DX23" i="39"/>
  <c r="DX22" i="39"/>
  <c r="DW95" i="39"/>
  <c r="DT21" i="40"/>
  <c r="DW89" i="39"/>
  <c r="DT15" i="40"/>
  <c r="DW93" i="39"/>
  <c r="DT19" i="40"/>
  <c r="EL74" i="39"/>
  <c r="EH58" i="40"/>
  <c r="DW91" i="39"/>
  <c r="DT17" i="40"/>
  <c r="DW94" i="39"/>
  <c r="DT20" i="40"/>
  <c r="DZ14" i="39"/>
  <c r="DY81" i="39"/>
  <c r="DY16" i="39"/>
  <c r="DX83" i="39"/>
  <c r="DK14" i="29" s="1"/>
  <c r="DK16" i="29" s="1"/>
  <c r="DW88" i="39"/>
  <c r="DT14" i="40"/>
  <c r="I11" i="3"/>
  <c r="B16" i="23"/>
  <c r="E16" i="23" s="1"/>
  <c r="N16" i="9"/>
  <c r="O16" i="9" s="1"/>
  <c r="DS35" i="40"/>
  <c r="DS63" i="40" s="1"/>
  <c r="DI19" i="29" s="1"/>
  <c r="DI32" i="29" s="1"/>
  <c r="DW96" i="39"/>
  <c r="DT22" i="40"/>
  <c r="DW90" i="39"/>
  <c r="DT16" i="40"/>
  <c r="DW92" i="39"/>
  <c r="DT18" i="40"/>
  <c r="DX39" i="39"/>
  <c r="DX106" i="39" s="1"/>
  <c r="DT32" i="40"/>
  <c r="J14" i="35" l="1"/>
  <c r="I12" i="3"/>
  <c r="I17" i="3" s="1"/>
  <c r="DX95" i="39"/>
  <c r="DU21" i="40"/>
  <c r="DT35" i="40"/>
  <c r="DT63" i="40" s="1"/>
  <c r="DJ19" i="29" s="1"/>
  <c r="DJ32" i="29" s="1"/>
  <c r="DX93" i="39"/>
  <c r="DU19" i="40"/>
  <c r="DX91" i="39"/>
  <c r="DU17" i="40"/>
  <c r="DZ16" i="39"/>
  <c r="DY83" i="39"/>
  <c r="DL14" i="29" s="1"/>
  <c r="DL16" i="29" s="1"/>
  <c r="DX90" i="39"/>
  <c r="DU16" i="40"/>
  <c r="DY86" i="39"/>
  <c r="DY26" i="39"/>
  <c r="DY21" i="39"/>
  <c r="DY27" i="39"/>
  <c r="DY22" i="39"/>
  <c r="DY28" i="39"/>
  <c r="DY23" i="39"/>
  <c r="DY29" i="39"/>
  <c r="DY24" i="39"/>
  <c r="DY25" i="39"/>
  <c r="DZ19" i="39"/>
  <c r="EA14" i="39"/>
  <c r="DZ81" i="39"/>
  <c r="EH61" i="40"/>
  <c r="DX94" i="39"/>
  <c r="DU20" i="40"/>
  <c r="DX96" i="39"/>
  <c r="DU22" i="40"/>
  <c r="H16" i="23"/>
  <c r="I16" i="23"/>
  <c r="J16" i="23"/>
  <c r="EM74" i="39"/>
  <c r="EI58" i="40"/>
  <c r="EI61" i="40" s="1"/>
  <c r="DX89" i="39"/>
  <c r="DU15" i="40"/>
  <c r="DX92" i="39"/>
  <c r="DU18" i="40"/>
  <c r="DX88" i="39"/>
  <c r="DU14" i="40"/>
  <c r="DY39" i="39"/>
  <c r="DY106" i="39" s="1"/>
  <c r="DU32" i="40"/>
  <c r="K16" i="23" l="1"/>
  <c r="DU35" i="40"/>
  <c r="DU63" i="40" s="1"/>
  <c r="DK19" i="29" s="1"/>
  <c r="DK32" i="29" s="1"/>
  <c r="DY96" i="39"/>
  <c r="DV22" i="40"/>
  <c r="DZ86" i="39"/>
  <c r="DZ26" i="39"/>
  <c r="DZ23" i="39"/>
  <c r="DZ25" i="39"/>
  <c r="DZ29" i="39"/>
  <c r="DZ22" i="39"/>
  <c r="EA19" i="39"/>
  <c r="DZ28" i="39"/>
  <c r="DZ24" i="39"/>
  <c r="DZ21" i="39"/>
  <c r="DZ27" i="39"/>
  <c r="DY90" i="39"/>
  <c r="DV16" i="40"/>
  <c r="DY88" i="39"/>
  <c r="DV14" i="40"/>
  <c r="I19" i="3"/>
  <c r="I20" i="3" s="1"/>
  <c r="D19" i="2"/>
  <c r="EN74" i="39"/>
  <c r="EJ58" i="40"/>
  <c r="EJ61" i="40" s="1"/>
  <c r="EB14" i="39"/>
  <c r="EA81" i="39"/>
  <c r="DY94" i="39"/>
  <c r="DV20" i="40"/>
  <c r="EA16" i="39"/>
  <c r="DZ83" i="39"/>
  <c r="DM14" i="29" s="1"/>
  <c r="DM16" i="29" s="1"/>
  <c r="DY92" i="39"/>
  <c r="DV18" i="40"/>
  <c r="DY95" i="39"/>
  <c r="DV21" i="40"/>
  <c r="DY93" i="39"/>
  <c r="DV19" i="40"/>
  <c r="DY91" i="39"/>
  <c r="DV17" i="40"/>
  <c r="DY89" i="39"/>
  <c r="DV15" i="40"/>
  <c r="DZ39" i="39"/>
  <c r="DZ106" i="39" s="1"/>
  <c r="DV32" i="40"/>
  <c r="I36" i="29"/>
  <c r="J11" i="29" s="1"/>
  <c r="J17" i="29" s="1"/>
  <c r="I11" i="37"/>
  <c r="J9" i="9"/>
  <c r="B11" i="3" s="1"/>
  <c r="DE31" i="29" l="1"/>
  <c r="DE32" i="29" s="1"/>
  <c r="N45" i="29" s="1"/>
  <c r="DZ95" i="39"/>
  <c r="DW21" i="40"/>
  <c r="DV35" i="40"/>
  <c r="DV63" i="40" s="1"/>
  <c r="DL19" i="29" s="1"/>
  <c r="DL32" i="29" s="1"/>
  <c r="DZ94" i="39"/>
  <c r="DW20" i="40"/>
  <c r="EA86" i="39"/>
  <c r="EA23" i="39"/>
  <c r="EA29" i="39"/>
  <c r="EA21" i="39"/>
  <c r="EA28" i="39"/>
  <c r="EB19" i="39"/>
  <c r="EA25" i="39"/>
  <c r="EA24" i="39"/>
  <c r="EA26" i="39"/>
  <c r="EA27" i="39"/>
  <c r="EA22" i="39"/>
  <c r="DZ90" i="39"/>
  <c r="DW16" i="40"/>
  <c r="EC14" i="39"/>
  <c r="EB81" i="39"/>
  <c r="DZ92" i="39"/>
  <c r="DW18" i="40"/>
  <c r="EO74" i="39"/>
  <c r="EK58" i="40"/>
  <c r="DZ88" i="39"/>
  <c r="DW14" i="40"/>
  <c r="DZ89" i="39"/>
  <c r="DW15" i="40"/>
  <c r="DZ93" i="39"/>
  <c r="DW19" i="40"/>
  <c r="EB16" i="39"/>
  <c r="EA83" i="39"/>
  <c r="DN14" i="29" s="1"/>
  <c r="DN16" i="29" s="1"/>
  <c r="DZ91" i="39"/>
  <c r="DW17" i="40"/>
  <c r="DZ96" i="39"/>
  <c r="DW22" i="40"/>
  <c r="EA39" i="39"/>
  <c r="EA106" i="39" s="1"/>
  <c r="DW32" i="40"/>
  <c r="B12" i="3"/>
  <c r="B17" i="3" s="1"/>
  <c r="C14" i="35"/>
  <c r="M9" i="9"/>
  <c r="I21" i="3" l="1"/>
  <c r="L18" i="37" s="1"/>
  <c r="N18" i="37" s="1"/>
  <c r="EA93" i="39"/>
  <c r="DX19" i="40"/>
  <c r="EA95" i="39"/>
  <c r="DX21" i="40"/>
  <c r="EC16" i="39"/>
  <c r="EB83" i="39"/>
  <c r="DO14" i="29" s="1"/>
  <c r="DO16" i="29" s="1"/>
  <c r="EP74" i="39"/>
  <c r="EL58" i="40"/>
  <c r="EL61" i="40" s="1"/>
  <c r="EA91" i="39"/>
  <c r="DX17" i="40"/>
  <c r="EA88" i="39"/>
  <c r="DX14" i="40"/>
  <c r="DW35" i="40"/>
  <c r="DW63" i="40" s="1"/>
  <c r="DM19" i="29" s="1"/>
  <c r="DM32" i="29" s="1"/>
  <c r="ED14" i="39"/>
  <c r="EC81" i="39"/>
  <c r="EA89" i="39"/>
  <c r="DX15" i="40"/>
  <c r="EA92" i="39"/>
  <c r="DX18" i="40"/>
  <c r="EA96" i="39"/>
  <c r="DX22" i="40"/>
  <c r="J19" i="36"/>
  <c r="EK61" i="40"/>
  <c r="EA94" i="39"/>
  <c r="DX20" i="40"/>
  <c r="EB86" i="39"/>
  <c r="EB23" i="39"/>
  <c r="EB22" i="39"/>
  <c r="EB24" i="39"/>
  <c r="EB26" i="39"/>
  <c r="EB28" i="39"/>
  <c r="EB29" i="39"/>
  <c r="EB21" i="39"/>
  <c r="EC19" i="39"/>
  <c r="EB25" i="39"/>
  <c r="EB27" i="39"/>
  <c r="EA90" i="39"/>
  <c r="DX16" i="40"/>
  <c r="F19" i="2"/>
  <c r="J16" i="35"/>
  <c r="N46" i="29" s="1"/>
  <c r="EB39" i="39"/>
  <c r="EB106" i="39" s="1"/>
  <c r="DX32" i="40"/>
  <c r="J36" i="29"/>
  <c r="K11" i="29" s="1"/>
  <c r="K17" i="29" s="1"/>
  <c r="N9" i="9"/>
  <c r="B9" i="23"/>
  <c r="DE33" i="29" l="1"/>
  <c r="J28" i="35"/>
  <c r="J29" i="35" s="1"/>
  <c r="J17" i="35"/>
  <c r="J18" i="37"/>
  <c r="EB94" i="39"/>
  <c r="DY20" i="40"/>
  <c r="EB89" i="39"/>
  <c r="DY15" i="40"/>
  <c r="AA19" i="2"/>
  <c r="J19" i="2"/>
  <c r="U19" i="2"/>
  <c r="EB92" i="39"/>
  <c r="DY18" i="40"/>
  <c r="EB95" i="39"/>
  <c r="DY21" i="40"/>
  <c r="EB90" i="39"/>
  <c r="DY16" i="40"/>
  <c r="EB96" i="39"/>
  <c r="DY22" i="40"/>
  <c r="EQ74" i="39"/>
  <c r="EM58" i="40"/>
  <c r="EC86" i="39"/>
  <c r="EC22" i="39"/>
  <c r="EC28" i="39"/>
  <c r="EC27" i="39"/>
  <c r="EC29" i="39"/>
  <c r="EC24" i="39"/>
  <c r="EC23" i="39"/>
  <c r="EC25" i="39"/>
  <c r="ED19" i="39"/>
  <c r="EC26" i="39"/>
  <c r="EC21" i="39"/>
  <c r="EB93" i="39"/>
  <c r="DY19" i="40"/>
  <c r="R18" i="37"/>
  <c r="S18" i="37" s="1"/>
  <c r="T18" i="37" s="1"/>
  <c r="J20" i="36"/>
  <c r="J21" i="36" s="1"/>
  <c r="DX35" i="40"/>
  <c r="DX63" i="40" s="1"/>
  <c r="DN19" i="29" s="1"/>
  <c r="DN32" i="29" s="1"/>
  <c r="ED16" i="39"/>
  <c r="EC83" i="39"/>
  <c r="DP14" i="29" s="1"/>
  <c r="DP16" i="29" s="1"/>
  <c r="EE14" i="39"/>
  <c r="ED81" i="39"/>
  <c r="EB88" i="39"/>
  <c r="DY14" i="40"/>
  <c r="EB91" i="39"/>
  <c r="DY17" i="40"/>
  <c r="EC39" i="39"/>
  <c r="EC106" i="39" s="1"/>
  <c r="DY32" i="40"/>
  <c r="O9" i="9"/>
  <c r="E9" i="23"/>
  <c r="J31" i="35" l="1"/>
  <c r="EC96" i="39"/>
  <c r="DZ22" i="40"/>
  <c r="EC94" i="39"/>
  <c r="DZ20" i="40"/>
  <c r="EH14" i="39"/>
  <c r="EE81" i="39"/>
  <c r="EC88" i="39"/>
  <c r="DZ14" i="40"/>
  <c r="EC90" i="39"/>
  <c r="DZ16" i="40"/>
  <c r="EC95" i="39"/>
  <c r="DZ21" i="40"/>
  <c r="ER74" i="39"/>
  <c r="EN58" i="40"/>
  <c r="EN61" i="40" s="1"/>
  <c r="R19" i="2"/>
  <c r="N19" i="2"/>
  <c r="EE16" i="39"/>
  <c r="ED83" i="39"/>
  <c r="DQ14" i="29" s="1"/>
  <c r="DQ16" i="29" s="1"/>
  <c r="ED86" i="39"/>
  <c r="ED23" i="39"/>
  <c r="ED21" i="39"/>
  <c r="ED22" i="39"/>
  <c r="ED24" i="39"/>
  <c r="ED26" i="39"/>
  <c r="ED27" i="39"/>
  <c r="ED25" i="39"/>
  <c r="EE19" i="39"/>
  <c r="ED28" i="39"/>
  <c r="ED29" i="39"/>
  <c r="EC92" i="39"/>
  <c r="DZ18" i="40"/>
  <c r="EM61" i="40"/>
  <c r="DY35" i="40"/>
  <c r="DY63" i="40" s="1"/>
  <c r="DO19" i="29" s="1"/>
  <c r="DO32" i="29" s="1"/>
  <c r="EC93" i="39"/>
  <c r="DZ19" i="40"/>
  <c r="EC91" i="39"/>
  <c r="DZ17" i="40"/>
  <c r="EC89" i="39"/>
  <c r="DZ15" i="40"/>
  <c r="ED39" i="39"/>
  <c r="ED106" i="39" s="1"/>
  <c r="DZ32" i="40"/>
  <c r="B19" i="3"/>
  <c r="H9" i="23"/>
  <c r="J9" i="23"/>
  <c r="I9" i="23"/>
  <c r="B20" i="3" l="1"/>
  <c r="ED92" i="39"/>
  <c r="EA18" i="40"/>
  <c r="ED89" i="39"/>
  <c r="EA15" i="40"/>
  <c r="ED91" i="39"/>
  <c r="EA17" i="40"/>
  <c r="ED96" i="39"/>
  <c r="EA22" i="40"/>
  <c r="ED94" i="39"/>
  <c r="EA20" i="40"/>
  <c r="ED88" i="39"/>
  <c r="EA14" i="40"/>
  <c r="EH16" i="39"/>
  <c r="EE83" i="39"/>
  <c r="DR14" i="29" s="1"/>
  <c r="DR16" i="29" s="1"/>
  <c r="O42" i="29" s="1"/>
  <c r="EF16" i="39"/>
  <c r="EF83" i="39" s="1"/>
  <c r="J18" i="5" s="1"/>
  <c r="ES74" i="39"/>
  <c r="EO58" i="40"/>
  <c r="EO61" i="40" s="1"/>
  <c r="EI14" i="39"/>
  <c r="EH81" i="39"/>
  <c r="EE86" i="39"/>
  <c r="EH19" i="39"/>
  <c r="EE26" i="39"/>
  <c r="EE25" i="39"/>
  <c r="EE27" i="39"/>
  <c r="EE22" i="39"/>
  <c r="EE21" i="39"/>
  <c r="EE23" i="39"/>
  <c r="EE28" i="39"/>
  <c r="EE24" i="39"/>
  <c r="EE29" i="39"/>
  <c r="EF19" i="39"/>
  <c r="EF86" i="39" s="1"/>
  <c r="ED95" i="39"/>
  <c r="EA21" i="40"/>
  <c r="ED93" i="39"/>
  <c r="EA19" i="40"/>
  <c r="ED90" i="39"/>
  <c r="EA16" i="40"/>
  <c r="DZ35" i="40"/>
  <c r="DZ63" i="40" s="1"/>
  <c r="DP19" i="29" s="1"/>
  <c r="DP32" i="29" s="1"/>
  <c r="EE39" i="39"/>
  <c r="EE106" i="39" s="1"/>
  <c r="EA32" i="40"/>
  <c r="K9" i="23"/>
  <c r="K36" i="29"/>
  <c r="L11" i="29" s="1"/>
  <c r="L17" i="29" s="1"/>
  <c r="D12" i="2"/>
  <c r="M18" i="5" l="1"/>
  <c r="R31" i="29"/>
  <c r="R32" i="29" s="1"/>
  <c r="G45" i="29" s="1"/>
  <c r="C16" i="35"/>
  <c r="F12" i="2"/>
  <c r="H12" i="2" s="1"/>
  <c r="B21" i="3"/>
  <c r="EE96" i="39"/>
  <c r="EB22" i="40"/>
  <c r="EC22" i="40" s="1"/>
  <c r="FE22" i="40" s="1"/>
  <c r="EF29" i="39"/>
  <c r="EF96" i="39" s="1"/>
  <c r="EE88" i="39"/>
  <c r="EB14" i="40"/>
  <c r="EF21" i="39"/>
  <c r="EF88" i="39" s="1"/>
  <c r="EE93" i="39"/>
  <c r="EB19" i="40"/>
  <c r="EC19" i="40" s="1"/>
  <c r="FE19" i="40" s="1"/>
  <c r="EF26" i="39"/>
  <c r="EF93" i="39" s="1"/>
  <c r="EJ14" i="39"/>
  <c r="EI81" i="39"/>
  <c r="EE91" i="39"/>
  <c r="EB17" i="40"/>
  <c r="EC17" i="40" s="1"/>
  <c r="FE17" i="40" s="1"/>
  <c r="EF24" i="39"/>
  <c r="EF91" i="39" s="1"/>
  <c r="EE89" i="39"/>
  <c r="EB15" i="40"/>
  <c r="EC15" i="40" s="1"/>
  <c r="FE15" i="40" s="1"/>
  <c r="EF22" i="39"/>
  <c r="EF89" i="39" s="1"/>
  <c r="EH86" i="39"/>
  <c r="EH23" i="39"/>
  <c r="EH28" i="39"/>
  <c r="EI19" i="39"/>
  <c r="EH29" i="39"/>
  <c r="EH24" i="39"/>
  <c r="EH26" i="39"/>
  <c r="EH25" i="39"/>
  <c r="EH27" i="39"/>
  <c r="EH22" i="39"/>
  <c r="EH21" i="39"/>
  <c r="EI16" i="39"/>
  <c r="EH83" i="39"/>
  <c r="DT14" i="29" s="1"/>
  <c r="DT16" i="29" s="1"/>
  <c r="EE90" i="39"/>
  <c r="EB16" i="40"/>
  <c r="EC16" i="40" s="1"/>
  <c r="FE16" i="40" s="1"/>
  <c r="EF23" i="39"/>
  <c r="EF90" i="39" s="1"/>
  <c r="EE92" i="39"/>
  <c r="EB18" i="40"/>
  <c r="EC18" i="40" s="1"/>
  <c r="FE18" i="40" s="1"/>
  <c r="EF25" i="39"/>
  <c r="EF92" i="39" s="1"/>
  <c r="EE95" i="39"/>
  <c r="EB21" i="40"/>
  <c r="EC21" i="40" s="1"/>
  <c r="FE21" i="40" s="1"/>
  <c r="EF28" i="39"/>
  <c r="EF95" i="39" s="1"/>
  <c r="EE94" i="39"/>
  <c r="EB20" i="40"/>
  <c r="EC20" i="40" s="1"/>
  <c r="FE20" i="40" s="1"/>
  <c r="EF27" i="39"/>
  <c r="EF94" i="39" s="1"/>
  <c r="EP58" i="40"/>
  <c r="ET74" i="39"/>
  <c r="EA35" i="40"/>
  <c r="EA63" i="40" s="1"/>
  <c r="DQ19" i="29" s="1"/>
  <c r="DQ32" i="29" s="1"/>
  <c r="EH39" i="39"/>
  <c r="EH106" i="39" s="1"/>
  <c r="EB32" i="40"/>
  <c r="EC32" i="40" s="1"/>
  <c r="FE32" i="40" s="1"/>
  <c r="EF39" i="39"/>
  <c r="EF106" i="39" s="1"/>
  <c r="O18" i="5" l="1"/>
  <c r="U12" i="2"/>
  <c r="AA12" i="2"/>
  <c r="J12" i="2"/>
  <c r="R12" i="2" s="1"/>
  <c r="S12" i="2" s="1"/>
  <c r="S13" i="2" s="1"/>
  <c r="S14" i="2" s="1"/>
  <c r="S15" i="2" s="1"/>
  <c r="S16" i="2" s="1"/>
  <c r="S17" i="2" s="1"/>
  <c r="S18" i="2" s="1"/>
  <c r="S19" i="2" s="1"/>
  <c r="G46" i="29"/>
  <c r="C17" i="35"/>
  <c r="J11" i="37"/>
  <c r="K11" i="37" s="1"/>
  <c r="L11" i="37"/>
  <c r="N11" i="37" s="1"/>
  <c r="R33" i="29" s="1"/>
  <c r="C19" i="36"/>
  <c r="EH89" i="39"/>
  <c r="EE15" i="40"/>
  <c r="EH91" i="39"/>
  <c r="EE17" i="40"/>
  <c r="EH90" i="39"/>
  <c r="EE16" i="40"/>
  <c r="EJ16" i="39"/>
  <c r="EI83" i="39"/>
  <c r="DU14" i="29" s="1"/>
  <c r="DU16" i="29" s="1"/>
  <c r="EH94" i="39"/>
  <c r="EE20" i="40"/>
  <c r="EH96" i="39"/>
  <c r="EE22" i="40"/>
  <c r="EI86" i="39"/>
  <c r="EJ19" i="39"/>
  <c r="EI29" i="39"/>
  <c r="EI25" i="39"/>
  <c r="EI21" i="39"/>
  <c r="EI28" i="39"/>
  <c r="EI26" i="39"/>
  <c r="EI23" i="39"/>
  <c r="EI22" i="39"/>
  <c r="EI27" i="39"/>
  <c r="EI24" i="39"/>
  <c r="EJ36" i="39"/>
  <c r="EJ81" i="39"/>
  <c r="EK14" i="39"/>
  <c r="ET14" i="39"/>
  <c r="ET81" i="39" s="1"/>
  <c r="EP61" i="40"/>
  <c r="EQ58" i="40"/>
  <c r="EH92" i="39"/>
  <c r="EE18" i="40"/>
  <c r="EH88" i="39"/>
  <c r="EE14" i="40"/>
  <c r="EH93" i="39"/>
  <c r="EE19" i="40"/>
  <c r="EH95" i="39"/>
  <c r="EE21" i="40"/>
  <c r="EC14" i="40"/>
  <c r="EB35" i="40"/>
  <c r="EB63" i="40" s="1"/>
  <c r="DR19" i="29" s="1"/>
  <c r="EI39" i="39"/>
  <c r="EI106" i="39" s="1"/>
  <c r="EE32" i="40"/>
  <c r="J10" i="3" l="1"/>
  <c r="N12" i="2"/>
  <c r="O12" i="2" s="1"/>
  <c r="O13" i="2" s="1"/>
  <c r="K12" i="2"/>
  <c r="K13" i="2" s="1"/>
  <c r="R11" i="37"/>
  <c r="S11" i="37" s="1"/>
  <c r="T11" i="37" s="1"/>
  <c r="C20" i="36"/>
  <c r="C21" i="36" s="1"/>
  <c r="C24" i="36" s="1"/>
  <c r="D11" i="36" s="1"/>
  <c r="D24" i="36" s="1"/>
  <c r="C28" i="35"/>
  <c r="C29" i="35" s="1"/>
  <c r="C31" i="35" s="1"/>
  <c r="C33" i="35" s="1"/>
  <c r="O11" i="37" s="1"/>
  <c r="EI89" i="39"/>
  <c r="EF15" i="40"/>
  <c r="FE14" i="40"/>
  <c r="FE13" i="40" s="1"/>
  <c r="FE35" i="40" s="1"/>
  <c r="FE63" i="40" s="1"/>
  <c r="G17" i="9" s="1"/>
  <c r="EC35" i="40"/>
  <c r="EE35" i="40"/>
  <c r="EE63" i="40" s="1"/>
  <c r="DT19" i="29" s="1"/>
  <c r="DT32" i="29" s="1"/>
  <c r="EJ103" i="39"/>
  <c r="EG29" i="40"/>
  <c r="EQ29" i="40" s="1"/>
  <c r="FF29" i="40" s="1"/>
  <c r="ET36" i="39"/>
  <c r="ET103" i="39" s="1"/>
  <c r="EI90" i="39"/>
  <c r="EF16" i="40"/>
  <c r="EI92" i="39"/>
  <c r="EF18" i="40"/>
  <c r="EK16" i="39"/>
  <c r="EJ83" i="39"/>
  <c r="DV14" i="29" s="1"/>
  <c r="DV16" i="29" s="1"/>
  <c r="EI91" i="39"/>
  <c r="EF17" i="40"/>
  <c r="EI93" i="39"/>
  <c r="EF19" i="40"/>
  <c r="EI96" i="39"/>
  <c r="EF22" i="40"/>
  <c r="EI88" i="39"/>
  <c r="EF14" i="40"/>
  <c r="FF58" i="40"/>
  <c r="FF61" i="40" s="1"/>
  <c r="EQ61" i="40"/>
  <c r="EK81" i="39"/>
  <c r="EK19" i="39"/>
  <c r="EL14" i="39"/>
  <c r="EI94" i="39"/>
  <c r="EF20" i="40"/>
  <c r="EI95" i="39"/>
  <c r="EF21" i="40"/>
  <c r="EJ86" i="39"/>
  <c r="EJ26" i="39"/>
  <c r="EJ28" i="39"/>
  <c r="EJ27" i="39"/>
  <c r="EJ29" i="39"/>
  <c r="EJ22" i="39"/>
  <c r="EJ23" i="39"/>
  <c r="EJ24" i="39"/>
  <c r="EJ25" i="39"/>
  <c r="EJ21" i="39"/>
  <c r="EJ39" i="39"/>
  <c r="EJ106" i="39" s="1"/>
  <c r="EF32" i="40"/>
  <c r="O40" i="2"/>
  <c r="L36" i="29"/>
  <c r="M11" i="29" s="1"/>
  <c r="M17" i="29" s="1"/>
  <c r="N40" i="2" l="1"/>
  <c r="K11" i="35"/>
  <c r="C25" i="36"/>
  <c r="Q9" i="36" s="1"/>
  <c r="D32" i="35"/>
  <c r="G12" i="37" s="1"/>
  <c r="I12" i="37" s="1"/>
  <c r="K12" i="37" s="1"/>
  <c r="G49" i="29"/>
  <c r="EG22" i="40"/>
  <c r="EJ96" i="39"/>
  <c r="J17" i="9"/>
  <c r="EG17" i="40"/>
  <c r="EJ91" i="39"/>
  <c r="EG20" i="40"/>
  <c r="EJ94" i="39"/>
  <c r="EL81" i="39"/>
  <c r="EM14" i="39"/>
  <c r="EL19" i="39"/>
  <c r="EG18" i="40"/>
  <c r="EJ92" i="39"/>
  <c r="EL16" i="39"/>
  <c r="EK83" i="39"/>
  <c r="DW14" i="29" s="1"/>
  <c r="DW16" i="29" s="1"/>
  <c r="EG21" i="40"/>
  <c r="EJ95" i="39"/>
  <c r="EK86" i="39"/>
  <c r="EK26" i="39"/>
  <c r="EK25" i="39"/>
  <c r="EK24" i="39"/>
  <c r="EK22" i="39"/>
  <c r="EK21" i="39"/>
  <c r="EK27" i="39"/>
  <c r="EK28" i="39"/>
  <c r="EK23" i="39"/>
  <c r="EK29" i="39"/>
  <c r="EF35" i="40"/>
  <c r="EF63" i="40" s="1"/>
  <c r="DU19" i="29" s="1"/>
  <c r="DU32" i="29" s="1"/>
  <c r="EG16" i="40"/>
  <c r="EJ90" i="39"/>
  <c r="EG14" i="40"/>
  <c r="EJ88" i="39"/>
  <c r="EG15" i="40"/>
  <c r="EJ89" i="39"/>
  <c r="EG19" i="40"/>
  <c r="EJ93" i="39"/>
  <c r="EK39" i="39"/>
  <c r="EK106" i="39" s="1"/>
  <c r="EG32" i="40"/>
  <c r="K14" i="2"/>
  <c r="N41" i="2"/>
  <c r="O14" i="2"/>
  <c r="O41" i="2"/>
  <c r="E11" i="36"/>
  <c r="D25" i="36"/>
  <c r="Q10" i="36" s="1"/>
  <c r="R10" i="36" s="1"/>
  <c r="D12" i="36"/>
  <c r="D33" i="35" l="1"/>
  <c r="O12" i="37" s="1"/>
  <c r="H19" i="37"/>
  <c r="O43" i="29"/>
  <c r="EK90" i="39"/>
  <c r="EH16" i="40"/>
  <c r="EK95" i="39"/>
  <c r="EH21" i="40"/>
  <c r="EK91" i="39"/>
  <c r="EH17" i="40"/>
  <c r="EM81" i="39"/>
  <c r="EM19" i="39"/>
  <c r="EN14" i="39"/>
  <c r="J11" i="3"/>
  <c r="B17" i="23"/>
  <c r="N17" i="9"/>
  <c r="EK89" i="39"/>
  <c r="EH15" i="40"/>
  <c r="EG35" i="40"/>
  <c r="EG63" i="40" s="1"/>
  <c r="DV19" i="29" s="1"/>
  <c r="DV32" i="29" s="1"/>
  <c r="EK94" i="39"/>
  <c r="EH20" i="40"/>
  <c r="EK92" i="39"/>
  <c r="EH18" i="40"/>
  <c r="EM16" i="39"/>
  <c r="EL83" i="39"/>
  <c r="DX14" i="29" s="1"/>
  <c r="DX16" i="29" s="1"/>
  <c r="M17" i="9"/>
  <c r="EL86" i="39"/>
  <c r="EL28" i="39"/>
  <c r="EL26" i="39"/>
  <c r="EL21" i="39"/>
  <c r="EL24" i="39"/>
  <c r="EL22" i="39"/>
  <c r="EL27" i="39"/>
  <c r="EL29" i="39"/>
  <c r="EL23" i="39"/>
  <c r="EL25" i="39"/>
  <c r="EK96" i="39"/>
  <c r="EH22" i="40"/>
  <c r="EK88" i="39"/>
  <c r="EH14" i="40"/>
  <c r="EK93" i="39"/>
  <c r="EH19" i="40"/>
  <c r="EL39" i="39"/>
  <c r="EL106" i="39" s="1"/>
  <c r="EH32" i="40"/>
  <c r="O15" i="2"/>
  <c r="O42" i="2"/>
  <c r="K15" i="2"/>
  <c r="N42" i="2"/>
  <c r="E24" i="36"/>
  <c r="F11" i="36" s="1"/>
  <c r="E12" i="36"/>
  <c r="E32" i="35" l="1"/>
  <c r="E33" i="35" s="1"/>
  <c r="I49" i="29" s="1"/>
  <c r="H49" i="29"/>
  <c r="EL95" i="39"/>
  <c r="EI21" i="40"/>
  <c r="EL90" i="39"/>
  <c r="EI16" i="40"/>
  <c r="EL91" i="39"/>
  <c r="EI17" i="40"/>
  <c r="EN16" i="39"/>
  <c r="EM83" i="39"/>
  <c r="DY14" i="29" s="1"/>
  <c r="DY16" i="29" s="1"/>
  <c r="EN81" i="39"/>
  <c r="EN19" i="39"/>
  <c r="EO14" i="39"/>
  <c r="EL89" i="39"/>
  <c r="EI15" i="40"/>
  <c r="EH35" i="40"/>
  <c r="EH63" i="40" s="1"/>
  <c r="DW19" i="29" s="1"/>
  <c r="DW32" i="29" s="1"/>
  <c r="EL96" i="39"/>
  <c r="EI22" i="40"/>
  <c r="EL88" i="39"/>
  <c r="EI14" i="40"/>
  <c r="EM86" i="39"/>
  <c r="EM23" i="39"/>
  <c r="EM24" i="39"/>
  <c r="EM25" i="39"/>
  <c r="EM27" i="39"/>
  <c r="EM26" i="39"/>
  <c r="EM28" i="39"/>
  <c r="EM22" i="39"/>
  <c r="EM29" i="39"/>
  <c r="EM21" i="39"/>
  <c r="EL92" i="39"/>
  <c r="EI18" i="40"/>
  <c r="J12" i="3"/>
  <c r="J17" i="3" s="1"/>
  <c r="K14" i="35"/>
  <c r="EL94" i="39"/>
  <c r="EI20" i="40"/>
  <c r="EL93" i="39"/>
  <c r="EI19" i="40"/>
  <c r="O17" i="9"/>
  <c r="E17" i="23"/>
  <c r="EM39" i="39"/>
  <c r="EM106" i="39" s="1"/>
  <c r="EI32" i="40"/>
  <c r="K16" i="2"/>
  <c r="N43" i="2"/>
  <c r="O43" i="2"/>
  <c r="O16" i="2"/>
  <c r="M36" i="29"/>
  <c r="N11" i="29" s="1"/>
  <c r="N17" i="29" s="1"/>
  <c r="E25" i="36"/>
  <c r="Q11" i="36" s="1"/>
  <c r="R11" i="36" s="1"/>
  <c r="G13" i="37" l="1"/>
  <c r="I13" i="37" s="1"/>
  <c r="K13" i="37" s="1"/>
  <c r="EM89" i="39"/>
  <c r="EJ15" i="40"/>
  <c r="EM92" i="39"/>
  <c r="EJ18" i="40"/>
  <c r="EO81" i="39"/>
  <c r="EO35" i="39"/>
  <c r="EP14" i="39"/>
  <c r="EO33" i="39"/>
  <c r="EO38" i="39"/>
  <c r="EO37" i="39"/>
  <c r="EO19" i="39"/>
  <c r="EM95" i="39"/>
  <c r="EJ21" i="40"/>
  <c r="EM91" i="39"/>
  <c r="EJ17" i="40"/>
  <c r="EN86" i="39"/>
  <c r="EN26" i="39"/>
  <c r="EN29" i="39"/>
  <c r="EN27" i="39"/>
  <c r="EN22" i="39"/>
  <c r="EN25" i="39"/>
  <c r="EN24" i="39"/>
  <c r="EN21" i="39"/>
  <c r="EN23" i="39"/>
  <c r="EN28" i="39"/>
  <c r="EO16" i="39"/>
  <c r="EN83" i="39"/>
  <c r="DZ14" i="29" s="1"/>
  <c r="DZ16" i="29" s="1"/>
  <c r="EM96" i="39"/>
  <c r="EJ22" i="40"/>
  <c r="EM94" i="39"/>
  <c r="EJ20" i="40"/>
  <c r="H17" i="23"/>
  <c r="I17" i="23"/>
  <c r="J17" i="23"/>
  <c r="J19" i="3"/>
  <c r="J20" i="3" s="1"/>
  <c r="D20" i="2"/>
  <c r="EM88" i="39"/>
  <c r="EJ14" i="40"/>
  <c r="EM93" i="39"/>
  <c r="EJ19" i="40"/>
  <c r="EM90" i="39"/>
  <c r="EJ16" i="40"/>
  <c r="EI35" i="40"/>
  <c r="EI63" i="40" s="1"/>
  <c r="DX19" i="29" s="1"/>
  <c r="DX32" i="29" s="1"/>
  <c r="EN39" i="39"/>
  <c r="EN106" i="39" s="1"/>
  <c r="EJ32" i="40"/>
  <c r="F32" i="35"/>
  <c r="F33" i="35" s="1"/>
  <c r="J49" i="29" s="1"/>
  <c r="O13" i="37"/>
  <c r="O44" i="2"/>
  <c r="O17" i="2"/>
  <c r="K17" i="2"/>
  <c r="N44" i="2"/>
  <c r="F24" i="36"/>
  <c r="G11" i="36" s="1"/>
  <c r="F12" i="36"/>
  <c r="Z28" i="2" l="1"/>
  <c r="F31" i="2" s="1"/>
  <c r="EN91" i="39"/>
  <c r="EK17" i="40"/>
  <c r="EN96" i="39"/>
  <c r="EK22" i="40"/>
  <c r="EO100" i="39"/>
  <c r="ET33" i="39"/>
  <c r="ET100" i="39" s="1"/>
  <c r="EL26" i="40"/>
  <c r="EQ26" i="40" s="1"/>
  <c r="FF26" i="40" s="1"/>
  <c r="FF23" i="40" s="1"/>
  <c r="DR31" i="29"/>
  <c r="DR32" i="29" s="1"/>
  <c r="O45" i="29" s="1"/>
  <c r="K17" i="23"/>
  <c r="EN95" i="39"/>
  <c r="EK21" i="40"/>
  <c r="EN92" i="39"/>
  <c r="EK18" i="40"/>
  <c r="EN93" i="39"/>
  <c r="EK19" i="40"/>
  <c r="EO86" i="39"/>
  <c r="EO22" i="39"/>
  <c r="EO28" i="39"/>
  <c r="EO27" i="39"/>
  <c r="EO21" i="39"/>
  <c r="EO29" i="39"/>
  <c r="EO24" i="39"/>
  <c r="EO23" i="39"/>
  <c r="EO25" i="39"/>
  <c r="EO26" i="39"/>
  <c r="EP81" i="39"/>
  <c r="EQ14" i="39"/>
  <c r="EP19" i="39"/>
  <c r="EN90" i="39"/>
  <c r="EK16" i="40"/>
  <c r="EN89" i="39"/>
  <c r="EK15" i="40"/>
  <c r="EO104" i="39"/>
  <c r="ET37" i="39"/>
  <c r="ET104" i="39" s="1"/>
  <c r="EL30" i="40"/>
  <c r="EQ30" i="40" s="1"/>
  <c r="FF30" i="40" s="1"/>
  <c r="EO102" i="39"/>
  <c r="EL28" i="40"/>
  <c r="EQ28" i="40" s="1"/>
  <c r="FF28" i="40" s="1"/>
  <c r="FF27" i="40" s="1"/>
  <c r="ET35" i="39"/>
  <c r="ET102" i="39" s="1"/>
  <c r="EJ35" i="40"/>
  <c r="EJ63" i="40" s="1"/>
  <c r="DY19" i="29" s="1"/>
  <c r="DY32" i="29" s="1"/>
  <c r="EP16" i="39"/>
  <c r="EO83" i="39"/>
  <c r="EA14" i="29" s="1"/>
  <c r="EA16" i="29" s="1"/>
  <c r="EN88" i="39"/>
  <c r="EK14" i="40"/>
  <c r="EN94" i="39"/>
  <c r="EK20" i="40"/>
  <c r="EO105" i="39"/>
  <c r="EL31" i="40"/>
  <c r="EQ31" i="40" s="1"/>
  <c r="FF31" i="40" s="1"/>
  <c r="ET38" i="39"/>
  <c r="ET105" i="39" s="1"/>
  <c r="EO39" i="39"/>
  <c r="EO106" i="39" s="1"/>
  <c r="EK32" i="40"/>
  <c r="G14" i="37"/>
  <c r="I14" i="37" s="1"/>
  <c r="K14" i="37" s="1"/>
  <c r="G32" i="35"/>
  <c r="O14" i="37"/>
  <c r="K18" i="2"/>
  <c r="N45" i="2"/>
  <c r="O18" i="2"/>
  <c r="O45" i="2"/>
  <c r="F25" i="36"/>
  <c r="Q12" i="36" s="1"/>
  <c r="R12" i="36" s="1"/>
  <c r="EK35" i="40" l="1"/>
  <c r="EK63" i="40" s="1"/>
  <c r="DZ19" i="29" s="1"/>
  <c r="DZ32" i="29" s="1"/>
  <c r="J21" i="3"/>
  <c r="L19" i="37" s="1"/>
  <c r="N19" i="37" s="1"/>
  <c r="EQ16" i="39"/>
  <c r="EP83" i="39"/>
  <c r="EB14" i="29" s="1"/>
  <c r="EB16" i="29" s="1"/>
  <c r="EO91" i="39"/>
  <c r="EL17" i="40"/>
  <c r="EO93" i="39"/>
  <c r="EL19" i="40"/>
  <c r="EO96" i="39"/>
  <c r="EL22" i="40"/>
  <c r="EO89" i="39"/>
  <c r="EL15" i="40"/>
  <c r="EP86" i="39"/>
  <c r="EP27" i="39"/>
  <c r="EP26" i="39"/>
  <c r="EP21" i="39"/>
  <c r="EP23" i="39"/>
  <c r="EP22" i="39"/>
  <c r="EP28" i="39"/>
  <c r="EP29" i="39"/>
  <c r="EP24" i="39"/>
  <c r="EP25" i="39"/>
  <c r="EO92" i="39"/>
  <c r="EL18" i="40"/>
  <c r="EO88" i="39"/>
  <c r="EL14" i="40"/>
  <c r="EO95" i="39"/>
  <c r="EL21" i="40"/>
  <c r="EQ81" i="39"/>
  <c r="EQ19" i="39"/>
  <c r="ER14" i="39"/>
  <c r="EO90" i="39"/>
  <c r="EL16" i="40"/>
  <c r="EO94" i="39"/>
  <c r="EL20" i="40"/>
  <c r="K16" i="35"/>
  <c r="O46" i="29" s="1"/>
  <c r="F20" i="2"/>
  <c r="EP39" i="39"/>
  <c r="EP106" i="39" s="1"/>
  <c r="EL32" i="40"/>
  <c r="G33" i="35"/>
  <c r="K49" i="29" s="1"/>
  <c r="G15" i="37"/>
  <c r="I15" i="37" s="1"/>
  <c r="K15" i="37" s="1"/>
  <c r="O19" i="2"/>
  <c r="O46" i="2"/>
  <c r="K19" i="2"/>
  <c r="N46" i="2"/>
  <c r="N36" i="29"/>
  <c r="O11" i="29" s="1"/>
  <c r="O17" i="29" s="1"/>
  <c r="G24" i="36"/>
  <c r="G12" i="36"/>
  <c r="K19" i="36" l="1"/>
  <c r="DR33" i="29"/>
  <c r="K28" i="35"/>
  <c r="K29" i="35" s="1"/>
  <c r="K17" i="35"/>
  <c r="J19" i="37"/>
  <c r="ER81" i="39"/>
  <c r="ER19" i="39"/>
  <c r="ES14" i="39"/>
  <c r="EP90" i="39"/>
  <c r="EM16" i="40"/>
  <c r="U20" i="2"/>
  <c r="AA20" i="2"/>
  <c r="J20" i="2"/>
  <c r="EQ86" i="39"/>
  <c r="EQ21" i="39"/>
  <c r="EQ23" i="39"/>
  <c r="EQ27" i="39"/>
  <c r="EQ26" i="39"/>
  <c r="EQ24" i="39"/>
  <c r="EQ25" i="39"/>
  <c r="EQ28" i="39"/>
  <c r="EQ29" i="39"/>
  <c r="EQ22" i="39"/>
  <c r="R19" i="37"/>
  <c r="S19" i="37" s="1"/>
  <c r="T19" i="37" s="1"/>
  <c r="K20" i="36"/>
  <c r="K21" i="36" s="1"/>
  <c r="EP96" i="39"/>
  <c r="EM22" i="40"/>
  <c r="EP88" i="39"/>
  <c r="EM14" i="40"/>
  <c r="EP91" i="39"/>
  <c r="EM17" i="40"/>
  <c r="EL35" i="40"/>
  <c r="EL63" i="40" s="1"/>
  <c r="EA19" i="29" s="1"/>
  <c r="EA32" i="29" s="1"/>
  <c r="EP95" i="39"/>
  <c r="EM21" i="40"/>
  <c r="EP93" i="39"/>
  <c r="EM19" i="40"/>
  <c r="EP92" i="39"/>
  <c r="EM18" i="40"/>
  <c r="EP89" i="39"/>
  <c r="EM15" i="40"/>
  <c r="EP94" i="39"/>
  <c r="EM20" i="40"/>
  <c r="ER16" i="39"/>
  <c r="EQ83" i="39"/>
  <c r="EC14" i="29" s="1"/>
  <c r="EC16" i="29" s="1"/>
  <c r="EQ39" i="39"/>
  <c r="EQ106" i="39" s="1"/>
  <c r="EM32" i="40"/>
  <c r="O15" i="37"/>
  <c r="H32" i="35"/>
  <c r="N47" i="2"/>
  <c r="O47" i="2"/>
  <c r="H11" i="36"/>
  <c r="G25" i="36"/>
  <c r="Q13" i="36" s="1"/>
  <c r="R13" i="36" s="1"/>
  <c r="K31" i="35" l="1"/>
  <c r="EM35" i="40"/>
  <c r="EM63" i="40" s="1"/>
  <c r="EB19" i="29" s="1"/>
  <c r="EB32" i="29" s="1"/>
  <c r="EQ95" i="39"/>
  <c r="EN21" i="40"/>
  <c r="N20" i="2"/>
  <c r="O20" i="2" s="1"/>
  <c r="O48" i="2" s="1"/>
  <c r="R20" i="2"/>
  <c r="S20" i="2" s="1"/>
  <c r="EQ92" i="39"/>
  <c r="EN18" i="40"/>
  <c r="EQ90" i="39"/>
  <c r="EN16" i="40"/>
  <c r="ES19" i="39"/>
  <c r="ES81" i="39"/>
  <c r="EQ94" i="39"/>
  <c r="EN20" i="40"/>
  <c r="EQ89" i="39"/>
  <c r="EN15" i="40"/>
  <c r="EQ91" i="39"/>
  <c r="EN17" i="40"/>
  <c r="EQ88" i="39"/>
  <c r="EN14" i="40"/>
  <c r="ER86" i="39"/>
  <c r="ER29" i="39"/>
  <c r="ER24" i="39"/>
  <c r="ER25" i="39"/>
  <c r="ER26" i="39"/>
  <c r="ER27" i="39"/>
  <c r="ER21" i="39"/>
  <c r="ER22" i="39"/>
  <c r="ER23" i="39"/>
  <c r="ER28" i="39"/>
  <c r="ES16" i="39"/>
  <c r="ER83" i="39"/>
  <c r="ED14" i="29" s="1"/>
  <c r="ED16" i="29" s="1"/>
  <c r="K20" i="2"/>
  <c r="N48" i="2" s="1"/>
  <c r="EQ96" i="39"/>
  <c r="EN22" i="40"/>
  <c r="EQ93" i="39"/>
  <c r="EN19" i="40"/>
  <c r="ER39" i="39"/>
  <c r="ER106" i="39" s="1"/>
  <c r="EN32" i="40"/>
  <c r="G16" i="37"/>
  <c r="I16" i="37" s="1"/>
  <c r="K16" i="37" s="1"/>
  <c r="H33" i="35"/>
  <c r="L49" i="29" s="1"/>
  <c r="H24" i="36"/>
  <c r="H12" i="36"/>
  <c r="O36" i="29"/>
  <c r="P11" i="29" s="1"/>
  <c r="P17" i="29" s="1"/>
  <c r="ER89" i="39" l="1"/>
  <c r="EO15" i="40"/>
  <c r="ES83" i="39"/>
  <c r="EE14" i="29" s="1"/>
  <c r="EE16" i="29" s="1"/>
  <c r="P42" i="29" s="1"/>
  <c r="ET16" i="39"/>
  <c r="ET83" i="39" s="1"/>
  <c r="J19" i="5" s="1"/>
  <c r="ER91" i="39"/>
  <c r="EO17" i="40"/>
  <c r="EN35" i="40"/>
  <c r="EN63" i="40" s="1"/>
  <c r="EC19" i="29" s="1"/>
  <c r="EC32" i="29" s="1"/>
  <c r="ER92" i="39"/>
  <c r="EO18" i="40"/>
  <c r="ER88" i="39"/>
  <c r="EO14" i="40"/>
  <c r="ER95" i="39"/>
  <c r="EO21" i="40"/>
  <c r="ER94" i="39"/>
  <c r="EO20" i="40"/>
  <c r="ER96" i="39"/>
  <c r="EO22" i="40"/>
  <c r="ES86" i="39"/>
  <c r="ES24" i="39"/>
  <c r="ES25" i="39"/>
  <c r="ES26" i="39"/>
  <c r="ES27" i="39"/>
  <c r="ES21" i="39"/>
  <c r="ES22" i="39"/>
  <c r="ES23" i="39"/>
  <c r="ES28" i="39"/>
  <c r="ES29" i="39"/>
  <c r="ET19" i="39"/>
  <c r="ET86" i="39" s="1"/>
  <c r="ER90" i="39"/>
  <c r="EO16" i="40"/>
  <c r="ER93" i="39"/>
  <c r="EO19" i="40"/>
  <c r="ES39" i="39"/>
  <c r="ES106" i="39" s="1"/>
  <c r="EO32" i="40"/>
  <c r="I32" i="35"/>
  <c r="O16" i="37"/>
  <c r="I11" i="36"/>
  <c r="H25" i="36"/>
  <c r="Q14" i="36" s="1"/>
  <c r="R14" i="36" s="1"/>
  <c r="M19" i="5" l="1"/>
  <c r="J21" i="5"/>
  <c r="J22" i="5" s="1"/>
  <c r="EO35" i="40"/>
  <c r="EO63" i="40" s="1"/>
  <c r="ED19" i="29" s="1"/>
  <c r="ED32" i="29" s="1"/>
  <c r="ES95" i="39"/>
  <c r="EP21" i="40"/>
  <c r="EQ21" i="40" s="1"/>
  <c r="FF21" i="40" s="1"/>
  <c r="ET28" i="39"/>
  <c r="ET95" i="39" s="1"/>
  <c r="ES94" i="39"/>
  <c r="EP20" i="40"/>
  <c r="EQ20" i="40" s="1"/>
  <c r="FF20" i="40" s="1"/>
  <c r="ET27" i="39"/>
  <c r="ET94" i="39" s="1"/>
  <c r="ES96" i="39"/>
  <c r="EP22" i="40"/>
  <c r="EQ22" i="40" s="1"/>
  <c r="FF22" i="40" s="1"/>
  <c r="ET29" i="39"/>
  <c r="ET96" i="39" s="1"/>
  <c r="ES90" i="39"/>
  <c r="EP16" i="40"/>
  <c r="EQ16" i="40" s="1"/>
  <c r="FF16" i="40" s="1"/>
  <c r="ET23" i="39"/>
  <c r="ET90" i="39" s="1"/>
  <c r="ES93" i="39"/>
  <c r="EP19" i="40"/>
  <c r="EQ19" i="40" s="1"/>
  <c r="FF19" i="40" s="1"/>
  <c r="ET26" i="39"/>
  <c r="ET93" i="39" s="1"/>
  <c r="ES88" i="39"/>
  <c r="EP14" i="40"/>
  <c r="ET21" i="39"/>
  <c r="ET88" i="39" s="1"/>
  <c r="ES91" i="39"/>
  <c r="EP17" i="40"/>
  <c r="EQ17" i="40" s="1"/>
  <c r="FF17" i="40" s="1"/>
  <c r="ET24" i="39"/>
  <c r="ET91" i="39" s="1"/>
  <c r="ES89" i="39"/>
  <c r="EP15" i="40"/>
  <c r="EQ15" i="40" s="1"/>
  <c r="FF15" i="40" s="1"/>
  <c r="ET22" i="39"/>
  <c r="ET89" i="39" s="1"/>
  <c r="ES92" i="39"/>
  <c r="EP18" i="40"/>
  <c r="EQ18" i="40" s="1"/>
  <c r="FF18" i="40" s="1"/>
  <c r="ET25" i="39"/>
  <c r="ET92" i="39" s="1"/>
  <c r="EP32" i="40"/>
  <c r="EQ32" i="40" s="1"/>
  <c r="FF32" i="40" s="1"/>
  <c r="ET39" i="39"/>
  <c r="ET106" i="39" s="1"/>
  <c r="G17" i="37"/>
  <c r="I17" i="37" s="1"/>
  <c r="K17" i="37" s="1"/>
  <c r="I33" i="35"/>
  <c r="M49" i="29" s="1"/>
  <c r="I24" i="36"/>
  <c r="I12" i="36"/>
  <c r="O19" i="5" l="1"/>
  <c r="M21" i="5"/>
  <c r="M22" i="5" s="1"/>
  <c r="EP35" i="40"/>
  <c r="EP63" i="40" s="1"/>
  <c r="EE19" i="29" s="1"/>
  <c r="EQ14" i="40"/>
  <c r="J32" i="35"/>
  <c r="O17" i="37"/>
  <c r="J11" i="36"/>
  <c r="I25" i="36"/>
  <c r="Q15" i="36" s="1"/>
  <c r="R15" i="36" s="1"/>
  <c r="P36" i="29"/>
  <c r="Q11" i="29" s="1"/>
  <c r="Q17" i="29" s="1"/>
  <c r="K10" i="3" l="1"/>
  <c r="O21" i="5"/>
  <c r="O22" i="5" s="1"/>
  <c r="FF14" i="40"/>
  <c r="FF13" i="40" s="1"/>
  <c r="FF35" i="40" s="1"/>
  <c r="FF63" i="40" s="1"/>
  <c r="G18" i="9" s="1"/>
  <c r="EQ35" i="40"/>
  <c r="G18" i="37"/>
  <c r="I18" i="37" s="1"/>
  <c r="K18" i="37" s="1"/>
  <c r="J33" i="35"/>
  <c r="N49" i="29" s="1"/>
  <c r="J24" i="36"/>
  <c r="J12" i="36"/>
  <c r="L11" i="35" l="1"/>
  <c r="M10" i="3"/>
  <c r="X32" i="2" s="1"/>
  <c r="X36" i="2" s="1"/>
  <c r="J18" i="9"/>
  <c r="M18" i="9"/>
  <c r="G20" i="9"/>
  <c r="K32" i="35"/>
  <c r="O18" i="37"/>
  <c r="K11" i="36"/>
  <c r="J25" i="36"/>
  <c r="Q16" i="36" s="1"/>
  <c r="R16" i="36" s="1"/>
  <c r="H20" i="37" l="1"/>
  <c r="P43" i="29"/>
  <c r="M20" i="9"/>
  <c r="K11" i="3"/>
  <c r="N18" i="9"/>
  <c r="N20" i="9" s="1"/>
  <c r="B18" i="23"/>
  <c r="J20" i="9"/>
  <c r="G22" i="9" s="1"/>
  <c r="K33" i="35"/>
  <c r="O49" i="29" s="1"/>
  <c r="G19" i="37"/>
  <c r="I19" i="37" s="1"/>
  <c r="K19" i="37" s="1"/>
  <c r="K24" i="36"/>
  <c r="L11" i="36" s="1"/>
  <c r="K12" i="36"/>
  <c r="Q36" i="29"/>
  <c r="R11" i="29" s="1"/>
  <c r="R17" i="29" s="1"/>
  <c r="R36" i="29" s="1"/>
  <c r="K12" i="3" l="1"/>
  <c r="K17" i="3" s="1"/>
  <c r="L14" i="35"/>
  <c r="M11" i="3"/>
  <c r="X33" i="2" s="1"/>
  <c r="X34" i="2" s="1"/>
  <c r="E18" i="23"/>
  <c r="B20" i="23"/>
  <c r="O18" i="9"/>
  <c r="O20" i="9" s="1"/>
  <c r="L32" i="35"/>
  <c r="O19" i="37"/>
  <c r="K25" i="36"/>
  <c r="Q17" i="36" s="1"/>
  <c r="R17" i="36" s="1"/>
  <c r="K19" i="3" l="1"/>
  <c r="K20" i="3" s="1"/>
  <c r="D21" i="2"/>
  <c r="H18" i="23"/>
  <c r="I18" i="23"/>
  <c r="I20" i="23" s="1"/>
  <c r="J18" i="23"/>
  <c r="J20" i="23" s="1"/>
  <c r="E20" i="23"/>
  <c r="G20" i="37"/>
  <c r="I20" i="37" s="1"/>
  <c r="L12" i="36"/>
  <c r="EE31" i="29" l="1"/>
  <c r="EE32" i="29" s="1"/>
  <c r="P45" i="29" s="1"/>
  <c r="K18" i="23"/>
  <c r="K20" i="23" s="1"/>
  <c r="H20" i="23"/>
  <c r="K21" i="3" l="1"/>
  <c r="L20" i="37" s="1"/>
  <c r="N20" i="37" s="1"/>
  <c r="L19" i="36"/>
  <c r="L16" i="35"/>
  <c r="P46" i="29" s="1"/>
  <c r="F21" i="2"/>
  <c r="G48" i="29"/>
  <c r="M21" i="3" l="1"/>
  <c r="X37" i="2" s="1"/>
  <c r="X38" i="2" s="1"/>
  <c r="EE33" i="29"/>
  <c r="L28" i="35"/>
  <c r="L29" i="35" s="1"/>
  <c r="T11" i="29"/>
  <c r="T17" i="29" s="1"/>
  <c r="T36" i="29" s="1"/>
  <c r="U11" i="29" s="1"/>
  <c r="U17" i="29" s="1"/>
  <c r="U36" i="29" s="1"/>
  <c r="V11" i="29" s="1"/>
  <c r="V17" i="29" s="1"/>
  <c r="V36" i="29" s="1"/>
  <c r="W11" i="29" s="1"/>
  <c r="L17" i="35"/>
  <c r="J20" i="37"/>
  <c r="K20" i="37" s="1"/>
  <c r="R20" i="37"/>
  <c r="S20" i="37" s="1"/>
  <c r="T20" i="37" s="1"/>
  <c r="L20" i="36"/>
  <c r="L21" i="36" s="1"/>
  <c r="L24" i="36" s="1"/>
  <c r="L25" i="36" s="1"/>
  <c r="Q18" i="36" s="1"/>
  <c r="R18" i="36" s="1"/>
  <c r="J21" i="2"/>
  <c r="U21" i="2"/>
  <c r="N33" i="2" s="1"/>
  <c r="N35" i="2" s="1"/>
  <c r="F30" i="2" s="1"/>
  <c r="AA21" i="2"/>
  <c r="N26" i="2" s="1"/>
  <c r="N29" i="2" s="1"/>
  <c r="F29" i="2" s="1"/>
  <c r="L31" i="35" l="1"/>
  <c r="L33" i="35" s="1"/>
  <c r="W17" i="29"/>
  <c r="W36" i="29" s="1"/>
  <c r="X11" i="29" s="1"/>
  <c r="N21" i="2"/>
  <c r="O21" i="2" s="1"/>
  <c r="R21" i="2"/>
  <c r="S21" i="2" s="1"/>
  <c r="K21" i="2"/>
  <c r="N49" i="2" s="1"/>
  <c r="O20" i="37" l="1"/>
  <c r="P49" i="29"/>
  <c r="X17" i="29"/>
  <c r="X36" i="29" s="1"/>
  <c r="Y11" i="29" s="1"/>
  <c r="F27" i="2"/>
  <c r="O49" i="2"/>
  <c r="Y17" i="29" l="1"/>
  <c r="Y36" i="29" s="1"/>
  <c r="Z11" i="29" s="1"/>
  <c r="Z17" i="29" l="1"/>
  <c r="Z36" i="29" s="1"/>
  <c r="AA11" i="29" s="1"/>
  <c r="AA17" i="29" l="1"/>
  <c r="AA36" i="29" s="1"/>
  <c r="AB11" i="29" s="1"/>
  <c r="AB17" i="29" l="1"/>
  <c r="AB36" i="29" s="1"/>
  <c r="AC11" i="29" s="1"/>
  <c r="AC17" i="29" l="1"/>
  <c r="AC36" i="29" s="1"/>
  <c r="AD11" i="29" s="1"/>
  <c r="AD17" i="29" l="1"/>
  <c r="AD36" i="29" s="1"/>
  <c r="AE11" i="29" s="1"/>
  <c r="AE17" i="29" l="1"/>
  <c r="AG11" i="29" l="1"/>
  <c r="AG17" i="29" s="1"/>
  <c r="AG36" i="29" s="1"/>
  <c r="AH11" i="29" s="1"/>
  <c r="AH17" i="29" s="1"/>
  <c r="AH36" i="29" s="1"/>
  <c r="AI11" i="29" s="1"/>
  <c r="AI17" i="29" s="1"/>
  <c r="AI36" i="29" s="1"/>
  <c r="AJ11" i="29" s="1"/>
  <c r="AJ17" i="29" s="1"/>
  <c r="AJ36" i="29" s="1"/>
  <c r="AK11" i="29" s="1"/>
  <c r="AK17" i="29" s="1"/>
  <c r="AK36" i="29" s="1"/>
  <c r="AL11" i="29" s="1"/>
  <c r="AL17" i="29" s="1"/>
  <c r="AL36" i="29" s="1"/>
  <c r="AM11" i="29" s="1"/>
  <c r="AM17" i="29" s="1"/>
  <c r="AM36" i="29" s="1"/>
  <c r="AN11" i="29" s="1"/>
  <c r="AN17" i="29" s="1"/>
  <c r="AN36" i="29" s="1"/>
  <c r="AO11" i="29" s="1"/>
  <c r="AO17" i="29" s="1"/>
  <c r="AO36" i="29" s="1"/>
  <c r="AP11" i="29" s="1"/>
  <c r="AP17" i="29" s="1"/>
  <c r="AP36" i="29" s="1"/>
  <c r="AQ11" i="29" s="1"/>
  <c r="AQ17" i="29" s="1"/>
  <c r="AQ36" i="29" s="1"/>
  <c r="AR11" i="29" s="1"/>
  <c r="AR17" i="29" s="1"/>
  <c r="AR36" i="29" s="1"/>
  <c r="H48" i="29" l="1"/>
  <c r="I48" i="29"/>
  <c r="AT11" i="29" l="1"/>
  <c r="AT17" i="29" s="1"/>
  <c r="AT36" i="29" s="1"/>
  <c r="AU11" i="29" s="1"/>
  <c r="AU17" i="29" s="1"/>
  <c r="AU36" i="29" s="1"/>
  <c r="AV11" i="29" s="1"/>
  <c r="AV17" i="29" s="1"/>
  <c r="AV36" i="29" s="1"/>
  <c r="AW11" i="29" s="1"/>
  <c r="AW17" i="29" s="1"/>
  <c r="AW36" i="29" s="1"/>
  <c r="AX11" i="29" s="1"/>
  <c r="AX17" i="29" s="1"/>
  <c r="AX36" i="29" s="1"/>
  <c r="AY11" i="29" s="1"/>
  <c r="AY17" i="29" s="1"/>
  <c r="AY36" i="29" s="1"/>
  <c r="AZ11" i="29" s="1"/>
  <c r="AZ17" i="29" s="1"/>
  <c r="AZ36" i="29" s="1"/>
  <c r="BA11" i="29" s="1"/>
  <c r="BA17" i="29" s="1"/>
  <c r="BA36" i="29" s="1"/>
  <c r="BB11" i="29" s="1"/>
  <c r="BB17" i="29" s="1"/>
  <c r="BB36" i="29" s="1"/>
  <c r="BC11" i="29" s="1"/>
  <c r="BC17" i="29" s="1"/>
  <c r="BC36" i="29" s="1"/>
  <c r="BD11" i="29" s="1"/>
  <c r="BD17" i="29" s="1"/>
  <c r="BD36" i="29" s="1"/>
  <c r="BE11" i="29" s="1"/>
  <c r="BE17" i="29" s="1"/>
  <c r="BE36" i="29" s="1"/>
  <c r="BG11" i="29" l="1"/>
  <c r="BG17" i="29" s="1"/>
  <c r="BG36" i="29" s="1"/>
  <c r="BH11" i="29" s="1"/>
  <c r="BH17" i="29" s="1"/>
  <c r="BH36" i="29" s="1"/>
  <c r="BI11" i="29" s="1"/>
  <c r="BI17" i="29" s="1"/>
  <c r="BI36" i="29" s="1"/>
  <c r="BJ11" i="29" s="1"/>
  <c r="BJ17" i="29" s="1"/>
  <c r="BJ36" i="29" s="1"/>
  <c r="BK11" i="29" s="1"/>
  <c r="BK17" i="29" s="1"/>
  <c r="BK36" i="29" s="1"/>
  <c r="BL11" i="29" s="1"/>
  <c r="BL17" i="29" s="1"/>
  <c r="BL36" i="29" s="1"/>
  <c r="BM11" i="29" s="1"/>
  <c r="BM17" i="29" s="1"/>
  <c r="BM36" i="29" s="1"/>
  <c r="BN11" i="29" s="1"/>
  <c r="BN17" i="29" s="1"/>
  <c r="BN36" i="29" s="1"/>
  <c r="BO11" i="29" s="1"/>
  <c r="BO17" i="29" s="1"/>
  <c r="BO36" i="29" s="1"/>
  <c r="BP11" i="29" s="1"/>
  <c r="BP17" i="29" s="1"/>
  <c r="BP36" i="29" s="1"/>
  <c r="BQ11" i="29" s="1"/>
  <c r="BQ17" i="29" s="1"/>
  <c r="BQ36" i="29" s="1"/>
  <c r="BR11" i="29" s="1"/>
  <c r="BR17" i="29" s="1"/>
  <c r="BR36" i="29" s="1"/>
  <c r="BT11" i="29" l="1"/>
  <c r="BT17" i="29" s="1"/>
  <c r="BT36" i="29" s="1"/>
  <c r="BU11" i="29" s="1"/>
  <c r="BU17" i="29" s="1"/>
  <c r="BU36" i="29" s="1"/>
  <c r="BV11" i="29" s="1"/>
  <c r="BV17" i="29" s="1"/>
  <c r="BV36" i="29" s="1"/>
  <c r="BW11" i="29" s="1"/>
  <c r="BW17" i="29" s="1"/>
  <c r="BW36" i="29" s="1"/>
  <c r="BX11" i="29" s="1"/>
  <c r="BX17" i="29" s="1"/>
  <c r="BX36" i="29" s="1"/>
  <c r="BY11" i="29" s="1"/>
  <c r="BY17" i="29" s="1"/>
  <c r="BY36" i="29" s="1"/>
  <c r="BZ11" i="29" s="1"/>
  <c r="BZ17" i="29" s="1"/>
  <c r="BZ36" i="29" s="1"/>
  <c r="CA11" i="29" s="1"/>
  <c r="CA17" i="29" s="1"/>
  <c r="CA36" i="29" s="1"/>
  <c r="CB11" i="29" s="1"/>
  <c r="CB17" i="29" s="1"/>
  <c r="CB36" i="29" s="1"/>
  <c r="CC11" i="29" s="1"/>
  <c r="CC17" i="29" s="1"/>
  <c r="CC36" i="29" s="1"/>
  <c r="CD11" i="29" s="1"/>
  <c r="CD17" i="29" s="1"/>
  <c r="CD36" i="29" s="1"/>
  <c r="CE11" i="29" s="1"/>
  <c r="CE17" i="29" s="1"/>
  <c r="CE36" i="29" s="1"/>
  <c r="J48" i="29"/>
  <c r="CG11" i="29" l="1"/>
  <c r="CG17" i="29" s="1"/>
  <c r="CG36" i="29" s="1"/>
  <c r="CH11" i="29" s="1"/>
  <c r="CH17" i="29" s="1"/>
  <c r="CH36" i="29" s="1"/>
  <c r="CI11" i="29" s="1"/>
  <c r="CI17" i="29" s="1"/>
  <c r="CI36" i="29" s="1"/>
  <c r="CJ11" i="29" s="1"/>
  <c r="CJ17" i="29" s="1"/>
  <c r="CJ36" i="29" s="1"/>
  <c r="CK11" i="29" s="1"/>
  <c r="CK17" i="29" s="1"/>
  <c r="CK36" i="29" s="1"/>
  <c r="CL11" i="29" s="1"/>
  <c r="CL17" i="29" s="1"/>
  <c r="CL36" i="29" s="1"/>
  <c r="CM11" i="29" s="1"/>
  <c r="CM17" i="29" s="1"/>
  <c r="CM36" i="29" s="1"/>
  <c r="CN11" i="29" s="1"/>
  <c r="CN17" i="29" s="1"/>
  <c r="CN36" i="29" s="1"/>
  <c r="CO11" i="29" s="1"/>
  <c r="CO17" i="29" s="1"/>
  <c r="CO36" i="29" s="1"/>
  <c r="CP11" i="29" s="1"/>
  <c r="CP17" i="29" s="1"/>
  <c r="CP36" i="29" s="1"/>
  <c r="CQ11" i="29" s="1"/>
  <c r="CQ17" i="29" s="1"/>
  <c r="CQ36" i="29" s="1"/>
  <c r="CR11" i="29" s="1"/>
  <c r="CR17" i="29" s="1"/>
  <c r="K48" i="29"/>
  <c r="CR36" i="29" l="1"/>
  <c r="CT11" i="29" s="1"/>
  <c r="CT17" i="29" s="1"/>
  <c r="CT36" i="29" s="1"/>
  <c r="CU11" i="29" s="1"/>
  <c r="CU17" i="29" s="1"/>
  <c r="CU36" i="29" s="1"/>
  <c r="CV11" i="29" s="1"/>
  <c r="CV17" i="29" s="1"/>
  <c r="CV36" i="29" s="1"/>
  <c r="CW11" i="29" s="1"/>
  <c r="CW17" i="29" s="1"/>
  <c r="CW36" i="29" s="1"/>
  <c r="CX11" i="29" s="1"/>
  <c r="CX17" i="29" s="1"/>
  <c r="CX36" i="29" s="1"/>
  <c r="CY11" i="29" s="1"/>
  <c r="CY17" i="29" s="1"/>
  <c r="CY36" i="29" s="1"/>
  <c r="CZ11" i="29" s="1"/>
  <c r="CZ17" i="29" s="1"/>
  <c r="CZ36" i="29" s="1"/>
  <c r="DA11" i="29" s="1"/>
  <c r="DA17" i="29" s="1"/>
  <c r="DA36" i="29" s="1"/>
  <c r="DB11" i="29" s="1"/>
  <c r="DB17" i="29" s="1"/>
  <c r="DB36" i="29" s="1"/>
  <c r="DC11" i="29" s="1"/>
  <c r="DC17" i="29" s="1"/>
  <c r="DC36" i="29" s="1"/>
  <c r="DD11" i="29" s="1"/>
  <c r="DD17" i="29" s="1"/>
  <c r="DD36" i="29" s="1"/>
  <c r="DE11" i="29" s="1"/>
  <c r="DE17" i="29" s="1"/>
  <c r="L48" i="29"/>
  <c r="DE36" i="29" l="1"/>
  <c r="DG11" i="29" s="1"/>
  <c r="DG17" i="29" s="1"/>
  <c r="DG36" i="29" s="1"/>
  <c r="DH11" i="29" s="1"/>
  <c r="DH17" i="29" s="1"/>
  <c r="DH36" i="29" s="1"/>
  <c r="DI11" i="29" s="1"/>
  <c r="DI17" i="29" s="1"/>
  <c r="DI36" i="29" s="1"/>
  <c r="DJ11" i="29" s="1"/>
  <c r="DJ17" i="29" s="1"/>
  <c r="DJ36" i="29" s="1"/>
  <c r="DK11" i="29" s="1"/>
  <c r="DK17" i="29" s="1"/>
  <c r="DK36" i="29" s="1"/>
  <c r="DL11" i="29" s="1"/>
  <c r="DL17" i="29" s="1"/>
  <c r="DL36" i="29" s="1"/>
  <c r="DM11" i="29" s="1"/>
  <c r="DM17" i="29" s="1"/>
  <c r="DM36" i="29" s="1"/>
  <c r="DN11" i="29" s="1"/>
  <c r="DN17" i="29" s="1"/>
  <c r="DN36" i="29" s="1"/>
  <c r="DO11" i="29" s="1"/>
  <c r="DO17" i="29" s="1"/>
  <c r="DO36" i="29" s="1"/>
  <c r="DP11" i="29" s="1"/>
  <c r="DP17" i="29" s="1"/>
  <c r="DP36" i="29" s="1"/>
  <c r="DQ11" i="29" s="1"/>
  <c r="DQ17" i="29" s="1"/>
  <c r="DQ36" i="29" s="1"/>
  <c r="DR11" i="29" s="1"/>
  <c r="DR17" i="29" s="1"/>
  <c r="M48" i="29"/>
  <c r="DR36" i="29" l="1"/>
  <c r="DT11" i="29" s="1"/>
  <c r="DT17" i="29" s="1"/>
  <c r="DT36" i="29" s="1"/>
  <c r="DU11" i="29" s="1"/>
  <c r="DU17" i="29" s="1"/>
  <c r="DU36" i="29" s="1"/>
  <c r="DV11" i="29" s="1"/>
  <c r="DV17" i="29" s="1"/>
  <c r="DV36" i="29" s="1"/>
  <c r="DW11" i="29" s="1"/>
  <c r="DW17" i="29" s="1"/>
  <c r="DW36" i="29" s="1"/>
  <c r="DX11" i="29" s="1"/>
  <c r="DX17" i="29" s="1"/>
  <c r="DX36" i="29" s="1"/>
  <c r="DY11" i="29" s="1"/>
  <c r="DY17" i="29" s="1"/>
  <c r="DY36" i="29" s="1"/>
  <c r="DZ11" i="29" s="1"/>
  <c r="DZ17" i="29" s="1"/>
  <c r="DZ36" i="29" s="1"/>
  <c r="EA11" i="29" s="1"/>
  <c r="EA17" i="29" s="1"/>
  <c r="EA36" i="29" s="1"/>
  <c r="EB11" i="29" s="1"/>
  <c r="EB17" i="29" s="1"/>
  <c r="EB36" i="29" s="1"/>
  <c r="EC11" i="29" s="1"/>
  <c r="EC17" i="29" s="1"/>
  <c r="EC36" i="29" s="1"/>
  <c r="ED11" i="29" s="1"/>
  <c r="ED17" i="29" s="1"/>
  <c r="ED36" i="29" s="1"/>
  <c r="EE11" i="29" s="1"/>
  <c r="EE17" i="29" s="1"/>
  <c r="EE36" i="29" s="1"/>
  <c r="P48" i="29" s="1"/>
  <c r="N48" i="29"/>
  <c r="O48" i="29" l="1"/>
</calcChain>
</file>

<file path=xl/sharedStrings.xml><?xml version="1.0" encoding="utf-8"?>
<sst xmlns="http://schemas.openxmlformats.org/spreadsheetml/2006/main" count="2582" uniqueCount="1325">
  <si>
    <t>Peternakan Ayam Petelur</t>
  </si>
  <si>
    <t>Asumsi</t>
  </si>
  <si>
    <t>General</t>
  </si>
  <si>
    <t>ekor</t>
  </si>
  <si>
    <t>Harga telur</t>
  </si>
  <si>
    <t>Rp/butir</t>
  </si>
  <si>
    <t>Harga ayam afkir</t>
  </si>
  <si>
    <t>Rp/ekor</t>
  </si>
  <si>
    <t>Financial</t>
  </si>
  <si>
    <t>a.</t>
  </si>
  <si>
    <t>b.</t>
  </si>
  <si>
    <t>kg/ekor/hari</t>
  </si>
  <si>
    <t>Rp/kg</t>
  </si>
  <si>
    <t>c.</t>
  </si>
  <si>
    <t>- Kebutuhan</t>
  </si>
  <si>
    <t>d.</t>
  </si>
  <si>
    <t>Rp/kWh</t>
  </si>
  <si>
    <t>Rp/liter</t>
  </si>
  <si>
    <t>e.</t>
  </si>
  <si>
    <t>- Dosis</t>
  </si>
  <si>
    <t>Rp/unit</t>
  </si>
  <si>
    <t>Revenue</t>
  </si>
  <si>
    <t>Asumsi:</t>
  </si>
  <si>
    <t>butir</t>
  </si>
  <si>
    <t>Rp</t>
  </si>
  <si>
    <t>Rp/bulan</t>
  </si>
  <si>
    <t>Years</t>
  </si>
  <si>
    <t>Telur</t>
  </si>
  <si>
    <t>Ayam afkir</t>
  </si>
  <si>
    <t>Total</t>
  </si>
  <si>
    <t>Income Statement</t>
  </si>
  <si>
    <t>Year</t>
  </si>
  <si>
    <t>Variable Cost</t>
  </si>
  <si>
    <t>Listrik</t>
  </si>
  <si>
    <t>Egg tray</t>
  </si>
  <si>
    <t>weeks</t>
  </si>
  <si>
    <t>Ayam mulai betelur</t>
  </si>
  <si>
    <t>Usia bibit ayam yang dibeli</t>
  </si>
  <si>
    <t>bulan</t>
  </si>
  <si>
    <t>Periode ayam bertelur</t>
  </si>
  <si>
    <t>Utilitas:</t>
  </si>
  <si>
    <t>- Listrik</t>
  </si>
  <si>
    <t>- Air</t>
  </si>
  <si>
    <t>Vaksin:</t>
  </si>
  <si>
    <t>gram/ekor/hari</t>
  </si>
  <si>
    <t>Kebutuhan pakan:</t>
  </si>
  <si>
    <t>- Anak ayam</t>
  </si>
  <si>
    <t>- Induk ayam</t>
  </si>
  <si>
    <t>Obat:</t>
  </si>
  <si>
    <t>Pakan</t>
  </si>
  <si>
    <t>Unit price</t>
  </si>
  <si>
    <t>Vitamin:</t>
  </si>
  <si>
    <t>Anak ayam</t>
  </si>
  <si>
    <t>Usage rate</t>
  </si>
  <si>
    <t>unit</t>
  </si>
  <si>
    <t>- Kapasitas/jumlah ayam</t>
  </si>
  <si>
    <t>kali atau dosis/periode</t>
  </si>
  <si>
    <t>Vitamins:</t>
  </si>
  <si>
    <t>butir (juta)</t>
  </si>
  <si>
    <t>Cost of Goods Sold (COGS)</t>
  </si>
  <si>
    <t>Assumptions:</t>
  </si>
  <si>
    <t>Completion of years</t>
  </si>
  <si>
    <t>Beginning FG Inventories</t>
  </si>
  <si>
    <t>Variable Production Cost</t>
  </si>
  <si>
    <t>Plant Overhead</t>
  </si>
  <si>
    <t>Ending FG Inventories</t>
  </si>
  <si>
    <t>COGS</t>
  </si>
  <si>
    <t>1).</t>
  </si>
  <si>
    <t>2).</t>
  </si>
  <si>
    <t>3).</t>
  </si>
  <si>
    <t>Beginning FG inventories</t>
  </si>
  <si>
    <t>Ending FG inventories</t>
  </si>
  <si>
    <t>Cumulative</t>
  </si>
  <si>
    <t>Financial Pre-Feasibility Study</t>
  </si>
  <si>
    <t>Plant Overhead (plant fixed cost)</t>
  </si>
  <si>
    <t>Salary &amp; wages</t>
  </si>
  <si>
    <t>Maintenance &amp; repairs</t>
  </si>
  <si>
    <t>Operating supplies</t>
  </si>
  <si>
    <t>Insurance</t>
  </si>
  <si>
    <t>T o t a l</t>
  </si>
  <si>
    <t xml:space="preserve">Selling, General &amp; Administrative expenses are calculated refer to the following </t>
  </si>
  <si>
    <t>assumptions:</t>
  </si>
  <si>
    <t>a. Salary &amp; wages expense is calculated refer to "salary sheet".</t>
  </si>
  <si>
    <t>b. Depreciation of plant equipments is calculated refer to "depreciation sheet".</t>
  </si>
  <si>
    <t>Plant overhead (fixed cost):</t>
  </si>
  <si>
    <t>- Salary &amp; wages</t>
  </si>
  <si>
    <t>Rp/year</t>
  </si>
  <si>
    <t>- Maintenance &amp; repair</t>
  </si>
  <si>
    <t>- Operating supplies</t>
  </si>
  <si>
    <t>- Insurance (building, machine &amp; equipment, vehicles)</t>
  </si>
  <si>
    <t>Note:</t>
  </si>
  <si>
    <t>Escalation per year for:</t>
  </si>
  <si>
    <t>per year (inflation rate basis)</t>
  </si>
  <si>
    <t>- Maintenance &amp; repairs</t>
  </si>
  <si>
    <t>Salary &amp; Wages</t>
  </si>
  <si>
    <t>Assumption:</t>
  </si>
  <si>
    <t>Selling &amp; Marketing</t>
  </si>
  <si>
    <t>General &amp; Administration</t>
  </si>
  <si>
    <t>TOTAL</t>
  </si>
  <si>
    <t xml:space="preserve">Each year salary escalation is based </t>
  </si>
  <si>
    <t>Position</t>
  </si>
  <si>
    <t>Number</t>
  </si>
  <si>
    <t>IDR/person</t>
  </si>
  <si>
    <t>IDR (total)</t>
  </si>
  <si>
    <t>Selling</t>
  </si>
  <si>
    <t>G &amp; A</t>
  </si>
  <si>
    <t>on inflation rate assumption.</t>
  </si>
  <si>
    <t>per month</t>
  </si>
  <si>
    <t>Monthly</t>
  </si>
  <si>
    <t>Yearly</t>
  </si>
  <si>
    <t>Escalation per year</t>
  </si>
  <si>
    <t>Selling, General &amp; Administrative (SG&amp;A)</t>
  </si>
  <si>
    <t>Selling Expenses</t>
  </si>
  <si>
    <t>General &amp; Administrative</t>
  </si>
  <si>
    <t xml:space="preserve">Grand Total </t>
  </si>
  <si>
    <t>Services</t>
  </si>
  <si>
    <t>Others</t>
  </si>
  <si>
    <t>Selling, General &amp; Administrative expenses are calculated refer to the following assumptions:</t>
  </si>
  <si>
    <t>b. Depreciation for the items included in General &amp; Administration item (such as office building,</t>
  </si>
  <si>
    <t xml:space="preserve">    vehicles) is ignored.</t>
  </si>
  <si>
    <t>Selling expenses:</t>
  </si>
  <si>
    <t>- Services (legal and consultant)</t>
  </si>
  <si>
    <t>General &amp; Administrative expenses:</t>
  </si>
  <si>
    <t>- Insurance (site facilities, vehicles)</t>
  </si>
  <si>
    <t>- Administrative (travel, meeting, office supplies, communication, etc)</t>
  </si>
  <si>
    <t>- Services</t>
  </si>
  <si>
    <t>- Administrative</t>
  </si>
  <si>
    <t>- Others (vehicles rent, promotion)</t>
  </si>
  <si>
    <t>Cost of Goods Sold</t>
  </si>
  <si>
    <t>Gross Margin</t>
  </si>
  <si>
    <t>Selling, General &amp; Administrative</t>
  </si>
  <si>
    <t xml:space="preserve">   Selling expenses</t>
  </si>
  <si>
    <t xml:space="preserve">   General &amp; Administrative</t>
  </si>
  <si>
    <t>Operating Profit</t>
  </si>
  <si>
    <t xml:space="preserve">  Interest expense</t>
  </si>
  <si>
    <t>Earning Before Tax</t>
  </si>
  <si>
    <t xml:space="preserve">  Income tax expense</t>
  </si>
  <si>
    <t>Net Income</t>
  </si>
  <si>
    <t>Capital Investment and Instalment or Draw-down</t>
  </si>
  <si>
    <t>Capital Investment</t>
  </si>
  <si>
    <t>Working Capital Investment (WCI)</t>
  </si>
  <si>
    <t>Interest During Construction (IDC)</t>
  </si>
  <si>
    <t>Working Capital</t>
  </si>
  <si>
    <t>+1</t>
  </si>
  <si>
    <t>Depreciation or Amortization</t>
  </si>
  <si>
    <t>Depreciation</t>
  </si>
  <si>
    <t>Fixed Capital Investment (FCI)</t>
  </si>
  <si>
    <t>years</t>
  </si>
  <si>
    <t>% per year</t>
  </si>
  <si>
    <t>Rp/tray (30 butir/tray)</t>
  </si>
  <si>
    <t>Reference</t>
  </si>
  <si>
    <t>Reference-1</t>
  </si>
  <si>
    <t>Title:</t>
  </si>
  <si>
    <t>Publication by:</t>
  </si>
  <si>
    <t>Date:</t>
  </si>
  <si>
    <t>Usaha ternak ayam petelur 100 ekor untuk pemula</t>
  </si>
  <si>
    <t>drh Karinadintha Marsya Rachman</t>
  </si>
  <si>
    <t>1 November 2021</t>
  </si>
  <si>
    <t>250-280</t>
  </si>
  <si>
    <t>butir/tahun/ayam</t>
  </si>
  <si>
    <t>Basis analisis:</t>
  </si>
  <si>
    <t xml:space="preserve">Periode </t>
  </si>
  <si>
    <t>Jumlah ayam petelur</t>
  </si>
  <si>
    <t>Produktivitas telur</t>
  </si>
  <si>
    <t>Investasi peralatan:</t>
  </si>
  <si>
    <t>Kandang battery</t>
  </si>
  <si>
    <t>Biaya pembuatan kandang</t>
  </si>
  <si>
    <t>Talang pakan</t>
  </si>
  <si>
    <t>Satuan</t>
  </si>
  <si>
    <t>Kuantitas</t>
  </si>
  <si>
    <t>cm</t>
  </si>
  <si>
    <t>400 (80 pcs)</t>
  </si>
  <si>
    <t>Nipple tempat minum</t>
  </si>
  <si>
    <t>pcs</t>
  </si>
  <si>
    <t>Harga satuan, Rp/unit</t>
  </si>
  <si>
    <t>Total dana, Rp</t>
  </si>
  <si>
    <t>Tempat telur</t>
  </si>
  <si>
    <t>cs</t>
  </si>
  <si>
    <t>Sewa lahan</t>
  </si>
  <si>
    <t>Timbangan</t>
  </si>
  <si>
    <t>Ember</t>
  </si>
  <si>
    <t>Sekop</t>
  </si>
  <si>
    <t>m2</t>
  </si>
  <si>
    <t>Dana variabel:</t>
  </si>
  <si>
    <t>Bibit pullet (16 weeks)</t>
  </si>
  <si>
    <t>Air</t>
  </si>
  <si>
    <t>kg</t>
  </si>
  <si>
    <t>paket</t>
  </si>
  <si>
    <t>liter</t>
  </si>
  <si>
    <t>kg/bulan</t>
  </si>
  <si>
    <t>liter/bulan</t>
  </si>
  <si>
    <t>Gaji (tukang buat kandang)</t>
  </si>
  <si>
    <t>Kotoran ayam</t>
  </si>
  <si>
    <t>Fase stater = 1,8 lt/hari, dewasa = 14,1 lt/hari</t>
  </si>
  <si>
    <t>Pendapatan (bulanan)</t>
  </si>
  <si>
    <t>kg/hari</t>
  </si>
  <si>
    <t>karung</t>
  </si>
  <si>
    <t>karung/bulan</t>
  </si>
  <si>
    <t>Vaksin (ND-B1)</t>
  </si>
  <si>
    <t>frekwensi suntikan 1x per 2 bulan</t>
  </si>
  <si>
    <t>alternatif 4 liter/bulan, biaya Rp 104000</t>
  </si>
  <si>
    <t>Suplemen organik cair (30ml/100 ekor)</t>
  </si>
  <si>
    <t>Reference-2</t>
  </si>
  <si>
    <t>Zeni BS, Eddy, TS, Adi Andaka</t>
  </si>
  <si>
    <t>- Persen ayam betelur</t>
  </si>
  <si>
    <t>%</t>
  </si>
  <si>
    <t>- Harga telur</t>
  </si>
  <si>
    <t>- Jumlah telur</t>
  </si>
  <si>
    <t>- Berat telur (40-80 gram per butir)</t>
  </si>
  <si>
    <t>butir/hari</t>
  </si>
  <si>
    <t>gram/butir</t>
  </si>
  <si>
    <t>kg/tahun</t>
  </si>
  <si>
    <t>Rp/tahun</t>
  </si>
  <si>
    <t>- Dijual pada akhir tahun ke-2</t>
  </si>
  <si>
    <t>- Persen ayam afkir</t>
  </si>
  <si>
    <t>- Jumlah ayam afkir</t>
  </si>
  <si>
    <t>- Harga ayam afkir</t>
  </si>
  <si>
    <t>- Hasil penjualan ayam afkir</t>
  </si>
  <si>
    <t>- Hasil penjualan telur</t>
  </si>
  <si>
    <t>Kotoran ayam:</t>
  </si>
  <si>
    <t>- Jumlah kotoran ayam</t>
  </si>
  <si>
    <t>karung/tahun</t>
  </si>
  <si>
    <t>- Hasil penjualan kotoran</t>
  </si>
  <si>
    <t>- Harga kotoran ayam</t>
  </si>
  <si>
    <t>Rp/karung</t>
  </si>
  <si>
    <t>Pendapatan:</t>
  </si>
  <si>
    <t>Umur usaha</t>
  </si>
  <si>
    <t>tahun</t>
  </si>
  <si>
    <t>Modal investasi</t>
  </si>
  <si>
    <t>Salvage value</t>
  </si>
  <si>
    <t>Biaya penyusutan</t>
  </si>
  <si>
    <t>Biaya operasional</t>
  </si>
  <si>
    <t xml:space="preserve">    Pakan:</t>
  </si>
  <si>
    <t xml:space="preserve">    - Jagung</t>
  </si>
  <si>
    <t xml:space="preserve">    - Dedak</t>
  </si>
  <si>
    <t xml:space="preserve">    - Kulit kerang</t>
  </si>
  <si>
    <t xml:space="preserve">    - Konsentrat</t>
  </si>
  <si>
    <t xml:space="preserve">    - Ikan</t>
  </si>
  <si>
    <t>Analisis biaya produksi peternakan ayam petelur di kabupaten Tulung Agung (dofir layer farm)</t>
  </si>
  <si>
    <t xml:space="preserve">    DOC</t>
  </si>
  <si>
    <t xml:space="preserve">    Sekam</t>
  </si>
  <si>
    <t xml:space="preserve">    Karung bekas</t>
  </si>
  <si>
    <t xml:space="preserve">    Koran bekas</t>
  </si>
  <si>
    <t xml:space="preserve">    Spidol</t>
  </si>
  <si>
    <t xml:space="preserve">    Insentif</t>
  </si>
  <si>
    <t xml:space="preserve">    Vaksin</t>
  </si>
  <si>
    <t xml:space="preserve">    Obat-obatan</t>
  </si>
  <si>
    <t xml:space="preserve">    Desinfektan dan antiseptik</t>
  </si>
  <si>
    <t xml:space="preserve">    Gas elpiji</t>
  </si>
  <si>
    <t>buah</t>
  </si>
  <si>
    <t>Rp/buah</t>
  </si>
  <si>
    <t>orang</t>
  </si>
  <si>
    <t>pack</t>
  </si>
  <si>
    <t>tabung</t>
  </si>
  <si>
    <t>Rp/pack</t>
  </si>
  <si>
    <t>Rp/tabung</t>
  </si>
  <si>
    <t>Rp/orang/bulan</t>
  </si>
  <si>
    <t>buah/bulan</t>
  </si>
  <si>
    <t>Rp/periode</t>
  </si>
  <si>
    <t>Catatan:</t>
  </si>
  <si>
    <t>Penggunaan gas LPG:</t>
  </si>
  <si>
    <t>- Konsumsi</t>
  </si>
  <si>
    <t>6 tabung/hari (dipakai hingga DOC berusia 30 hari).</t>
  </si>
  <si>
    <t>- Dalam setahun</t>
  </si>
  <si>
    <t>ada 4 siklus produksi</t>
  </si>
  <si>
    <t>- Sehingga tabung gas dipakai</t>
  </si>
  <si>
    <t>=6 x 30 x 4 = 720 tabung/tahun</t>
  </si>
  <si>
    <t>See "depreciation sheet"</t>
  </si>
  <si>
    <t>Produksi Telur Ayam Petelur menurut Provinsi (Ton)</t>
  </si>
  <si>
    <t>Tahun</t>
  </si>
  <si>
    <t>ACEH</t>
  </si>
  <si>
    <t>INDONESIA</t>
  </si>
  <si>
    <t>Produksi dan Konsumsi telur ayam</t>
  </si>
  <si>
    <t>ton/tahun</t>
  </si>
  <si>
    <t>Konsumsi telur (Indonesia):</t>
  </si>
  <si>
    <t>Simeulue</t>
  </si>
  <si>
    <t>Aceh Singkil</t>
  </si>
  <si>
    <t>Aceh Selatan</t>
  </si>
  <si>
    <t>Aceh Tenggara</t>
  </si>
  <si>
    <t>Aceh Timur</t>
  </si>
  <si>
    <t>Aceh tengah</t>
  </si>
  <si>
    <t>Aceh Barat Daya</t>
  </si>
  <si>
    <t>Aceh Besar</t>
  </si>
  <si>
    <t xml:space="preserve">Pidie </t>
  </si>
  <si>
    <t>Bireuen</t>
  </si>
  <si>
    <t>Aceh Utara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</si>
  <si>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</si>
  <si>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</si>
  <si>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</si>
  <si>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</si>
  <si>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</si>
  <si>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</si>
  <si>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</si>
  <si>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</si>
  <si>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</si>
  <si>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</si>
  <si>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Subussalam</t>
  </si>
  <si>
    <t>Penduduk Aceh,       kapita/jiwa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</si>
  <si>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</si>
  <si>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</si>
  <si>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</si>
  <si>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</si>
  <si>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</si>
  <si>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</si>
  <si>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</si>
  <si>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</si>
  <si>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</si>
  <si>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</si>
  <si>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</si>
  <si>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</si>
  <si>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</si>
  <si>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Yokyakarta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</si>
  <si>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</si>
  <si>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</si>
  <si>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</si>
  <si>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</si>
  <si>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</si>
  <si>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</si>
  <si>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</si>
  <si>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</si>
  <si>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</si>
  <si>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</si>
  <si>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</si>
  <si>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</si>
  <si>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</si>
  <si>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</si>
  <si>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</si>
  <si>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</si>
  <si>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</si>
  <si>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</si>
  <si>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</si>
  <si>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</si>
  <si>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a. Per kapita/tahun:</t>
  </si>
  <si>
    <t xml:space="preserve">    Tahun 2017</t>
  </si>
  <si>
    <t xml:space="preserve">    Tahun 2018</t>
  </si>
  <si>
    <t xml:space="preserve">    Tahun 2019</t>
  </si>
  <si>
    <t xml:space="preserve">    Tahun 2020</t>
  </si>
  <si>
    <t>b. Per kapita/minggu:</t>
  </si>
  <si>
    <t xml:space="preserve">    Tahun 2021</t>
  </si>
  <si>
    <t>c. Setahun</t>
  </si>
  <si>
    <t>minggu</t>
  </si>
  <si>
    <t>Konsumsi Telur Ayam Ras, butir/kapita/minggu</t>
  </si>
  <si>
    <t>d. 1 kg telur</t>
  </si>
  <si>
    <t>Konsumsi Telur Ayam Ras, juta butir/tahun</t>
  </si>
  <si>
    <t>Konsumsi Telur Ayam Ras, ton/tahun</t>
  </si>
  <si>
    <t>Produksi dan konsumsi telur Aceh (tahun 2021):</t>
  </si>
  <si>
    <t>ton</t>
  </si>
  <si>
    <t>c. Defisit</t>
  </si>
  <si>
    <t>b. Produksi</t>
  </si>
  <si>
    <t>a. Konsumsi</t>
  </si>
  <si>
    <t>% of consumption</t>
  </si>
  <si>
    <t>Rencana produksi &amp; target pasar:</t>
  </si>
  <si>
    <t>a. Rencana produksi</t>
  </si>
  <si>
    <t>butir (juta)/tahun</t>
  </si>
  <si>
    <t>Jenis Layanan</t>
  </si>
  <si>
    <t>Tarif, Rp</t>
  </si>
  <si>
    <t>per butir (dikurangi 5% dari harga pasar)</t>
  </si>
  <si>
    <t>per kg (dikurangi 40% dari harga pasar)</t>
  </si>
  <si>
    <t>per kg</t>
  </si>
  <si>
    <t>a. Telur ayam</t>
  </si>
  <si>
    <t>b. Ayam afkir</t>
  </si>
  <si>
    <t>c. Pupuk kandang</t>
  </si>
  <si>
    <t>Harga pasar (September 2022):</t>
  </si>
  <si>
    <t>a. Harga telur ayam ras (coklat)</t>
  </si>
  <si>
    <t>Rp/egg tray</t>
  </si>
  <si>
    <t>Rp/butir (30 butir/egg tray)</t>
  </si>
  <si>
    <t>b. Harga ayam afkir</t>
  </si>
  <si>
    <t>Total Capital Investment</t>
  </si>
  <si>
    <t>Rp (excluded IDC)</t>
  </si>
  <si>
    <t>Working Capital (WCI)</t>
  </si>
  <si>
    <t>Rp, proposed as "working capital sheet"</t>
  </si>
  <si>
    <t>Shareholder loan</t>
  </si>
  <si>
    <t>Self-financing</t>
  </si>
  <si>
    <t xml:space="preserve">Loan Interest </t>
  </si>
  <si>
    <t>Tenor</t>
  </si>
  <si>
    <t>Grace Period</t>
  </si>
  <si>
    <t>Inflation Rate</t>
  </si>
  <si>
    <t>Depreciation/Amortization</t>
  </si>
  <si>
    <t>Tax holiday</t>
  </si>
  <si>
    <t>Plant overhead cost</t>
  </si>
  <si>
    <t>See "PlantOVH sheet".</t>
  </si>
  <si>
    <t>Selling, General &amp; Adminstrative expenses</t>
  </si>
  <si>
    <t>See "SG&amp;A sheet".</t>
  </si>
  <si>
    <t>Formula:</t>
  </si>
  <si>
    <t>WACC = Equity portion*Cost of equity</t>
  </si>
  <si>
    <t>Perhitungan cost of equity:</t>
  </si>
  <si>
    <t>Ada 4 metode:</t>
  </si>
  <si>
    <t>(1). Metode Capital Asset Pricing Model (CAPM)</t>
  </si>
  <si>
    <t>(2). Metode dividen saham (constant growth valuation model)</t>
  </si>
  <si>
    <t>(3). Metode Edward Bell Ohlson model</t>
  </si>
  <si>
    <t>(4). Pendekatan investasi bebas risiko plus premi risiko</t>
  </si>
  <si>
    <t xml:space="preserve">Rumus metode (4): </t>
  </si>
  <si>
    <t>Cost of equity = Imbal hasil bebas risiko + premi risiko</t>
  </si>
  <si>
    <t>Dalam hal ini:</t>
  </si>
  <si>
    <t>- Imbal hasil bebas risiko (risk free rate):</t>
  </si>
  <si>
    <t xml:space="preserve">  Dapat diambil pertimbangan contoh SBN atau SBR yang mendapat jaminan dari</t>
  </si>
  <si>
    <t xml:space="preserve">  Pemerintah (misal 7%).</t>
  </si>
  <si>
    <t>- Premi risiko (risk premium):</t>
  </si>
  <si>
    <t xml:space="preserve">  Merupakan sejumlah uang/modal yang rela dilepaskan oleh pengambil keputusan</t>
  </si>
  <si>
    <t xml:space="preserve">  untuk dapat menghindari risiko dari suatu kejadian tidak pasti yang dihadapi.</t>
  </si>
  <si>
    <t xml:space="preserve">  Angka premi risiko akan sangat berbeda tergantung terhadap risiko yang timbul dari </t>
  </si>
  <si>
    <t xml:space="preserve">  variabel yang dipertimbangkan. Sebagai contoh, dari website diperoleh  Indonesia</t>
  </si>
  <si>
    <t xml:space="preserve">  memiliki risk premium sebesar 8.03%.</t>
  </si>
  <si>
    <t>Knowns:</t>
  </si>
  <si>
    <t>No preferred and common share of capital</t>
  </si>
  <si>
    <t>Debt portion</t>
  </si>
  <si>
    <t>Equity portion</t>
  </si>
  <si>
    <t>Loan interest rate</t>
  </si>
  <si>
    <t>Income tax rate</t>
  </si>
  <si>
    <t>Risk free rate</t>
  </si>
  <si>
    <t>Assume</t>
  </si>
  <si>
    <t>Risk premium</t>
  </si>
  <si>
    <t>Cost of equity</t>
  </si>
  <si>
    <t>Then</t>
  </si>
  <si>
    <t>WACC =</t>
  </si>
  <si>
    <t>Risk free rate =</t>
  </si>
  <si>
    <t>Mature market risk premium =</t>
  </si>
  <si>
    <t>Country risk premium =</t>
  </si>
  <si>
    <t>months (during construction stage)</t>
  </si>
  <si>
    <t>Tarif Layanan BLUD UPTD BTNR (sesuai PERGUB Aceh No. 24, tahun 2021)</t>
  </si>
  <si>
    <t>1,000-2,000</t>
  </si>
  <si>
    <t>20,000-50,000</t>
  </si>
  <si>
    <t>Rp (see CapitalInvestment and LoanInterest sheets")</t>
  </si>
  <si>
    <t>% per year (WACC method)</t>
  </si>
  <si>
    <r>
      <t>years since commercial production start</t>
    </r>
    <r>
      <rPr>
        <vertAlign val="superscript"/>
        <sz val="8"/>
        <color theme="1"/>
        <rFont val="Calibri"/>
        <family val="2"/>
        <scheme val="minor"/>
      </rPr>
      <t xml:space="preserve"> </t>
    </r>
  </si>
  <si>
    <t>Rp/ekor ayam</t>
  </si>
  <si>
    <t>Average</t>
  </si>
  <si>
    <t>COGS per ekor ayam =</t>
  </si>
  <si>
    <t>Assumption</t>
  </si>
  <si>
    <t>Cost Structure</t>
  </si>
  <si>
    <t>Persen (%)</t>
  </si>
  <si>
    <t>General &amp; ADM Expenses</t>
  </si>
  <si>
    <t>Total Cost</t>
  </si>
  <si>
    <t xml:space="preserve">Cumulative </t>
  </si>
  <si>
    <t xml:space="preserve">Average </t>
  </si>
  <si>
    <t>Percent (%)</t>
  </si>
  <si>
    <t>Contribution</t>
  </si>
  <si>
    <t>Rp/butir (5% less than market price)</t>
  </si>
  <si>
    <t>Rp/ekor (40% less than market price)</t>
  </si>
  <si>
    <t>1.</t>
  </si>
  <si>
    <t>3.</t>
  </si>
  <si>
    <t>4.</t>
  </si>
  <si>
    <t>Mortalitas:</t>
  </si>
  <si>
    <t>Bulan</t>
  </si>
  <si>
    <t>Anak</t>
  </si>
  <si>
    <t>Induk</t>
  </si>
  <si>
    <t>Masa pelihara:</t>
  </si>
  <si>
    <t>a. Anak ayam</t>
  </si>
  <si>
    <t>b. Induk ayam</t>
  </si>
  <si>
    <t>Umur:</t>
  </si>
  <si>
    <t>- Anak ayam dibeli</t>
  </si>
  <si>
    <t>- Induk ayam mulai bertelur</t>
  </si>
  <si>
    <t>- Induk ayam berhenti bertelur</t>
  </si>
  <si>
    <t>Periode produksi telur</t>
  </si>
  <si>
    <t>Basis pembelian anak ayam</t>
  </si>
  <si>
    <t>Telur, butir</t>
  </si>
  <si>
    <t>Ayam afkir, ekor</t>
  </si>
  <si>
    <t>a. Jumlah induk ayam yang bertelur</t>
  </si>
  <si>
    <t>% dari jumlah ayam petelur</t>
  </si>
  <si>
    <t xml:space="preserve">4). </t>
  </si>
  <si>
    <t>Harga:</t>
  </si>
  <si>
    <t>a. Harga telur</t>
  </si>
  <si>
    <t>See "LifeCycle" sheet</t>
  </si>
  <si>
    <t>- ND-AI</t>
  </si>
  <si>
    <t>- ND-IB</t>
  </si>
  <si>
    <t>- ND-EDS IB</t>
  </si>
  <si>
    <t>- Vita stress</t>
  </si>
  <si>
    <t>- Eggstimulan</t>
  </si>
  <si>
    <t>Eggstimulan</t>
  </si>
  <si>
    <t>Obat cacing</t>
  </si>
  <si>
    <t>buah/ekor</t>
  </si>
  <si>
    <t>bulan/cycle</t>
  </si>
  <si>
    <t>a. ND-AI</t>
  </si>
  <si>
    <t>Rp/botol</t>
  </si>
  <si>
    <t>b. ND-EDS IB</t>
  </si>
  <si>
    <t>c. ND-IB</t>
  </si>
  <si>
    <t>vial/cycle/ekor</t>
  </si>
  <si>
    <t>botol/siklus/ekor</t>
  </si>
  <si>
    <t>botol/cycle/ekor</t>
  </si>
  <si>
    <t>Rp/vial</t>
  </si>
  <si>
    <t>a. Vita stress</t>
  </si>
  <si>
    <t>b. Eggstimulan</t>
  </si>
  <si>
    <t>Anak&amp;Induk</t>
  </si>
  <si>
    <t>pack/cycle/ekor</t>
  </si>
  <si>
    <t>Anti biotik</t>
  </si>
  <si>
    <t>Rp/box</t>
  </si>
  <si>
    <t>Konsumsi anti biotik</t>
  </si>
  <si>
    <t>Konsumsi obat cacing</t>
  </si>
  <si>
    <t>box/cycle/ekor</t>
  </si>
  <si>
    <t>kg/cycle/ekor</t>
  </si>
  <si>
    <t>Induk ayam</t>
  </si>
  <si>
    <t>Vita stress</t>
  </si>
  <si>
    <t>2.</t>
  </si>
  <si>
    <t>Konsumsi dan harga:</t>
  </si>
  <si>
    <t>Pakan:</t>
  </si>
  <si>
    <t>butir/tray</t>
  </si>
  <si>
    <t>Rp/tray</t>
  </si>
  <si>
    <t>Egg Tray, pieces</t>
  </si>
  <si>
    <t>Anti biotik, box</t>
  </si>
  <si>
    <t>Obat cacing, kg</t>
  </si>
  <si>
    <t>Vaksin ND-AI, botol</t>
  </si>
  <si>
    <t>Vaksin ND-EDS IB, botol</t>
  </si>
  <si>
    <t>Vaksin ND-IB, vial</t>
  </si>
  <si>
    <t>kW/ekor</t>
  </si>
  <si>
    <t>Listrik, kWh</t>
  </si>
  <si>
    <t>Anak ayam, ekor</t>
  </si>
  <si>
    <t>Bola lampu, buah</t>
  </si>
  <si>
    <t>Bola lampu</t>
  </si>
  <si>
    <t>Operating supplies:</t>
  </si>
  <si>
    <t>- Baki telur dari bahan plastik dengan kapasitas 30 butir telur per baki.</t>
  </si>
  <si>
    <t>f.</t>
  </si>
  <si>
    <t>g.</t>
  </si>
  <si>
    <t>A.</t>
  </si>
  <si>
    <t>i.</t>
  </si>
  <si>
    <t>B.</t>
  </si>
  <si>
    <t>C.</t>
  </si>
  <si>
    <t>Total Capital Investment (TCI)</t>
  </si>
  <si>
    <t>Pekerjaan persiapan:</t>
  </si>
  <si>
    <t>Please check "CapitalInvestment" sheet for yearly depreciation calculation.</t>
  </si>
  <si>
    <t>The only things of FCI to be depreciated are:</t>
  </si>
  <si>
    <t>Saldo awal</t>
  </si>
  <si>
    <t>Kas dihasilkan (diperoleh)</t>
  </si>
  <si>
    <t>Kas tersedia</t>
  </si>
  <si>
    <t>Modal kas diterima</t>
  </si>
  <si>
    <t>Kas dipakai:</t>
  </si>
  <si>
    <t>Saldo akhir</t>
  </si>
  <si>
    <t>h.</t>
  </si>
  <si>
    <t>Bulan ke-</t>
  </si>
  <si>
    <t>Ringkasan</t>
  </si>
  <si>
    <t>Modal kerja:</t>
  </si>
  <si>
    <t>Ke-1</t>
  </si>
  <si>
    <t>Produktivitas produksi telur</t>
  </si>
  <si>
    <t>Cost of capital (discount rate)</t>
  </si>
  <si>
    <t>See "CapitalInvestment" sheet</t>
  </si>
  <si>
    <t>Usage rate and unit price</t>
  </si>
  <si>
    <t>Harga anak ayam</t>
  </si>
  <si>
    <t xml:space="preserve">Perhitungan </t>
  </si>
  <si>
    <t xml:space="preserve">              + Debt portion*After tax cost of debt</t>
  </si>
  <si>
    <t>Perhitungan:</t>
  </si>
  <si>
    <t>Method (4)</t>
  </si>
  <si>
    <t>Cost of Capital</t>
  </si>
  <si>
    <t>Reference-3</t>
  </si>
  <si>
    <t>Dinas Peternakan</t>
  </si>
  <si>
    <t>None</t>
  </si>
  <si>
    <t>Additional info</t>
  </si>
  <si>
    <t>unit/ekor/tahun</t>
  </si>
  <si>
    <t>- Ember plastik (@30 liter)</t>
  </si>
  <si>
    <t>- Tong air plastik (@100 liter)</t>
  </si>
  <si>
    <t>- Sekop gagang kayu</t>
  </si>
  <si>
    <t>- Sapu lidi</t>
  </si>
  <si>
    <t>- Baki telur</t>
  </si>
  <si>
    <t>unit/tahun</t>
  </si>
  <si>
    <t>- Depreciation</t>
  </si>
  <si>
    <t>a. PVCF = Cash for investment</t>
  </si>
  <si>
    <t>b. FVCF = Cash to be distributed</t>
  </si>
  <si>
    <t>Beban Pajak Penghasilan Badan (Corporate Income Tax Expenses)</t>
  </si>
  <si>
    <t>Unlevered Free Cash Flow</t>
  </si>
  <si>
    <t>Capital Investment Draw-down</t>
  </si>
  <si>
    <t>Net Free Cash Flow (FCF)</t>
  </si>
  <si>
    <t>Internal Rate of Return (IRR) =</t>
  </si>
  <si>
    <t>Present Value for Profitability Index Calculation</t>
  </si>
  <si>
    <t>Present and Future Values of Cash Flow for MIRR calculation</t>
  </si>
  <si>
    <t>Cumulative Free Cash Flow</t>
  </si>
  <si>
    <t>Discount Factor</t>
  </si>
  <si>
    <t>Discounted Free Cash Flow</t>
  </si>
  <si>
    <t>Cumulative Discounted Free Cash Flow</t>
  </si>
  <si>
    <t>Discounted Unlevered Free Cash Flow</t>
  </si>
  <si>
    <t>Discounted Capital Investment</t>
  </si>
  <si>
    <t>Present Value Cash Outflow (PVCF)</t>
  </si>
  <si>
    <t>Compound Rate</t>
  </si>
  <si>
    <t>Future Value Cash Inflow (FVCF)</t>
  </si>
  <si>
    <t>A</t>
  </si>
  <si>
    <t>B</t>
  </si>
  <si>
    <t>D</t>
  </si>
  <si>
    <t>Ʃ(H)</t>
  </si>
  <si>
    <t>I=fd*D</t>
  </si>
  <si>
    <t>cr</t>
  </si>
  <si>
    <t>Operasional</t>
  </si>
  <si>
    <t>Project valuation:</t>
  </si>
  <si>
    <t>MIRR calculations:</t>
  </si>
  <si>
    <t>Payback period calculations:</t>
  </si>
  <si>
    <t>Cost of capital</t>
  </si>
  <si>
    <t>Present value cash out flow, PVCF</t>
  </si>
  <si>
    <t>Year before the discounted payback period occurs =</t>
  </si>
  <si>
    <t>Total capital investment</t>
  </si>
  <si>
    <t>Future value cash inflow, FVCF</t>
  </si>
  <si>
    <t>Cumulative cash flow in year before recovery =</t>
  </si>
  <si>
    <t>Net Present Value (NPV)</t>
  </si>
  <si>
    <t>Discounted cash flow in year after recovery =</t>
  </si>
  <si>
    <t>Internal Rate of Return (IRR)</t>
  </si>
  <si>
    <t>Project life</t>
  </si>
  <si>
    <t>Discounted payback period =</t>
  </si>
  <si>
    <t>year</t>
  </si>
  <si>
    <t>Modified IRR (MIRR)</t>
  </si>
  <si>
    <t>MIRR</t>
  </si>
  <si>
    <t>Profitability Index (PI)</t>
  </si>
  <si>
    <t>MIRR = Modified Internal rate of return</t>
  </si>
  <si>
    <t>Profit margin calculations:</t>
  </si>
  <si>
    <t>Payback Period (PBT)</t>
  </si>
  <si>
    <t>a. Gross profit margin (GPM):</t>
  </si>
  <si>
    <t>Profitability index calculations:</t>
  </si>
  <si>
    <t xml:space="preserve">     Revenue</t>
  </si>
  <si>
    <t>Cumulative discounted free cash inflow</t>
  </si>
  <si>
    <t xml:space="preserve">     COGS</t>
  </si>
  <si>
    <t xml:space="preserve">Cumulative discounted cash outflow </t>
  </si>
  <si>
    <t xml:space="preserve">     GPM</t>
  </si>
  <si>
    <t>b. Net profit margin (NPM):</t>
  </si>
  <si>
    <t xml:space="preserve">     Net income</t>
  </si>
  <si>
    <t xml:space="preserve">     NPM</t>
  </si>
  <si>
    <t>C</t>
  </si>
  <si>
    <t>Pengeluaran Modal Investasi</t>
  </si>
  <si>
    <t>Jenis Modal</t>
  </si>
  <si>
    <t>Sumber Modal</t>
  </si>
  <si>
    <t>Porsi Pengeluaran</t>
  </si>
  <si>
    <t>Investasi tahap I</t>
  </si>
  <si>
    <t>FCI</t>
  </si>
  <si>
    <t xml:space="preserve">  See "WorkingCapital sheets"</t>
  </si>
  <si>
    <t>WCI</t>
  </si>
  <si>
    <t>Investasi tahap II</t>
  </si>
  <si>
    <t>Interest Expenses</t>
  </si>
  <si>
    <t>E=A+B-C-D</t>
  </si>
  <si>
    <t>F</t>
  </si>
  <si>
    <t>Tahun 1</t>
  </si>
  <si>
    <t>Tahun 2</t>
  </si>
  <si>
    <t>2). Pengeluaran modal untuk investasi tahap II dibukukan pada akhir tahun ke-2 (yaitu setelah operasional tahun ke-1 berakhir).</t>
  </si>
  <si>
    <t>1). Pengeluaran modal untuk investasi tahap I dibukukan pada akhir tahun 1 (setelah pabrikasi fasilitas selesai).</t>
  </si>
  <si>
    <t>G=E-F</t>
  </si>
  <si>
    <t>Ʃ(G)</t>
  </si>
  <si>
    <t>fd1</t>
  </si>
  <si>
    <t>H=fd1*G</t>
  </si>
  <si>
    <t>fd2</t>
  </si>
  <si>
    <t>I=fd2*G</t>
  </si>
  <si>
    <t>J=cr*E</t>
  </si>
  <si>
    <t>Rp, thousands</t>
  </si>
  <si>
    <t>Rp, thousands (investment)</t>
  </si>
  <si>
    <t>Rp (thousands)/year</t>
  </si>
  <si>
    <t>Project Valuation</t>
  </si>
  <si>
    <t xml:space="preserve">    - Konsumsi tahun 2021</t>
  </si>
  <si>
    <t xml:space="preserve">    - Target pemasaran</t>
  </si>
  <si>
    <t>% dari produksi</t>
  </si>
  <si>
    <t xml:space="preserve">    - Pemenuhan pasar</t>
  </si>
  <si>
    <t>% dari konsumsi tahun 2021</t>
  </si>
  <si>
    <t>b. Pemasaran difokuskan untuk daerah Aceh Jaya:</t>
  </si>
  <si>
    <t>COGS = Cost of Goods Sold (beban pokok pendapatan/harga pokok pendapatan)</t>
  </si>
  <si>
    <t>SG&amp;A = Selling, General and Administration</t>
  </si>
  <si>
    <t>Operating profit = Laba operasi</t>
  </si>
  <si>
    <t>Gross profit = Laba kotor</t>
  </si>
  <si>
    <t>Interest expense = beban hutang (pinjaman)</t>
  </si>
  <si>
    <t>Income tax expense = Pajak penghasilan badan</t>
  </si>
  <si>
    <t>Net income = Laba bersih</t>
  </si>
  <si>
    <t>Keterangan:</t>
  </si>
  <si>
    <t>Revenue = Pendapatan (bersih)</t>
  </si>
  <si>
    <t>Selling expense = Beban pemasaran</t>
  </si>
  <si>
    <t>General &amp; administrative expense = Beban umum dan administrasi</t>
  </si>
  <si>
    <t>Earning before tax = Laba sebelum pajak penghasilan badan</t>
  </si>
  <si>
    <t>Yearly Average</t>
  </si>
  <si>
    <t>unit/orang/tahun</t>
  </si>
  <si>
    <t>% (3% untuk masa pelihara 4 bulan)</t>
  </si>
  <si>
    <t>Round-up</t>
  </si>
  <si>
    <t>Ekor</t>
  </si>
  <si>
    <t xml:space="preserve">Rp/year </t>
  </si>
  <si>
    <t>- Bekatul (dedak halus)</t>
  </si>
  <si>
    <t>- Konsentrat (124)</t>
  </si>
  <si>
    <t>kg/kg pakan</t>
  </si>
  <si>
    <t>- Jagung (butir)</t>
  </si>
  <si>
    <t>Jagung</t>
  </si>
  <si>
    <t>Bekatul</t>
  </si>
  <si>
    <t>Bahan pakan:</t>
  </si>
  <si>
    <t>b. Bekatul (dedah halus)</t>
  </si>
  <si>
    <t>a. Jagung (butir)</t>
  </si>
  <si>
    <t>c. Konsentrat (124)</t>
  </si>
  <si>
    <t>Biaya bahan pakan =</t>
  </si>
  <si>
    <t>Country risk premium rate calculation:</t>
  </si>
  <si>
    <t xml:space="preserve">   Rate = (default spread x average volatility multiplier) + risk premium for a mature market.</t>
  </si>
  <si>
    <t>Example:</t>
  </si>
  <si>
    <t>For Angola:</t>
  </si>
  <si>
    <t>Hence, Angola risk premium rate =</t>
  </si>
  <si>
    <t>Moody's rating</t>
  </si>
  <si>
    <t>Default Spread</t>
  </si>
  <si>
    <t>Country Risk Premium</t>
  </si>
  <si>
    <t>Equity Risk Premium</t>
  </si>
  <si>
    <t>Corporate Tax Rate</t>
  </si>
  <si>
    <t>Abu Dhabi</t>
  </si>
  <si>
    <t>Aa2</t>
  </si>
  <si>
    <t>Albania</t>
  </si>
  <si>
    <t>B1</t>
  </si>
  <si>
    <t>Algeria</t>
  </si>
  <si>
    <t>NR</t>
  </si>
  <si>
    <t>Andorra (Principality of)</t>
  </si>
  <si>
    <t>Baa2</t>
  </si>
  <si>
    <t>Angola</t>
  </si>
  <si>
    <t>B3</t>
  </si>
  <si>
    <t>Argentina</t>
  </si>
  <si>
    <t>Ca</t>
  </si>
  <si>
    <t>Armenia</t>
  </si>
  <si>
    <t>Ba3</t>
  </si>
  <si>
    <t>Aruba</t>
  </si>
  <si>
    <t>Australia</t>
  </si>
  <si>
    <t>Aaa</t>
  </si>
  <si>
    <t>Austria</t>
  </si>
  <si>
    <t>Aa1</t>
  </si>
  <si>
    <t>Azerbaijan</t>
  </si>
  <si>
    <t>Ba1</t>
  </si>
  <si>
    <t>Bahamas</t>
  </si>
  <si>
    <t>Bahrain</t>
  </si>
  <si>
    <t>B2</t>
  </si>
  <si>
    <t>Bangladesh</t>
  </si>
  <si>
    <t>Barbados</t>
  </si>
  <si>
    <t>Caa1</t>
  </si>
  <si>
    <t>Belarus</t>
  </si>
  <si>
    <t>Belgium</t>
  </si>
  <si>
    <t>Aa3</t>
  </si>
  <si>
    <t>Belize</t>
  </si>
  <si>
    <t>Caa2</t>
  </si>
  <si>
    <t>Benin</t>
  </si>
  <si>
    <t>Bermuda</t>
  </si>
  <si>
    <t>A2</t>
  </si>
  <si>
    <t>Bolivia</t>
  </si>
  <si>
    <t>Bosnia and Herzegovina</t>
  </si>
  <si>
    <t>Botswana</t>
  </si>
  <si>
    <t>A3</t>
  </si>
  <si>
    <t>Brazil</t>
  </si>
  <si>
    <t>Ba2</t>
  </si>
  <si>
    <t>Brunei</t>
  </si>
  <si>
    <t>Bulgaria</t>
  </si>
  <si>
    <t>Baa1</t>
  </si>
  <si>
    <t>Burkina Faso</t>
  </si>
  <si>
    <t>Cambodia</t>
  </si>
  <si>
    <t>Cameroon</t>
  </si>
  <si>
    <t>Canada</t>
  </si>
  <si>
    <t>Cape Verde</t>
  </si>
  <si>
    <t>Cayman Islands</t>
  </si>
  <si>
    <t>Chile</t>
  </si>
  <si>
    <t>China</t>
  </si>
  <si>
    <t>A1</t>
  </si>
  <si>
    <t>Colombia</t>
  </si>
  <si>
    <t>Congo (Democratic Republic of)</t>
  </si>
  <si>
    <t>Congo (Republic of)</t>
  </si>
  <si>
    <t>Cook Islands</t>
  </si>
  <si>
    <t>Costa Rica</t>
  </si>
  <si>
    <t>Côte d'Ivoire</t>
  </si>
  <si>
    <t>Croatia</t>
  </si>
  <si>
    <t>Cuba</t>
  </si>
  <si>
    <t>Curacao</t>
  </si>
  <si>
    <t>Cyprus</t>
  </si>
  <si>
    <t>Czech Republic</t>
  </si>
  <si>
    <t>Denmark</t>
  </si>
  <si>
    <t>Dominican Republic</t>
  </si>
  <si>
    <t>Ecuador</t>
  </si>
  <si>
    <t>Caa3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</si>
  <si>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</si>
  <si>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</si>
  <si>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</si>
  <si>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</si>
  <si>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</si>
  <si>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</si>
  <si>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</si>
  <si>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</si>
  <si>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</si>
  <si>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</si>
  <si>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</si>
  <si>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</si>
  <si>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</si>
  <si>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</si>
  <si>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Guernsey (States of)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</si>
  <si>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</si>
  <si>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</si>
  <si>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</si>
  <si>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</si>
  <si>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</si>
  <si>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</si>
  <si>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</si>
  <si>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</si>
  <si>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</si>
  <si>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Baa3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</si>
  <si>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</si>
  <si>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</si>
  <si>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</si>
  <si>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</si>
  <si>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</si>
  <si>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</si>
  <si>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</si>
  <si>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</si>
  <si>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</si>
  <si>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 (States of)</t>
  </si>
  <si>
    <t>Jordan</t>
  </si>
  <si>
    <t>Kazakhstan</t>
  </si>
  <si>
    <t>Kenya</t>
  </si>
  <si>
    <t>Korea</t>
  </si>
  <si>
    <t>Korea, D.P.R.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</si>
  <si>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</si>
  <si>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</si>
  <si>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</si>
  <si>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</si>
  <si>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</si>
  <si>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</si>
  <si>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</si>
  <si>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</si>
  <si>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</si>
  <si>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</si>
  <si>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</si>
  <si>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</si>
  <si>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</si>
  <si>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</si>
  <si>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</si>
  <si>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</si>
  <si>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</si>
  <si>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</si>
  <si>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</si>
  <si>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</si>
  <si>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</si>
  <si>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</si>
  <si>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</si>
  <si>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</si>
  <si>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</si>
  <si>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</si>
  <si>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</si>
  <si>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</si>
  <si>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</si>
  <si>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</si>
  <si>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</si>
  <si>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</si>
  <si>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</si>
  <si>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</si>
  <si>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</si>
  <si>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</si>
  <si>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</si>
  <si>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</si>
  <si>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</si>
  <si>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</si>
  <si>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</si>
  <si>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</si>
  <si>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</si>
  <si>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</si>
  <si>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</si>
  <si>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Romania</t>
  </si>
  <si>
    <t>Russia</t>
  </si>
  <si>
    <t>Rwanda</t>
  </si>
  <si>
    <t>Saudi Arabia</t>
  </si>
  <si>
    <t>Senegal</t>
  </si>
  <si>
    <t>Serbia</t>
  </si>
  <si>
    <t>Sharjah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</si>
  <si>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</si>
  <si>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</si>
  <si>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</si>
  <si>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</si>
  <si>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</si>
  <si>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</si>
  <si>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</si>
  <si>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</si>
  <si>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</si>
  <si>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St. Maarten</t>
  </si>
  <si>
    <t>St. Vincent &amp;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</si>
  <si>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</si>
  <si>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</si>
  <si>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</si>
  <si>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</si>
  <si>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</si>
  <si>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</si>
  <si>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</si>
  <si>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</si>
  <si>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</si>
  <si>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</si>
  <si>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</si>
  <si>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</si>
  <si>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</si>
  <si>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</si>
  <si>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</si>
  <si>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</si>
  <si>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</si>
  <si>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</si>
  <si>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</si>
  <si>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</si>
  <si>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</si>
  <si>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</si>
  <si>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</si>
  <si>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</si>
  <si>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Republic</t>
  </si>
  <si>
    <t>Zambia</t>
  </si>
  <si>
    <t>Zimbabwe</t>
  </si>
  <si>
    <t>Last updated: July 2023</t>
  </si>
  <si>
    <t>Country</t>
  </si>
  <si>
    <t>Country Default Spreads and Risk Premiums</t>
  </si>
  <si>
    <t>Last update:</t>
  </si>
  <si>
    <t>July 2023</t>
  </si>
  <si>
    <t>- default spread =</t>
  </si>
  <si>
    <t>- average volatility multiplier =</t>
  </si>
  <si>
    <t>- risk premium for a mature market =</t>
  </si>
  <si>
    <t>Indonesia data (July 2023):</t>
  </si>
  <si>
    <t>years (tahunnya dihitung mulai operasional)</t>
  </si>
  <si>
    <t>Plant OVH</t>
  </si>
  <si>
    <t>-Salary and Wages</t>
  </si>
  <si>
    <t>-Maintenance dan Repairs</t>
  </si>
  <si>
    <t>-Operating Supplies</t>
  </si>
  <si>
    <t>-Insurance</t>
  </si>
  <si>
    <t>-Tepung Batu</t>
  </si>
  <si>
    <t>-Vit C</t>
  </si>
  <si>
    <t>-Lysin CI</t>
  </si>
  <si>
    <t>-DL (Multivitamin)</t>
  </si>
  <si>
    <t>-Tepung Kunyit</t>
  </si>
  <si>
    <t>Baju Seragam</t>
  </si>
  <si>
    <t>-Baju Seragam</t>
  </si>
  <si>
    <t>Rp/Baju</t>
  </si>
  <si>
    <t>SG&amp;A</t>
  </si>
  <si>
    <t>-Salary and Wages Selling</t>
  </si>
  <si>
    <t>-Salary and Wages General</t>
  </si>
  <si>
    <t>-Administrative</t>
  </si>
  <si>
    <t>-Mineral Vit (Suplemen A)</t>
  </si>
  <si>
    <t>Proyeksi Arus Kas</t>
  </si>
  <si>
    <t>Metode langsung</t>
  </si>
  <si>
    <t>Dalam satuan ribu rupiah (Rp, ribu)</t>
  </si>
  <si>
    <t>Arus kas dari aktivitas operasi:</t>
  </si>
  <si>
    <t xml:space="preserve">     Penerimaan kas dari pelanggan</t>
  </si>
  <si>
    <t xml:space="preserve">     (+): Depresiasi/amortisasiDepreciation</t>
  </si>
  <si>
    <t xml:space="preserve">      (-): Pembayaran/pelunasan untuk:</t>
  </si>
  <si>
    <t xml:space="preserve">            Beban Penjualan, Umum &amp; ADM</t>
  </si>
  <si>
    <t xml:space="preserve">            Pajak penghasilan badan</t>
  </si>
  <si>
    <t>Arus kas bersih dari aktivitas operasi</t>
  </si>
  <si>
    <t>Arus kas dari aktivitas investasi:</t>
  </si>
  <si>
    <t xml:space="preserve">     Penerimaan kas untuk modal investasi tetap</t>
  </si>
  <si>
    <t xml:space="preserve">     Penerimaan kas untuk modal kerja</t>
  </si>
  <si>
    <t>Arus kas bersih untuk aktivitas investasi</t>
  </si>
  <si>
    <t>Arus kas dari aktivitas pendanaan:</t>
  </si>
  <si>
    <t xml:space="preserve">     Pengeluaran untuk modal investasi tetap</t>
  </si>
  <si>
    <t xml:space="preserve">     Pelunasan pinjaman pokok</t>
  </si>
  <si>
    <t xml:space="preserve">     Pembayaran bunga pinjaman</t>
  </si>
  <si>
    <t>Arus kas bersih untuk aktivitas pendanaan</t>
  </si>
  <si>
    <t>Kenaikan/(penurunan) bersih kas</t>
  </si>
  <si>
    <t>Saldo kas awal tahun</t>
  </si>
  <si>
    <t>saldo kas akhir tahun</t>
  </si>
  <si>
    <t>Proyeksi Perubahan Modal (ekuitas)</t>
  </si>
  <si>
    <t>Perubahan Nilai Perusahaan</t>
  </si>
  <si>
    <t>Nilai Perusahaan (Rp, ribu)</t>
  </si>
  <si>
    <t>Persen perubahan, %</t>
  </si>
  <si>
    <t>Saldo Awal</t>
  </si>
  <si>
    <t xml:space="preserve">   Modal disetor</t>
  </si>
  <si>
    <t xml:space="preserve">   Saldo laba ditahan</t>
  </si>
  <si>
    <t xml:space="preserve">   Jumlah saldo awal</t>
  </si>
  <si>
    <t>Perubahan Saldo</t>
  </si>
  <si>
    <t xml:space="preserve">   Modal disetor:</t>
  </si>
  <si>
    <t xml:space="preserve">   - Tambahan setoran modal</t>
  </si>
  <si>
    <t xml:space="preserve">   - Penarikan modal yang disetor</t>
  </si>
  <si>
    <t xml:space="preserve">   - Perubahan modal disetor</t>
  </si>
  <si>
    <t xml:space="preserve">   Saldo laba ditahan:</t>
  </si>
  <si>
    <t xml:space="preserve">   - Laba bersih tahun berjalan</t>
  </si>
  <si>
    <t xml:space="preserve">   - Dividen kas</t>
  </si>
  <si>
    <t>---&gt; See Dividen Sheet</t>
  </si>
  <si>
    <t xml:space="preserve">   - Laba ditahan tahun berjalan</t>
  </si>
  <si>
    <t>Saldo Akhir</t>
  </si>
  <si>
    <t xml:space="preserve">   Laba ditahan</t>
  </si>
  <si>
    <t xml:space="preserve">   Jumlah saldo akhir</t>
  </si>
  <si>
    <t>Catatan</t>
  </si>
  <si>
    <t>Penarikan modal, % dari modal disetor</t>
  </si>
  <si>
    <t xml:space="preserve">            Cost of Goods Sold</t>
  </si>
  <si>
    <t>Proyeksi Dividen (Bagi hasil)</t>
  </si>
  <si>
    <t>Modal Investasi</t>
  </si>
  <si>
    <t xml:space="preserve">Perhitungan Dividen </t>
  </si>
  <si>
    <t>Bagi Hasil</t>
  </si>
  <si>
    <t>Bagian laba bersih dibagi</t>
  </si>
  <si>
    <t>Besaran dividen</t>
  </si>
  <si>
    <t>Saldo akhir setelah dividen</t>
  </si>
  <si>
    <t>PEMA</t>
  </si>
  <si>
    <t>Mitra</t>
  </si>
  <si>
    <t>n</t>
  </si>
  <si>
    <t>a</t>
  </si>
  <si>
    <t>b</t>
  </si>
  <si>
    <t>d</t>
  </si>
  <si>
    <t>Dividen atau bagi hasil didasarkan atas laba bersih.</t>
  </si>
  <si>
    <t>Sisa laba bersih yang tidak dibagikan (laba ditahan) mampu</t>
  </si>
  <si>
    <t>berikutnya.</t>
  </si>
  <si>
    <t>Porsi bagi hasil:</t>
  </si>
  <si>
    <t>4).</t>
  </si>
  <si>
    <t>a. PEMA</t>
  </si>
  <si>
    <t>% dari laba dibagi</t>
  </si>
  <si>
    <t xml:space="preserve">b. MITRA </t>
  </si>
  <si>
    <t>Baju Seragam:</t>
  </si>
  <si>
    <t>Jumlah Orang</t>
  </si>
  <si>
    <t>Orang</t>
  </si>
  <si>
    <t>Jumlah Baju</t>
  </si>
  <si>
    <t>Baju/Orang</t>
  </si>
  <si>
    <t xml:space="preserve">Harga Baju </t>
  </si>
  <si>
    <t xml:space="preserve">c. </t>
  </si>
  <si>
    <t>E.</t>
  </si>
  <si>
    <t xml:space="preserve">     Pembayaran Dividen oleh Perusahaan</t>
  </si>
  <si>
    <t>Pekerjaan Kandang</t>
  </si>
  <si>
    <t>Pekerjaan Tanah</t>
  </si>
  <si>
    <t>Pekerjaan Beton</t>
  </si>
  <si>
    <t>Pekerjaan Struktur Kayu</t>
  </si>
  <si>
    <t>Pekerjaan Listrik</t>
  </si>
  <si>
    <t>Pekerjaan Sanitasi</t>
  </si>
  <si>
    <t>Pekerjaan Atap</t>
  </si>
  <si>
    <t>Pekerjaan Gudang Pakan &amp; Rumah Pekerja</t>
  </si>
  <si>
    <t>Pekerjaan Pondasi</t>
  </si>
  <si>
    <t>Pekerjaan Kayu &amp; Dinding</t>
  </si>
  <si>
    <t>Pekerjaan Lantai</t>
  </si>
  <si>
    <t>Pekerjaan Kusen</t>
  </si>
  <si>
    <t>Pekerjaan Toilet</t>
  </si>
  <si>
    <t>Pekerjaan Dinding</t>
  </si>
  <si>
    <t>Pekerjaan Sanitasi &amp; Plumbing</t>
  </si>
  <si>
    <t>Pekerjaan Gudang Limbah</t>
  </si>
  <si>
    <t>Pekerjaan Pagar, Sanitasi &amp; Plumbing</t>
  </si>
  <si>
    <t>Pekerjaan Pagar</t>
  </si>
  <si>
    <t>Fixed Capital Investment (FCI) + PPN 11%:</t>
  </si>
  <si>
    <t>Pekerjaan persiapan</t>
  </si>
  <si>
    <t>Biaya Listrik</t>
  </si>
  <si>
    <t>Pemasangan Daya PLN</t>
  </si>
  <si>
    <t>Genset</t>
  </si>
  <si>
    <t>Basis</t>
  </si>
  <si>
    <t>(+-)</t>
  </si>
  <si>
    <t>d. Tepung Batu</t>
  </si>
  <si>
    <t>e. Mineral Vit (Suplemen A)</t>
  </si>
  <si>
    <t>f. Vit C</t>
  </si>
  <si>
    <t>g. Lysin CI</t>
  </si>
  <si>
    <t>h. DL (Multivitamin)</t>
  </si>
  <si>
    <t>i. Tepung Kunyit</t>
  </si>
  <si>
    <t>Konsentrat (124)</t>
  </si>
  <si>
    <t>Tepung Batu</t>
  </si>
  <si>
    <t>Mineral Vit (Suplemen A)</t>
  </si>
  <si>
    <t>Vit C</t>
  </si>
  <si>
    <t>Lysin Cl</t>
  </si>
  <si>
    <t>DL (Multivitamin)</t>
  </si>
  <si>
    <t>Tepung Kunyit</t>
  </si>
  <si>
    <t>Dedak</t>
  </si>
  <si>
    <t>Konsentrat</t>
  </si>
  <si>
    <t>Perubahan Komposisi</t>
  </si>
  <si>
    <t>BBM Motor</t>
  </si>
  <si>
    <t>-BBM Motor</t>
  </si>
  <si>
    <t>Harga</t>
  </si>
  <si>
    <t>% of net profit/loss before tax (for implementation, see UU HPP No.7 Tahun 2021, Pasal 31E)</t>
  </si>
  <si>
    <t>=ROUND((K35*K40)+(K34*K36*(1-K37));2</t>
  </si>
  <si>
    <t>WACC = (We*re)+(Wd*rd)(1-t)</t>
  </si>
  <si>
    <t>We</t>
  </si>
  <si>
    <t>re</t>
  </si>
  <si>
    <t>Wd</t>
  </si>
  <si>
    <t>rd</t>
  </si>
  <si>
    <t>t</t>
  </si>
  <si>
    <t>We*re</t>
  </si>
  <si>
    <t>Wd*rd</t>
  </si>
  <si>
    <t>1 - t</t>
  </si>
  <si>
    <t>WACC</t>
  </si>
  <si>
    <t>Pengadaan Alat/Mesin Pakan</t>
  </si>
  <si>
    <t>Kebutuhan pakan</t>
  </si>
  <si>
    <t>Kapasitas mesin</t>
  </si>
  <si>
    <t>kg/jam/unit</t>
  </si>
  <si>
    <t>Operasional mesin</t>
  </si>
  <si>
    <t>jam/hari</t>
  </si>
  <si>
    <t>Produksi pakan</t>
  </si>
  <si>
    <t>kg/hari/unit</t>
  </si>
  <si>
    <t>Kebutuhan mesin</t>
  </si>
  <si>
    <t xml:space="preserve">Harga mesin </t>
  </si>
  <si>
    <t>a. Pekerjaan persiapan</t>
  </si>
  <si>
    <t>b. Pekerjaan Kandang</t>
  </si>
  <si>
    <t>c. Pekerjaan Gudang Pakan &amp; Rumah Pekerja</t>
  </si>
  <si>
    <t>d. Pekerjaan Toilet</t>
  </si>
  <si>
    <t>e. Pekerjaan Gudang Limbah</t>
  </si>
  <si>
    <t>f. Pekerjaan Pagar, Sanitasi &amp; Plumbing</t>
  </si>
  <si>
    <t>g. Pengadaan Alat/Mesin Pakan</t>
  </si>
  <si>
    <t>Depreciation period</t>
  </si>
  <si>
    <t>Depreciation rate</t>
  </si>
  <si>
    <t>ekor x bulan</t>
  </si>
  <si>
    <t>Bertelur</t>
  </si>
  <si>
    <t>Anak ayam, kg</t>
  </si>
  <si>
    <t>Induk ayam, kg</t>
  </si>
  <si>
    <t>Jagung, kg</t>
  </si>
  <si>
    <t>Bekatul, kg</t>
  </si>
  <si>
    <t>Konsentrat (124), kg</t>
  </si>
  <si>
    <t>Tepung Batu, kg</t>
  </si>
  <si>
    <t>Mineral Vit (Suplemen A), kg</t>
  </si>
  <si>
    <t>Vit C, kg</t>
  </si>
  <si>
    <t>Lysin Cl, kg</t>
  </si>
  <si>
    <t>DL (Multivitamin), kg</t>
  </si>
  <si>
    <t>Siklus</t>
  </si>
  <si>
    <t>Jumlah peliharaan:</t>
  </si>
  <si>
    <t>Induk ayam, ekor</t>
  </si>
  <si>
    <t>Produksi telur, butir</t>
  </si>
  <si>
    <t>Pendapatan, Rp (ribuan)</t>
  </si>
  <si>
    <t>Perhitungan Konsumsi</t>
  </si>
  <si>
    <t>Perhitungan Biaya, Rp (ribuan)</t>
  </si>
  <si>
    <t>Vita stress, pack</t>
  </si>
  <si>
    <t>Eggstimulan, pack</t>
  </si>
  <si>
    <t>Egg Tray</t>
  </si>
  <si>
    <t>Vaksin ND-AI</t>
  </si>
  <si>
    <t>Vaksin ND-EDS IB</t>
  </si>
  <si>
    <t>Vaksin ND-IB</t>
  </si>
  <si>
    <t>Tepung Kunyit, kg</t>
  </si>
  <si>
    <t>Tahun-1:</t>
  </si>
  <si>
    <t>a. Advisor</t>
  </si>
  <si>
    <t xml:space="preserve">b. Sales &amp; Logistic </t>
  </si>
  <si>
    <t>c. Petugas Pakan</t>
  </si>
  <si>
    <t>d. Petugas Kandang</t>
  </si>
  <si>
    <t>Tahun-2 dst:</t>
  </si>
  <si>
    <t>Phase-1</t>
  </si>
  <si>
    <t>Phase-2</t>
  </si>
  <si>
    <t>Phase-2 (additional)</t>
  </si>
  <si>
    <t>Jumlah ayam peliharaan</t>
  </si>
  <si>
    <t>Pajak konstruksi (11%)</t>
  </si>
  <si>
    <t>(riset pakan, social cost dll)</t>
  </si>
  <si>
    <t>+2</t>
  </si>
  <si>
    <t>- Baju Seragam</t>
  </si>
  <si>
    <t>ADM</t>
  </si>
  <si>
    <t>Kebutuhan/konsumsi:</t>
  </si>
  <si>
    <t>- Pekerja lapangan</t>
  </si>
  <si>
    <t>- Jumlah peliharaan</t>
  </si>
  <si>
    <t>Biaya:</t>
  </si>
  <si>
    <t>Jumlah bibit ayam petelur:</t>
  </si>
  <si>
    <t>- Phase 1</t>
  </si>
  <si>
    <t>- Phase 2 (an additional)</t>
  </si>
  <si>
    <t>a. Phase-1</t>
  </si>
  <si>
    <t>b. Phase-2 (an additional)</t>
  </si>
  <si>
    <t>c. Harga anak ayam</t>
  </si>
  <si>
    <t>Konsumsi</t>
  </si>
  <si>
    <t>liter/hari</t>
  </si>
  <si>
    <t>Biaya</t>
  </si>
  <si>
    <t>- BBM motor</t>
  </si>
  <si>
    <t>i = 9%</t>
  </si>
  <si>
    <t>i = 0%</t>
  </si>
  <si>
    <t>Saldo awal tahun</t>
  </si>
  <si>
    <t>Contingency (phase 1 = 5%; phase 2 = 2.5%)</t>
  </si>
  <si>
    <t>f</t>
  </si>
  <si>
    <t>g</t>
  </si>
  <si>
    <t>c = a+b</t>
  </si>
  <si>
    <t>e = c-d</t>
  </si>
  <si>
    <t>h = g*f</t>
  </si>
  <si>
    <t>i</t>
  </si>
  <si>
    <t xml:space="preserve">Laba bersih </t>
  </si>
  <si>
    <t>2). Bila laba bersih dibagi semua maka berdampak negatif terhadap nilai perusahaan (ekuitas konstan).</t>
  </si>
  <si>
    <t>membiayai operasional perusahaan 4 bulan pertama tahun</t>
  </si>
  <si>
    <t xml:space="preserve">    - Basis 3000 ekor anak ayam</t>
  </si>
  <si>
    <t xml:space="preserve">    - Basis 9000 ekor anak ayam</t>
  </si>
  <si>
    <t>b. Jumlah ayam afkir:</t>
  </si>
  <si>
    <t>Telur dan ayam afkir:</t>
  </si>
  <si>
    <t>c. Produktivitas produksi telur</t>
  </si>
  <si>
    <t>d. Masa pelihara induk ayam:</t>
  </si>
  <si>
    <t>Case-3: pakan diproduksi, Jumlah peliharaan di naikkan dari 3.000 menjadi 12.000 ekor</t>
  </si>
  <si>
    <t>Tahun Operasional</t>
  </si>
  <si>
    <t>Kandang ayam:</t>
  </si>
  <si>
    <t>- Kapasitas kandang</t>
  </si>
  <si>
    <t>- Jumlah kandang</t>
  </si>
  <si>
    <t>ekor/kandang</t>
  </si>
  <si>
    <t xml:space="preserve">ekor </t>
  </si>
  <si>
    <t>kandang</t>
  </si>
  <si>
    <t>Rp/kandang</t>
  </si>
  <si>
    <t>Jumlah peliharaan</t>
  </si>
  <si>
    <t>Basis perhitungan:</t>
  </si>
  <si>
    <t>01.</t>
  </si>
  <si>
    <t>Phase-2 (an additional)</t>
  </si>
  <si>
    <t>02.</t>
  </si>
  <si>
    <t>Fixed capital Investment</t>
  </si>
  <si>
    <t>kali phase-1 (for additional capacity)</t>
  </si>
  <si>
    <t>Scale up Factor (SF)</t>
  </si>
  <si>
    <t>SF</t>
  </si>
  <si>
    <t>03.</t>
  </si>
  <si>
    <t>04</t>
  </si>
  <si>
    <t>05.</t>
  </si>
  <si>
    <t>06.</t>
  </si>
  <si>
    <t>07</t>
  </si>
  <si>
    <t>08.</t>
  </si>
  <si>
    <t>09.</t>
  </si>
  <si>
    <t>10</t>
  </si>
  <si>
    <t>04.</t>
  </si>
  <si>
    <t>07.</t>
  </si>
  <si>
    <t>unit (rounded up)</t>
  </si>
  <si>
    <t>Basis 3000 ekor anak ayam:</t>
  </si>
  <si>
    <t>1.1</t>
  </si>
  <si>
    <t>Variable Expenses</t>
  </si>
  <si>
    <t>1.2</t>
  </si>
  <si>
    <t>Basis 9000 ekor anak ayam:</t>
  </si>
  <si>
    <t>1.3</t>
  </si>
  <si>
    <t>1.4</t>
  </si>
  <si>
    <t>Masa pelihara &amp; bertelur</t>
  </si>
  <si>
    <t>c. Masa bertelur</t>
  </si>
  <si>
    <t>1.10</t>
  </si>
  <si>
    <t>1.11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</si>
  <si>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</si>
  <si>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</si>
  <si>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</si>
  <si>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</si>
  <si>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</si>
  <si>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</si>
  <si>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</si>
  <si>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</si>
  <si>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</si>
  <si>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Production &amp; Consumption</t>
  </si>
  <si>
    <t>5.</t>
  </si>
  <si>
    <t>6.</t>
  </si>
  <si>
    <t>7.</t>
  </si>
  <si>
    <t>8.</t>
  </si>
  <si>
    <t>1.7</t>
  </si>
  <si>
    <t>1.8</t>
  </si>
  <si>
    <t>9.</t>
  </si>
  <si>
    <t>1.9</t>
  </si>
  <si>
    <t>SUMMARY - Variable Cost, Rp (ribuan)</t>
  </si>
  <si>
    <t>Biaya Produksi</t>
  </si>
  <si>
    <t>No</t>
  </si>
  <si>
    <t>Jenis Barang</t>
  </si>
  <si>
    <t>Volume</t>
  </si>
  <si>
    <t>Harga Satuan</t>
  </si>
  <si>
    <t>Jumlah</t>
  </si>
  <si>
    <t>Pembelian Pullet usia 10 minggu</t>
  </si>
  <si>
    <t xml:space="preserve">Pembuatan Pakan Pullet 11-18 Minggu </t>
  </si>
  <si>
    <t>Kg</t>
  </si>
  <si>
    <t>Pembuatan Pakan Layer 19 - 89 Minggu Afkir</t>
  </si>
  <si>
    <t>Pembelian Vitamin vita stres</t>
  </si>
  <si>
    <t>Bungkus</t>
  </si>
  <si>
    <t>Pembelian Eggstimulan</t>
  </si>
  <si>
    <t>Pembelian Obat Cacing</t>
  </si>
  <si>
    <t>Pembelian Vaksin ND AI</t>
  </si>
  <si>
    <t>Botol</t>
  </si>
  <si>
    <t>Pembelian Vaksin ND EDS IB</t>
  </si>
  <si>
    <t>Pembelian Antibiotik</t>
  </si>
  <si>
    <t>Ktk</t>
  </si>
  <si>
    <t xml:space="preserve">Pembelian Vaksin ND IB </t>
  </si>
  <si>
    <t>Vial</t>
  </si>
  <si>
    <t>Disinfectan Neo Antisep</t>
  </si>
  <si>
    <t>Liter</t>
  </si>
  <si>
    <t>Pembelian Lem Pipa</t>
  </si>
  <si>
    <t>botol</t>
  </si>
  <si>
    <t>Pembelian Lampu Kuning dan Putih</t>
  </si>
  <si>
    <t>Keterangan</t>
  </si>
  <si>
    <t>Warna Hijau adalah harga terupdate</t>
  </si>
  <si>
    <t>Rencana Keterangan Penggunaan Obat, Vaksin dan Disnefectan</t>
  </si>
  <si>
    <t>Jenis Kegiatan</t>
  </si>
  <si>
    <t>Jenis Obat</t>
  </si>
  <si>
    <t>Jenis Vaksin</t>
  </si>
  <si>
    <t>Minggu ke</t>
  </si>
  <si>
    <t xml:space="preserve">Bulan Ke </t>
  </si>
  <si>
    <t>Pemberian Vitamin</t>
  </si>
  <si>
    <t>Vita stres</t>
  </si>
  <si>
    <t>Vaksinasi injeksi</t>
  </si>
  <si>
    <t>ND AI Emultion</t>
  </si>
  <si>
    <t>ND AI E</t>
  </si>
  <si>
    <t>Pemberia Obat cacing</t>
  </si>
  <si>
    <t>Lemavid</t>
  </si>
  <si>
    <t>Vaksinasi Injeksi</t>
  </si>
  <si>
    <t>ND EDS IB emultion</t>
  </si>
  <si>
    <t>Pemberian Vitamin post vaksinasi</t>
  </si>
  <si>
    <t>Pemberian Vitamin Eggstimulan</t>
  </si>
  <si>
    <t>eggstimulan</t>
  </si>
  <si>
    <t>eggstim</t>
  </si>
  <si>
    <t>Semprot Kandang</t>
  </si>
  <si>
    <t>Neo Antisep</t>
  </si>
  <si>
    <t>Neo Anti</t>
  </si>
  <si>
    <t>Vaksin Minum</t>
  </si>
  <si>
    <t>ND IB Minum</t>
  </si>
  <si>
    <t>ND IB M</t>
  </si>
  <si>
    <t>Obat Cacing</t>
  </si>
  <si>
    <t>Levamid</t>
  </si>
  <si>
    <t>pemberian antibiotik post obat cacing</t>
  </si>
  <si>
    <t>Therapi</t>
  </si>
  <si>
    <t>Vitamin</t>
  </si>
  <si>
    <t>Pemberian Vaksin minum</t>
  </si>
  <si>
    <t>Antibiotik</t>
  </si>
  <si>
    <t>Keterangan Tambahan</t>
  </si>
  <si>
    <t>Peyemprotan menggunakan Neo Antisep di lakukan setiap 2 minggu sekali terutama saat setelah hujan</t>
  </si>
  <si>
    <t>SUMMARY:</t>
  </si>
  <si>
    <t>8, 10, 12, 15, 20</t>
  </si>
  <si>
    <t>1, 2, 2, 8, 9, 12, 19</t>
  </si>
  <si>
    <t>8, 13, 15, 15</t>
  </si>
  <si>
    <t>2, 8, 15, 20</t>
  </si>
  <si>
    <t>2.1</t>
  </si>
  <si>
    <t>2.2</t>
  </si>
  <si>
    <t>2.4</t>
  </si>
  <si>
    <t>2.10</t>
  </si>
  <si>
    <t>2.11</t>
  </si>
  <si>
    <t>SUB TOTAL</t>
  </si>
  <si>
    <t>GRAND TOTAL</t>
  </si>
  <si>
    <t>Grand Total:</t>
  </si>
  <si>
    <t>Total Kas Dipakai</t>
  </si>
  <si>
    <t>Pendapatan telur</t>
  </si>
  <si>
    <t>Pendapatan ayam afkir</t>
  </si>
  <si>
    <t xml:space="preserve">Pendapatan </t>
  </si>
  <si>
    <t xml:space="preserve">Kas tersedia </t>
  </si>
  <si>
    <t>Kas surplus/(defisit)</t>
  </si>
  <si>
    <t>See working capital sheet</t>
  </si>
  <si>
    <t>Beban operasi (excl. depresiasi) plus Income Tax</t>
  </si>
  <si>
    <t>Dividend payout</t>
  </si>
  <si>
    <t>1). Besaran dividen tidak menyebabkan kas pada 4 bulan pertama tahun berikutnya defisit (e = negatif) --------&gt; Check cash flow dan working capital sheet.</t>
  </si>
  <si>
    <t>Pajak penghasilan badan</t>
  </si>
  <si>
    <t>a. Pendapatan:</t>
  </si>
  <si>
    <t xml:space="preserve">     - Working capital</t>
  </si>
  <si>
    <t>b. Kas dipakai:</t>
  </si>
  <si>
    <t>c. Saldo akhir (before DP):</t>
  </si>
  <si>
    <t>CHECKING ROOM</t>
  </si>
  <si>
    <t xml:space="preserve">     - Cash flow-yearly</t>
  </si>
  <si>
    <t>Pembiayaan</t>
  </si>
  <si>
    <t>Pinjaman dan Bunga Pinjaman</t>
  </si>
  <si>
    <t>Penggunaan Pinjaman (loan drawdown)</t>
  </si>
  <si>
    <t>Pembayaran Pokok Pinjaman (Loan Payment)</t>
  </si>
  <si>
    <t>Saldo pinjaman akhir tahun</t>
  </si>
  <si>
    <t>Bunga Pinjaman (Interest Owned)</t>
  </si>
  <si>
    <t>Pembayaran Bunga Pinjaman (Interest Payment)</t>
  </si>
  <si>
    <t>Pencairan pinjaman</t>
  </si>
  <si>
    <t>Jumlah Pinjaman</t>
  </si>
  <si>
    <t>Interest Payment</t>
  </si>
  <si>
    <t>Principal Payment</t>
  </si>
  <si>
    <t>Total Payment</t>
  </si>
  <si>
    <t>Ending Balance</t>
  </si>
  <si>
    <t>January</t>
  </si>
  <si>
    <t>Rp (see "capital investment sheet")</t>
  </si>
  <si>
    <t>Others:</t>
  </si>
  <si>
    <t>a. Bunga pinjaman</t>
  </si>
  <si>
    <t>b. Masa pengembalian pinjaman</t>
  </si>
  <si>
    <t>c. Tangguhan pengembalian pinjaman</t>
  </si>
  <si>
    <t>d. Nilai tukar</t>
  </si>
  <si>
    <t>IDR/USD</t>
  </si>
  <si>
    <t>Principal of loan will be paid in the first year of commercial production.</t>
  </si>
  <si>
    <t>Loan interest during initial production stage is capitalized into the principal of loan and known</t>
  </si>
  <si>
    <t>as capitalized interest.</t>
  </si>
  <si>
    <t>5).</t>
  </si>
  <si>
    <t>The intesrest will be paid in the first year of commercial production.</t>
  </si>
  <si>
    <t>6).</t>
  </si>
  <si>
    <t>Bunga masa pra-operasional (IDC):</t>
  </si>
  <si>
    <t>Year-1, Semester II</t>
  </si>
  <si>
    <t xml:space="preserve">          -----&gt; Matching?</t>
  </si>
  <si>
    <t>Interest Rate:</t>
  </si>
  <si>
    <t>pembulatan</t>
  </si>
  <si>
    <t>Year +2</t>
  </si>
  <si>
    <t>Semester I</t>
  </si>
  <si>
    <t>Semester II</t>
  </si>
  <si>
    <t>months</t>
  </si>
  <si>
    <t>Saldo pinjaman awal</t>
  </si>
  <si>
    <t>Pembayaran Pokok</t>
  </si>
  <si>
    <t>Pembayaran Bunga Pinjaman</t>
  </si>
  <si>
    <t>7).</t>
  </si>
  <si>
    <t>Pembayaran Pokok Pinjaman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</si>
</sst>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.000"/>
    <numFmt numFmtId="166" formatCode="_(* #,##0_);_(* \(#,##0\);_(* &quot;-&quot;??_);_(@_)"/>
    <numFmt numFmtId="167" formatCode="0.0%"/>
    <numFmt numFmtId="168" formatCode="#,##0_ ;[Red]\-#,##0\ "/>
    <numFmt numFmtId="169" formatCode="#,##0_ ;\-#,##0\ "/>
    <numFmt numFmtId="170" formatCode="_-* #,##0.0000_-;\-* #,##0.0000_-;_-* &quot;-&quot;??_-;_-@_-"/>
    <numFmt numFmtId="171" formatCode="_-* #,##0_-;\-* #,##0_-;_-* &quot;-&quot;??_-;_-@_-"/>
    <numFmt numFmtId="172" formatCode="_-* #,##0.0_-;\-* #,##0.0_-;_-* &quot;-&quot;??_-;_-@_-"/>
    <numFmt numFmtId="173" formatCode="_(* #,##0.0_);_(* \(#,##0.0\);_(* &quot;-&quot;??_);_(@_)"/>
    <numFmt numFmtId="174" formatCode="#,##0.0;[Red]\-#,##0.0"/>
    <numFmt numFmtId="175" formatCode="#,##0.0000;[Red]\-#,##0.0000"/>
    <numFmt numFmtId="176" formatCode="0.0"/>
    <numFmt numFmtId="177" formatCode="#,##0.0_ ;\-#,##0.0\ "/>
    <numFmt numFmtId="178" formatCode="#,##0.0"/>
    <numFmt numFmtId="179" formatCode="_-* #,##0.00_-;\-* #,##0.00_-;_-* &quot;-&quot;_-;_-@_-"/>
    <numFmt numFmtId="180" formatCode="0.0000"/>
    <numFmt numFmtId="181" formatCode="#,##0;[Red]#,##0"/>
    <numFmt numFmtId="182" formatCode="#,##0.000_ ;[Red]\-#,##0.000\ "/>
    <numFmt numFmtId="183" formatCode="0.0_ ;[Red]\-0.0\ "/>
    <numFmt numFmtId="184" formatCode="#,##0.0_ ;[Red]\-#,##0.0\ "/>
    <numFmt numFmtId="185" formatCode="_-* #,##0.0_-;\-* #,##0.0_-;_-* &quot;-&quot;_-;_-@_-"/>
    <numFmt numFmtId="186" formatCode="_(* #,##0.000_);_(* \(#,##0.000\);_(* &quot;-&quot;??_);_(@_)"/>
    <numFmt numFmtId="187" formatCode="&quot;Rp&quot;#,##0.000;[Red]\-&quot;Rp&quot;#,##0.000"/>
    <numFmt numFmtId="188" formatCode="_(* #,##0_);_(* \(#,##0\);_(* &quot;-&quot;?_);_(@_)"/>
    <numFmt numFmtId="189" formatCode="_-* #,##0.00000_-;\-* #,##0.00000_-;_-* &quot;-&quot;?_-;_-@_-"/>
    <numFmt numFmtId="190" formatCode="_-* #,##0.0_-;\-* #,##0.0_-;_-* &quot;-&quot;?_-;_-@_-"/>
  </numFmts>
  <fonts count="33" x14ac:knownFonts="1">
    <font>
      <sz val="8"/>
      <color theme="1"/>
      <name val="Segoe UI"/>
      <family val="2"/>
    </font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Segoe UI"/>
      <family val="2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7"/>
      <name val="Calibri"/>
      <family val="2"/>
      <scheme val="minor"/>
    </font>
    <font>
      <sz val="8"/>
      <color rgb="FFFFC000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Segoe UI"/>
      <family val="2"/>
    </font>
    <font>
      <vertAlign val="superscript"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color theme="1"/>
      <name val="Calibri"/>
      <family val="2"/>
    </font>
    <font>
      <sz val="8"/>
      <color rgb="FF0000FF"/>
      <name val="Calibri"/>
      <family val="2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8"/>
      <color rgb="FF0000FF"/>
      <name val="Segoe UI"/>
      <family val="2"/>
    </font>
    <font>
      <b/>
      <sz val="8"/>
      <color theme="1"/>
      <name val="Calibri"/>
      <family val="2"/>
    </font>
    <font>
      <b/>
      <sz val="8"/>
      <color theme="0"/>
      <name val="Calibri"/>
      <family val="2"/>
    </font>
    <font>
      <sz val="8"/>
      <color theme="0"/>
      <name val="Calibri"/>
      <family val="2"/>
    </font>
    <font>
      <b/>
      <sz val="8"/>
      <color rgb="FF0000FF"/>
      <name val="Calibri"/>
      <family val="2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59996337778862885"/>
      </top>
      <bottom/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</borders>
  <cellStyleXfs count="18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5" fillId="0" borderId="0"/>
    <xf numFmtId="164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718">
    <xf numFmtId="0" fontId="0" fillId="0" borderId="0" xfId="0"/>
    <xf numFmtId="3" fontId="6" fillId="0" borderId="0" xfId="4" applyNumberFormat="1" applyFont="1"/>
    <xf numFmtId="0" fontId="6" fillId="0" borderId="0" xfId="4" applyFont="1"/>
    <xf numFmtId="0" fontId="5" fillId="0" borderId="0" xfId="4" applyFont="1"/>
    <xf numFmtId="0" fontId="5" fillId="0" borderId="0" xfId="0" applyFont="1"/>
    <xf numFmtId="3" fontId="5" fillId="0" borderId="0" xfId="4" applyNumberFormat="1" applyFont="1"/>
    <xf numFmtId="3" fontId="8" fillId="0" borderId="0" xfId="6" applyNumberFormat="1" applyFont="1"/>
    <xf numFmtId="3" fontId="8" fillId="0" borderId="0" xfId="4" applyNumberFormat="1" applyFont="1"/>
    <xf numFmtId="169" fontId="5" fillId="0" borderId="0" xfId="0" applyNumberFormat="1" applyFont="1"/>
    <xf numFmtId="41" fontId="5" fillId="0" borderId="0" xfId="0" applyNumberFormat="1" applyFont="1"/>
    <xf numFmtId="0" fontId="8" fillId="0" borderId="0" xfId="0" applyFont="1"/>
    <xf numFmtId="0" fontId="6" fillId="0" borderId="0" xfId="0" applyFont="1"/>
    <xf numFmtId="0" fontId="5" fillId="0" borderId="0" xfId="0" quotePrefix="1" applyFont="1"/>
    <xf numFmtId="0" fontId="5" fillId="0" borderId="0" xfId="0" applyFont="1" applyAlignment="1">
      <alignment horizontal="center"/>
    </xf>
    <xf numFmtId="170" fontId="5" fillId="0" borderId="0" xfId="0" applyNumberFormat="1" applyFont="1"/>
    <xf numFmtId="41" fontId="5" fillId="0" borderId="0" xfId="2" applyFont="1"/>
    <xf numFmtId="3" fontId="5" fillId="0" borderId="0" xfId="6" applyNumberFormat="1" applyFont="1"/>
    <xf numFmtId="0" fontId="5" fillId="4" borderId="0" xfId="0" applyFont="1" applyFill="1"/>
    <xf numFmtId="3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3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top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 wrapText="1"/>
    </xf>
    <xf numFmtId="0" fontId="7" fillId="5" borderId="0" xfId="0" applyFont="1" applyFill="1" applyAlignment="1">
      <alignment horizontal="right" vertical="top" wrapText="1"/>
    </xf>
    <xf numFmtId="0" fontId="5" fillId="0" borderId="0" xfId="0" applyFont="1" applyAlignment="1">
      <alignment horizontal="center" vertical="top"/>
    </xf>
    <xf numFmtId="0" fontId="5" fillId="0" borderId="0" xfId="0" quotePrefix="1" applyFont="1" applyAlignment="1">
      <alignment vertical="top"/>
    </xf>
    <xf numFmtId="3" fontId="5" fillId="0" borderId="0" xfId="1" applyNumberFormat="1" applyFont="1" applyBorder="1" applyAlignment="1">
      <alignment vertical="top"/>
    </xf>
    <xf numFmtId="0" fontId="5" fillId="4" borderId="0" xfId="0" applyFont="1" applyFill="1" applyAlignment="1">
      <alignment vertical="top"/>
    </xf>
    <xf numFmtId="3" fontId="5" fillId="0" borderId="0" xfId="1" applyNumberFormat="1" applyFont="1" applyFill="1" applyBorder="1" applyAlignment="1">
      <alignment vertical="top"/>
    </xf>
    <xf numFmtId="171" fontId="5" fillId="0" borderId="0" xfId="0" applyNumberFormat="1" applyFont="1" applyAlignment="1">
      <alignment vertical="top"/>
    </xf>
    <xf numFmtId="3" fontId="8" fillId="0" borderId="12" xfId="0" applyNumberFormat="1" applyFont="1" applyBorder="1" applyAlignment="1">
      <alignment vertical="top"/>
    </xf>
    <xf numFmtId="0" fontId="5" fillId="0" borderId="0" xfId="0" applyFont="1" applyAlignment="1">
      <alignment horizontal="left" vertical="top"/>
    </xf>
    <xf numFmtId="43" fontId="5" fillId="0" borderId="0" xfId="1" applyFont="1" applyFill="1" applyBorder="1" applyAlignment="1">
      <alignment horizontal="right" vertical="top"/>
    </xf>
    <xf numFmtId="0" fontId="5" fillId="5" borderId="0" xfId="0" applyFont="1" applyFill="1" applyAlignment="1">
      <alignment vertical="top"/>
    </xf>
    <xf numFmtId="0" fontId="5" fillId="0" borderId="0" xfId="0" quotePrefix="1" applyFont="1" applyAlignment="1">
      <alignment horizontal="left" vertical="top"/>
    </xf>
    <xf numFmtId="2" fontId="5" fillId="0" borderId="0" xfId="1" applyNumberFormat="1" applyFont="1" applyFill="1" applyBorder="1" applyAlignment="1">
      <alignment vertical="top"/>
    </xf>
    <xf numFmtId="2" fontId="5" fillId="0" borderId="0" xfId="1" applyNumberFormat="1" applyFont="1" applyBorder="1" applyAlignment="1">
      <alignment vertical="top"/>
    </xf>
    <xf numFmtId="166" fontId="5" fillId="0" borderId="0" xfId="1" applyNumberFormat="1" applyFont="1" applyBorder="1" applyAlignment="1">
      <alignment vertical="top"/>
    </xf>
    <xf numFmtId="2" fontId="5" fillId="0" borderId="0" xfId="1" quotePrefix="1" applyNumberFormat="1" applyFont="1" applyBorder="1" applyAlignment="1">
      <alignment horizontal="left" vertical="top"/>
    </xf>
    <xf numFmtId="171" fontId="10" fillId="0" borderId="0" xfId="1" applyNumberFormat="1" applyFont="1" applyBorder="1" applyAlignment="1">
      <alignment vertical="top"/>
    </xf>
    <xf numFmtId="0" fontId="6" fillId="0" borderId="0" xfId="0" applyFont="1" applyAlignment="1">
      <alignment vertical="top"/>
    </xf>
    <xf numFmtId="167" fontId="5" fillId="0" borderId="0" xfId="3" applyNumberFormat="1" applyFont="1" applyBorder="1" applyAlignment="1">
      <alignment horizontal="center" vertical="top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1" applyNumberFormat="1" applyFont="1" applyFill="1" applyBorder="1"/>
    <xf numFmtId="3" fontId="8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right" vertical="top"/>
    </xf>
    <xf numFmtId="3" fontId="7" fillId="5" borderId="0" xfId="0" applyNumberFormat="1" applyFont="1" applyFill="1" applyAlignment="1">
      <alignment vertical="top"/>
    </xf>
    <xf numFmtId="3" fontId="9" fillId="5" borderId="0" xfId="0" applyNumberFormat="1" applyFont="1" applyFill="1"/>
    <xf numFmtId="3" fontId="7" fillId="5" borderId="0" xfId="0" applyNumberFormat="1" applyFont="1" applyFill="1" applyAlignment="1">
      <alignment horizontal="center" vertical="top" wrapText="1"/>
    </xf>
    <xf numFmtId="3" fontId="7" fillId="5" borderId="0" xfId="0" applyNumberFormat="1" applyFont="1" applyFill="1" applyAlignment="1">
      <alignment horizontal="right" vertical="top" wrapText="1"/>
    </xf>
    <xf numFmtId="3" fontId="5" fillId="5" borderId="0" xfId="0" applyNumberFormat="1" applyFont="1" applyFill="1" applyAlignment="1">
      <alignment horizontal="center"/>
    </xf>
    <xf numFmtId="3" fontId="5" fillId="5" borderId="0" xfId="1" applyNumberFormat="1" applyFont="1" applyFill="1" applyBorder="1"/>
    <xf numFmtId="3" fontId="5" fillId="5" borderId="0" xfId="0" applyNumberFormat="1" applyFont="1" applyFill="1"/>
    <xf numFmtId="3" fontId="5" fillId="0" borderId="0" xfId="0" applyNumberFormat="1" applyFont="1" applyAlignment="1">
      <alignment horizontal="center" vertical="top"/>
    </xf>
    <xf numFmtId="3" fontId="8" fillId="0" borderId="0" xfId="1" applyNumberFormat="1" applyFont="1" applyFill="1" applyBorder="1"/>
    <xf numFmtId="3" fontId="8" fillId="0" borderId="0" xfId="0" applyNumberFormat="1" applyFont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/>
    <xf numFmtId="3" fontId="8" fillId="0" borderId="0" xfId="0" applyNumberFormat="1" applyFont="1"/>
    <xf numFmtId="166" fontId="5" fillId="0" borderId="0" xfId="0" applyNumberFormat="1" applyFont="1" applyAlignment="1">
      <alignment vertical="top"/>
    </xf>
    <xf numFmtId="166" fontId="5" fillId="0" borderId="0" xfId="1" applyNumberFormat="1" applyFont="1" applyFill="1" applyBorder="1" applyAlignment="1">
      <alignment vertical="top"/>
    </xf>
    <xf numFmtId="166" fontId="11" fillId="0" borderId="0" xfId="1" applyNumberFormat="1" applyFont="1" applyBorder="1" applyAlignment="1">
      <alignment vertical="top"/>
    </xf>
    <xf numFmtId="171" fontId="11" fillId="0" borderId="0" xfId="1" applyNumberFormat="1" applyFont="1" applyBorder="1" applyAlignment="1">
      <alignment vertical="top"/>
    </xf>
    <xf numFmtId="167" fontId="5" fillId="0" borderId="0" xfId="3" applyNumberFormat="1" applyFont="1" applyFill="1" applyBorder="1" applyAlignment="1">
      <alignment horizontal="center" vertical="top"/>
    </xf>
    <xf numFmtId="10" fontId="5" fillId="0" borderId="0" xfId="0" applyNumberFormat="1" applyFont="1" applyAlignment="1">
      <alignment vertical="top"/>
    </xf>
    <xf numFmtId="0" fontId="5" fillId="4" borderId="0" xfId="4" applyFont="1" applyFill="1"/>
    <xf numFmtId="2" fontId="6" fillId="0" borderId="0" xfId="0" applyNumberFormat="1" applyFont="1" applyAlignment="1">
      <alignment horizontal="left" vertical="center"/>
    </xf>
    <xf numFmtId="0" fontId="9" fillId="5" borderId="0" xfId="0" applyFont="1" applyFill="1" applyAlignment="1">
      <alignment vertical="top"/>
    </xf>
    <xf numFmtId="0" fontId="5" fillId="0" borderId="0" xfId="0" applyFont="1" applyAlignment="1">
      <alignment horizontal="right"/>
    </xf>
    <xf numFmtId="0" fontId="5" fillId="6" borderId="0" xfId="0" applyFont="1" applyFill="1"/>
    <xf numFmtId="2" fontId="6" fillId="0" borderId="0" xfId="0" applyNumberFormat="1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7" fillId="5" borderId="0" xfId="0" applyFont="1" applyFill="1" applyAlignment="1">
      <alignment vertical="top" wrapText="1"/>
    </xf>
    <xf numFmtId="43" fontId="5" fillId="0" borderId="0" xfId="1" applyFont="1" applyBorder="1" applyAlignment="1">
      <alignment horizontal="right" vertical="top" wrapText="1"/>
    </xf>
    <xf numFmtId="171" fontId="5" fillId="0" borderId="0" xfId="1" applyNumberFormat="1" applyFont="1" applyBorder="1" applyAlignment="1">
      <alignment vertical="top"/>
    </xf>
    <xf numFmtId="43" fontId="5" fillId="0" borderId="0" xfId="1" applyFont="1" applyBorder="1" applyAlignment="1">
      <alignment horizontal="right" vertical="top"/>
    </xf>
    <xf numFmtId="15" fontId="5" fillId="0" borderId="0" xfId="0" quotePrefix="1" applyNumberFormat="1" applyFont="1"/>
    <xf numFmtId="0" fontId="6" fillId="7" borderId="0" xfId="0" applyFont="1" applyFill="1"/>
    <xf numFmtId="41" fontId="5" fillId="0" borderId="0" xfId="2" quotePrefix="1" applyFont="1"/>
    <xf numFmtId="17" fontId="5" fillId="0" borderId="0" xfId="0" applyNumberFormat="1" applyFont="1"/>
    <xf numFmtId="3" fontId="5" fillId="0" borderId="0" xfId="0" quotePrefix="1" applyNumberFormat="1" applyFont="1" applyAlignment="1">
      <alignment horizontal="right"/>
    </xf>
    <xf numFmtId="3" fontId="5" fillId="0" borderId="15" xfId="0" applyNumberFormat="1" applyFont="1" applyBorder="1"/>
    <xf numFmtId="4" fontId="8" fillId="0" borderId="15" xfId="0" applyNumberFormat="1" applyFont="1" applyBorder="1"/>
    <xf numFmtId="4" fontId="8" fillId="0" borderId="16" xfId="0" applyNumberFormat="1" applyFont="1" applyBorder="1"/>
    <xf numFmtId="41" fontId="5" fillId="0" borderId="16" xfId="2" applyFont="1" applyBorder="1" applyAlignment="1">
      <alignment horizontal="right"/>
    </xf>
    <xf numFmtId="3" fontId="5" fillId="0" borderId="16" xfId="0" applyNumberFormat="1" applyFont="1" applyBorder="1" applyAlignment="1">
      <alignment horizontal="right"/>
    </xf>
    <xf numFmtId="41" fontId="5" fillId="4" borderId="17" xfId="2" applyFont="1" applyFill="1" applyBorder="1" applyAlignment="1">
      <alignment horizontal="right"/>
    </xf>
    <xf numFmtId="3" fontId="5" fillId="4" borderId="17" xfId="0" applyNumberFormat="1" applyFont="1" applyFill="1" applyBorder="1" applyAlignment="1">
      <alignment horizontal="right"/>
    </xf>
    <xf numFmtId="165" fontId="8" fillId="0" borderId="15" xfId="0" applyNumberFormat="1" applyFont="1" applyBorder="1"/>
    <xf numFmtId="165" fontId="8" fillId="0" borderId="16" xfId="0" applyNumberFormat="1" applyFont="1" applyBorder="1"/>
    <xf numFmtId="3" fontId="8" fillId="0" borderId="16" xfId="0" applyNumberFormat="1" applyFont="1" applyBorder="1"/>
    <xf numFmtId="41" fontId="5" fillId="0" borderId="0" xfId="2" applyFont="1" applyBorder="1"/>
    <xf numFmtId="165" fontId="5" fillId="0" borderId="16" xfId="0" applyNumberFormat="1" applyFont="1" applyBorder="1" applyAlignment="1">
      <alignment horizontal="right"/>
    </xf>
    <xf numFmtId="165" fontId="5" fillId="4" borderId="17" xfId="0" applyNumberFormat="1" applyFont="1" applyFill="1" applyBorder="1" applyAlignment="1">
      <alignment horizontal="right"/>
    </xf>
    <xf numFmtId="41" fontId="5" fillId="8" borderId="16" xfId="2" applyFont="1" applyFill="1" applyBorder="1" applyAlignment="1">
      <alignment horizontal="right"/>
    </xf>
    <xf numFmtId="165" fontId="5" fillId="8" borderId="16" xfId="0" applyNumberFormat="1" applyFont="1" applyFill="1" applyBorder="1" applyAlignment="1">
      <alignment horizontal="right"/>
    </xf>
    <xf numFmtId="3" fontId="5" fillId="8" borderId="16" xfId="0" applyNumberFormat="1" applyFont="1" applyFill="1" applyBorder="1" applyAlignment="1">
      <alignment horizontal="right"/>
    </xf>
    <xf numFmtId="43" fontId="5" fillId="0" borderId="0" xfId="1" applyFont="1" applyBorder="1"/>
    <xf numFmtId="43" fontId="5" fillId="0" borderId="0" xfId="1" applyFont="1" applyFill="1" applyBorder="1"/>
    <xf numFmtId="2" fontId="6" fillId="9" borderId="0" xfId="0" applyNumberFormat="1" applyFont="1" applyFill="1"/>
    <xf numFmtId="0" fontId="6" fillId="9" borderId="0" xfId="4" applyFont="1" applyFill="1"/>
    <xf numFmtId="0" fontId="5" fillId="9" borderId="0" xfId="4" applyFont="1" applyFill="1"/>
    <xf numFmtId="0" fontId="6" fillId="9" borderId="0" xfId="0" applyFont="1" applyFill="1"/>
    <xf numFmtId="0" fontId="5" fillId="9" borderId="0" xfId="0" applyFont="1" applyFill="1"/>
    <xf numFmtId="167" fontId="5" fillId="2" borderId="11" xfId="3" applyNumberFormat="1" applyFont="1" applyFill="1" applyBorder="1"/>
    <xf numFmtId="167" fontId="5" fillId="2" borderId="2" xfId="3" applyNumberFormat="1" applyFont="1" applyFill="1" applyBorder="1"/>
    <xf numFmtId="1" fontId="5" fillId="0" borderId="0" xfId="0" applyNumberFormat="1" applyFont="1"/>
    <xf numFmtId="166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vertical="top"/>
    </xf>
    <xf numFmtId="0" fontId="7" fillId="5" borderId="0" xfId="0" applyFont="1" applyFill="1"/>
    <xf numFmtId="3" fontId="7" fillId="5" borderId="0" xfId="4" applyNumberFormat="1" applyFont="1" applyFill="1" applyAlignment="1">
      <alignment vertical="center"/>
    </xf>
    <xf numFmtId="0" fontId="7" fillId="5" borderId="0" xfId="4" applyFont="1" applyFill="1" applyAlignment="1">
      <alignment vertical="center"/>
    </xf>
    <xf numFmtId="0" fontId="5" fillId="0" borderId="0" xfId="4" applyFont="1" applyAlignment="1">
      <alignment vertical="center"/>
    </xf>
    <xf numFmtId="0" fontId="7" fillId="5" borderId="0" xfId="4" applyFont="1" applyFill="1" applyAlignment="1">
      <alignment vertical="top"/>
    </xf>
    <xf numFmtId="0" fontId="5" fillId="0" borderId="0" xfId="0" applyFont="1" applyAlignment="1">
      <alignment horizontal="left" vertical="center"/>
    </xf>
    <xf numFmtId="43" fontId="5" fillId="0" borderId="0" xfId="1" applyFont="1" applyAlignment="1">
      <alignment vertical="center"/>
    </xf>
    <xf numFmtId="168" fontId="5" fillId="0" borderId="0" xfId="0" applyNumberFormat="1" applyFont="1"/>
    <xf numFmtId="0" fontId="16" fillId="0" borderId="0" xfId="0" applyFont="1"/>
    <xf numFmtId="0" fontId="16" fillId="0" borderId="0" xfId="0" applyFont="1" applyAlignment="1">
      <alignment vertical="top"/>
    </xf>
    <xf numFmtId="3" fontId="16" fillId="0" borderId="0" xfId="0" applyNumberFormat="1" applyFont="1"/>
    <xf numFmtId="3" fontId="5" fillId="0" borderId="2" xfId="1" applyNumberFormat="1" applyFont="1" applyBorder="1" applyAlignment="1">
      <alignment vertical="top"/>
    </xf>
    <xf numFmtId="169" fontId="5" fillId="0" borderId="2" xfId="0" applyNumberFormat="1" applyFont="1" applyBorder="1"/>
    <xf numFmtId="0" fontId="1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7" fontId="5" fillId="0" borderId="0" xfId="0" applyNumberFormat="1" applyFont="1" applyAlignment="1">
      <alignment horizontal="center"/>
    </xf>
    <xf numFmtId="0" fontId="5" fillId="0" borderId="19" xfId="0" applyFont="1" applyBorder="1" applyAlignment="1">
      <alignment horizontal="center"/>
    </xf>
    <xf numFmtId="177" fontId="5" fillId="0" borderId="19" xfId="0" applyNumberFormat="1" applyFont="1" applyBorder="1" applyAlignment="1">
      <alignment horizontal="center"/>
    </xf>
    <xf numFmtId="9" fontId="5" fillId="0" borderId="0" xfId="3" applyFont="1"/>
    <xf numFmtId="171" fontId="5" fillId="0" borderId="0" xfId="0" applyNumberFormat="1" applyFont="1" applyAlignment="1">
      <alignment horizontal="left" vertical="top"/>
    </xf>
    <xf numFmtId="167" fontId="5" fillId="0" borderId="0" xfId="3" applyNumberFormat="1" applyFont="1" applyAlignment="1">
      <alignment horizontal="center" vertical="top"/>
    </xf>
    <xf numFmtId="0" fontId="5" fillId="0" borderId="20" xfId="0" applyFont="1" applyBorder="1" applyAlignment="1">
      <alignment horizontal="center"/>
    </xf>
    <xf numFmtId="177" fontId="5" fillId="0" borderId="20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77" fontId="5" fillId="0" borderId="21" xfId="0" applyNumberFormat="1" applyFont="1" applyBorder="1" applyAlignment="1">
      <alignment horizontal="center"/>
    </xf>
    <xf numFmtId="178" fontId="5" fillId="0" borderId="0" xfId="1" applyNumberFormat="1" applyFont="1" applyFill="1" applyBorder="1" applyAlignment="1">
      <alignment horizontal="center" vertical="top"/>
    </xf>
    <xf numFmtId="178" fontId="5" fillId="0" borderId="0" xfId="0" applyNumberFormat="1" applyFont="1" applyAlignment="1">
      <alignment horizontal="center" vertical="top"/>
    </xf>
    <xf numFmtId="178" fontId="5" fillId="0" borderId="0" xfId="1" applyNumberFormat="1" applyFont="1" applyBorder="1" applyAlignment="1">
      <alignment horizontal="center" vertical="top"/>
    </xf>
    <xf numFmtId="0" fontId="7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9" fontId="5" fillId="0" borderId="0" xfId="4" applyNumberFormat="1" applyFont="1"/>
    <xf numFmtId="41" fontId="5" fillId="0" borderId="0" xfId="4" applyNumberFormat="1" applyFont="1"/>
    <xf numFmtId="179" fontId="5" fillId="0" borderId="0" xfId="2" applyNumberFormat="1" applyFont="1"/>
    <xf numFmtId="0" fontId="5" fillId="0" borderId="1" xfId="0" applyFont="1" applyBorder="1" applyAlignment="1">
      <alignment horizontal="center"/>
    </xf>
    <xf numFmtId="41" fontId="17" fillId="0" borderId="0" xfId="2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11" xfId="0" applyFont="1" applyBorder="1"/>
    <xf numFmtId="0" fontId="5" fillId="0" borderId="12" xfId="0" applyFont="1" applyBorder="1"/>
    <xf numFmtId="3" fontId="5" fillId="0" borderId="11" xfId="6" applyNumberFormat="1" applyFont="1" applyBorder="1"/>
    <xf numFmtId="0" fontId="5" fillId="0" borderId="1" xfId="0" applyFont="1" applyBorder="1"/>
    <xf numFmtId="3" fontId="5" fillId="0" borderId="11" xfId="4" applyNumberFormat="1" applyFont="1" applyBorder="1"/>
    <xf numFmtId="3" fontId="5" fillId="0" borderId="12" xfId="4" applyNumberFormat="1" applyFont="1" applyBorder="1"/>
    <xf numFmtId="3" fontId="5" fillId="4" borderId="0" xfId="4" applyNumberFormat="1" applyFont="1" applyFill="1"/>
    <xf numFmtId="0" fontId="8" fillId="0" borderId="12" xfId="0" applyFont="1" applyBorder="1"/>
    <xf numFmtId="0" fontId="19" fillId="0" borderId="0" xfId="0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180" fontId="8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right"/>
    </xf>
    <xf numFmtId="41" fontId="5" fillId="0" borderId="0" xfId="2" applyFont="1" applyAlignment="1">
      <alignment horizontal="right"/>
    </xf>
    <xf numFmtId="3" fontId="5" fillId="0" borderId="1" xfId="0" applyNumberFormat="1" applyFont="1" applyBorder="1"/>
    <xf numFmtId="3" fontId="6" fillId="3" borderId="0" xfId="0" applyNumberFormat="1" applyFont="1" applyFill="1"/>
    <xf numFmtId="43" fontId="5" fillId="0" borderId="0" xfId="1" quotePrefix="1" applyFont="1" applyBorder="1" applyAlignment="1">
      <alignment horizontal="left" vertical="top" wrapText="1"/>
    </xf>
    <xf numFmtId="43" fontId="5" fillId="0" borderId="0" xfId="1" applyFont="1" applyBorder="1" applyAlignment="1">
      <alignment horizontal="left" vertical="top"/>
    </xf>
    <xf numFmtId="43" fontId="5" fillId="0" borderId="0" xfId="1" quotePrefix="1" applyFont="1" applyBorder="1" applyAlignment="1">
      <alignment horizontal="left" vertical="top"/>
    </xf>
    <xf numFmtId="3" fontId="12" fillId="0" borderId="0" xfId="0" applyNumberFormat="1" applyFont="1"/>
    <xf numFmtId="0" fontId="6" fillId="4" borderId="0" xfId="0" applyFont="1" applyFill="1"/>
    <xf numFmtId="0" fontId="5" fillId="5" borderId="0" xfId="0" applyFont="1" applyFill="1"/>
    <xf numFmtId="0" fontId="5" fillId="0" borderId="1" xfId="0" applyFont="1" applyBorder="1" applyAlignment="1">
      <alignment horizontal="right"/>
    </xf>
    <xf numFmtId="41" fontId="6" fillId="0" borderId="0" xfId="2" applyFont="1"/>
    <xf numFmtId="3" fontId="6" fillId="3" borderId="1" xfId="0" applyNumberFormat="1" applyFont="1" applyFill="1" applyBorder="1"/>
    <xf numFmtId="0" fontId="5" fillId="0" borderId="10" xfId="0" applyFont="1" applyBorder="1" applyAlignment="1">
      <alignment horizontal="center"/>
    </xf>
    <xf numFmtId="3" fontId="18" fillId="0" borderId="15" xfId="0" applyNumberFormat="1" applyFont="1" applyBorder="1"/>
    <xf numFmtId="3" fontId="8" fillId="0" borderId="12" xfId="4" applyNumberFormat="1" applyFont="1" applyBorder="1"/>
    <xf numFmtId="166" fontId="19" fillId="0" borderId="0" xfId="1" applyNumberFormat="1" applyFont="1"/>
    <xf numFmtId="166" fontId="5" fillId="0" borderId="15" xfId="1" applyNumberFormat="1" applyFont="1" applyFill="1" applyBorder="1"/>
    <xf numFmtId="166" fontId="5" fillId="0" borderId="16" xfId="1" applyNumberFormat="1" applyFont="1" applyFill="1" applyBorder="1"/>
    <xf numFmtId="171" fontId="8" fillId="0" borderId="16" xfId="1" applyNumberFormat="1" applyFont="1" applyFill="1" applyBorder="1"/>
    <xf numFmtId="172" fontId="8" fillId="0" borderId="16" xfId="1" applyNumberFormat="1" applyFont="1" applyBorder="1"/>
    <xf numFmtId="166" fontId="8" fillId="0" borderId="16" xfId="1" applyNumberFormat="1" applyFont="1" applyFill="1" applyBorder="1"/>
    <xf numFmtId="173" fontId="5" fillId="0" borderId="16" xfId="1" applyNumberFormat="1" applyFont="1" applyBorder="1"/>
    <xf numFmtId="173" fontId="8" fillId="0" borderId="16" xfId="1" applyNumberFormat="1" applyFont="1" applyBorder="1"/>
    <xf numFmtId="180" fontId="8" fillId="0" borderId="15" xfId="0" applyNumberFormat="1" applyFont="1" applyBorder="1" applyAlignment="1">
      <alignment horizontal="right"/>
    </xf>
    <xf numFmtId="180" fontId="8" fillId="0" borderId="16" xfId="0" applyNumberFormat="1" applyFont="1" applyBorder="1" applyAlignment="1">
      <alignment horizontal="right"/>
    </xf>
    <xf numFmtId="3" fontId="8" fillId="0" borderId="15" xfId="0" applyNumberFormat="1" applyFont="1" applyBorder="1" applyAlignment="1">
      <alignment horizontal="right"/>
    </xf>
    <xf numFmtId="3" fontId="8" fillId="0" borderId="16" xfId="0" applyNumberFormat="1" applyFont="1" applyBorder="1" applyAlignment="1">
      <alignment horizontal="right"/>
    </xf>
    <xf numFmtId="176" fontId="8" fillId="0" borderId="16" xfId="0" applyNumberFormat="1" applyFont="1" applyBorder="1" applyAlignment="1">
      <alignment horizontal="right"/>
    </xf>
    <xf numFmtId="40" fontId="6" fillId="0" borderId="0" xfId="0" applyNumberFormat="1" applyFont="1" applyAlignment="1">
      <alignment horizontal="left"/>
    </xf>
    <xf numFmtId="174" fontId="8" fillId="0" borderId="0" xfId="0" applyNumberFormat="1" applyFont="1"/>
    <xf numFmtId="38" fontId="5" fillId="0" borderId="0" xfId="0" applyNumberFormat="1" applyFont="1" applyAlignment="1">
      <alignment horizontal="left"/>
    </xf>
    <xf numFmtId="175" fontId="5" fillId="0" borderId="0" xfId="1" applyNumberFormat="1" applyFont="1" applyFill="1" applyBorder="1" applyAlignment="1">
      <alignment horizontal="center"/>
    </xf>
    <xf numFmtId="174" fontId="5" fillId="0" borderId="0" xfId="1" applyNumberFormat="1" applyFont="1" applyFill="1" applyBorder="1"/>
    <xf numFmtId="173" fontId="5" fillId="0" borderId="0" xfId="1" applyNumberFormat="1" applyFont="1" applyFill="1" applyBorder="1"/>
    <xf numFmtId="40" fontId="5" fillId="0" borderId="0" xfId="0" applyNumberFormat="1" applyFont="1" applyAlignment="1">
      <alignment horizontal="left"/>
    </xf>
    <xf numFmtId="40" fontId="5" fillId="0" borderId="0" xfId="1" applyNumberFormat="1" applyFont="1" applyFill="1" applyBorder="1" applyAlignment="1">
      <alignment horizontal="center"/>
    </xf>
    <xf numFmtId="38" fontId="5" fillId="0" borderId="0" xfId="1" applyNumberFormat="1" applyFont="1" applyFill="1" applyBorder="1"/>
    <xf numFmtId="43" fontId="5" fillId="0" borderId="0" xfId="1" applyFont="1" applyFill="1" applyBorder="1" applyAlignment="1">
      <alignment horizontal="left"/>
    </xf>
    <xf numFmtId="173" fontId="5" fillId="0" borderId="0" xfId="1" applyNumberFormat="1" applyFont="1" applyFill="1" applyBorder="1" applyAlignment="1"/>
    <xf numFmtId="173" fontId="5" fillId="0" borderId="0" xfId="1" applyNumberFormat="1" applyFont="1" applyFill="1" applyBorder="1" applyAlignment="1">
      <alignment horizontal="right"/>
    </xf>
    <xf numFmtId="168" fontId="5" fillId="0" borderId="0" xfId="0" applyNumberFormat="1" applyFont="1" applyAlignment="1">
      <alignment horizontal="left"/>
    </xf>
    <xf numFmtId="0" fontId="19" fillId="0" borderId="0" xfId="0" quotePrefix="1" applyFont="1"/>
    <xf numFmtId="167" fontId="5" fillId="2" borderId="12" xfId="3" applyNumberFormat="1" applyFont="1" applyFill="1" applyBorder="1"/>
    <xf numFmtId="10" fontId="5" fillId="2" borderId="11" xfId="3" applyNumberFormat="1" applyFont="1" applyFill="1" applyBorder="1" applyAlignment="1">
      <alignment horizontal="right"/>
    </xf>
    <xf numFmtId="41" fontId="8" fillId="0" borderId="0" xfId="2" applyFont="1" applyFill="1" applyBorder="1"/>
    <xf numFmtId="169" fontId="8" fillId="0" borderId="0" xfId="0" applyNumberFormat="1" applyFont="1"/>
    <xf numFmtId="165" fontId="8" fillId="0" borderId="0" xfId="4" applyNumberFormat="1" applyFont="1"/>
    <xf numFmtId="41" fontId="5" fillId="0" borderId="0" xfId="2" applyFont="1" applyFill="1" applyBorder="1"/>
    <xf numFmtId="0" fontId="5" fillId="0" borderId="10" xfId="0" applyFont="1" applyBorder="1"/>
    <xf numFmtId="0" fontId="8" fillId="0" borderId="0" xfId="0" quotePrefix="1" applyFont="1" applyAlignment="1">
      <alignment horizontal="right"/>
    </xf>
    <xf numFmtId="41" fontId="2" fillId="0" borderId="0" xfId="2" applyFont="1"/>
    <xf numFmtId="3" fontId="8" fillId="0" borderId="16" xfId="0" applyNumberFormat="1" applyFont="1" applyBorder="1" applyAlignment="1">
      <alignment vertical="top"/>
    </xf>
    <xf numFmtId="0" fontId="5" fillId="0" borderId="16" xfId="0" applyFont="1" applyBorder="1" applyAlignment="1">
      <alignment vertical="top"/>
    </xf>
    <xf numFmtId="180" fontId="8" fillId="0" borderId="0" xfId="0" applyNumberFormat="1" applyFont="1" applyAlignment="1">
      <alignment vertical="top"/>
    </xf>
    <xf numFmtId="180" fontId="8" fillId="0" borderId="16" xfId="0" applyNumberFormat="1" applyFont="1" applyBorder="1" applyAlignment="1">
      <alignment vertical="top"/>
    </xf>
    <xf numFmtId="0" fontId="5" fillId="0" borderId="15" xfId="0" applyFont="1" applyBorder="1" applyAlignment="1">
      <alignment vertical="top"/>
    </xf>
    <xf numFmtId="3" fontId="5" fillId="0" borderId="15" xfId="0" applyNumberFormat="1" applyFont="1" applyBorder="1" applyAlignment="1">
      <alignment horizontal="right" vertical="top"/>
    </xf>
    <xf numFmtId="3" fontId="5" fillId="0" borderId="22" xfId="0" applyNumberFormat="1" applyFont="1" applyBorder="1" applyAlignment="1">
      <alignment horizontal="right" vertical="top"/>
    </xf>
    <xf numFmtId="3" fontId="5" fillId="4" borderId="0" xfId="0" applyNumberFormat="1" applyFont="1" applyFill="1" applyAlignment="1">
      <alignment vertical="top"/>
    </xf>
    <xf numFmtId="3" fontId="5" fillId="4" borderId="0" xfId="0" applyNumberFormat="1" applyFont="1" applyFill="1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171" fontId="5" fillId="4" borderId="0" xfId="1" applyNumberFormat="1" applyFont="1" applyFill="1" applyBorder="1" applyAlignment="1">
      <alignment vertical="top"/>
    </xf>
    <xf numFmtId="166" fontId="5" fillId="4" borderId="0" xfId="1" applyNumberFormat="1" applyFont="1" applyFill="1" applyBorder="1" applyAlignment="1">
      <alignment vertical="top"/>
    </xf>
    <xf numFmtId="0" fontId="6" fillId="4" borderId="0" xfId="0" applyFont="1" applyFill="1" applyAlignment="1">
      <alignment horizontal="center" vertical="top" wrapText="1"/>
    </xf>
    <xf numFmtId="166" fontId="5" fillId="4" borderId="0" xfId="0" applyNumberFormat="1" applyFont="1" applyFill="1" applyAlignment="1">
      <alignment vertical="top"/>
    </xf>
    <xf numFmtId="43" fontId="5" fillId="4" borderId="0" xfId="1" applyFont="1" applyFill="1" applyBorder="1" applyAlignment="1">
      <alignment horizontal="left" vertical="top"/>
    </xf>
    <xf numFmtId="0" fontId="6" fillId="4" borderId="14" xfId="0" applyFont="1" applyFill="1" applyBorder="1" applyAlignment="1">
      <alignment horizontal="center" vertical="top" wrapText="1"/>
    </xf>
    <xf numFmtId="3" fontId="5" fillId="4" borderId="0" xfId="0" applyNumberFormat="1" applyFont="1" applyFill="1"/>
    <xf numFmtId="3" fontId="5" fillId="4" borderId="0" xfId="0" applyNumberFormat="1" applyFont="1" applyFill="1" applyAlignment="1">
      <alignment horizontal="center"/>
    </xf>
    <xf numFmtId="3" fontId="5" fillId="4" borderId="0" xfId="1" applyNumberFormat="1" applyFont="1" applyFill="1" applyBorder="1"/>
    <xf numFmtId="3" fontId="5" fillId="4" borderId="0" xfId="1" applyNumberFormat="1" applyFont="1" applyFill="1" applyBorder="1" applyAlignment="1">
      <alignment horizontal="center"/>
    </xf>
    <xf numFmtId="3" fontId="5" fillId="4" borderId="0" xfId="1" applyNumberFormat="1" applyFont="1" applyFill="1" applyBorder="1" applyAlignment="1">
      <alignment horizontal="right"/>
    </xf>
    <xf numFmtId="3" fontId="7" fillId="4" borderId="0" xfId="4" applyNumberFormat="1" applyFont="1" applyFill="1"/>
    <xf numFmtId="0" fontId="7" fillId="4" borderId="0" xfId="4" applyFont="1" applyFill="1"/>
    <xf numFmtId="0" fontId="6" fillId="4" borderId="0" xfId="0" applyFont="1" applyFill="1" applyAlignment="1">
      <alignment horizontal="center"/>
    </xf>
    <xf numFmtId="41" fontId="5" fillId="4" borderId="3" xfId="2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41" fontId="5" fillId="4" borderId="6" xfId="2" applyFont="1" applyFill="1" applyBorder="1"/>
    <xf numFmtId="41" fontId="5" fillId="4" borderId="8" xfId="2" applyFont="1" applyFill="1" applyBorder="1"/>
    <xf numFmtId="0" fontId="5" fillId="4" borderId="1" xfId="0" applyFont="1" applyFill="1" applyBorder="1"/>
    <xf numFmtId="43" fontId="5" fillId="4" borderId="3" xfId="1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4" borderId="7" xfId="0" applyFont="1" applyFill="1" applyBorder="1"/>
    <xf numFmtId="41" fontId="5" fillId="4" borderId="7" xfId="2" applyFont="1" applyFill="1" applyBorder="1"/>
    <xf numFmtId="41" fontId="5" fillId="4" borderId="7" xfId="2" applyFont="1" applyFill="1" applyBorder="1" applyAlignment="1">
      <alignment horizontal="left"/>
    </xf>
    <xf numFmtId="0" fontId="5" fillId="4" borderId="9" xfId="0" applyFont="1" applyFill="1" applyBorder="1"/>
    <xf numFmtId="167" fontId="5" fillId="4" borderId="18" xfId="3" applyNumberFormat="1" applyFont="1" applyFill="1" applyBorder="1"/>
    <xf numFmtId="169" fontId="5" fillId="0" borderId="20" xfId="0" applyNumberFormat="1" applyFont="1" applyBorder="1" applyAlignment="1">
      <alignment horizontal="right"/>
    </xf>
    <xf numFmtId="169" fontId="5" fillId="0" borderId="19" xfId="0" applyNumberFormat="1" applyFont="1" applyBorder="1" applyAlignment="1">
      <alignment horizontal="right"/>
    </xf>
    <xf numFmtId="169" fontId="5" fillId="0" borderId="21" xfId="0" applyNumberFormat="1" applyFont="1" applyBorder="1" applyAlignment="1">
      <alignment horizontal="right"/>
    </xf>
    <xf numFmtId="0" fontId="5" fillId="4" borderId="0" xfId="0" applyFont="1" applyFill="1" applyAlignment="1">
      <alignment horizontal="right"/>
    </xf>
    <xf numFmtId="169" fontId="5" fillId="0" borderId="0" xfId="0" applyNumberFormat="1" applyFont="1" applyAlignment="1">
      <alignment horizontal="right"/>
    </xf>
    <xf numFmtId="176" fontId="5" fillId="0" borderId="0" xfId="0" applyNumberFormat="1" applyFont="1"/>
    <xf numFmtId="9" fontId="8" fillId="0" borderId="0" xfId="0" applyNumberFormat="1" applyFont="1"/>
    <xf numFmtId="3" fontId="5" fillId="0" borderId="15" xfId="1" applyNumberFormat="1" applyFont="1" applyBorder="1" applyAlignment="1">
      <alignment vertical="top"/>
    </xf>
    <xf numFmtId="3" fontId="8" fillId="0" borderId="16" xfId="1" applyNumberFormat="1" applyFont="1" applyBorder="1" applyAlignment="1">
      <alignment vertical="top"/>
    </xf>
    <xf numFmtId="3" fontId="5" fillId="0" borderId="16" xfId="1" applyNumberFormat="1" applyFont="1" applyBorder="1" applyAlignment="1">
      <alignment vertical="top"/>
    </xf>
    <xf numFmtId="3" fontId="8" fillId="0" borderId="0" xfId="1" applyNumberFormat="1" applyFont="1" applyBorder="1" applyAlignment="1">
      <alignment vertical="top"/>
    </xf>
    <xf numFmtId="41" fontId="5" fillId="0" borderId="0" xfId="2" applyFont="1" applyAlignment="1">
      <alignment vertical="top"/>
    </xf>
    <xf numFmtId="0" fontId="19" fillId="0" borderId="0" xfId="0" quotePrefix="1" applyFont="1" applyAlignment="1">
      <alignment vertical="top"/>
    </xf>
    <xf numFmtId="43" fontId="5" fillId="2" borderId="0" xfId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8" fontId="5" fillId="2" borderId="0" xfId="0" applyNumberFormat="1" applyFont="1" applyFill="1"/>
    <xf numFmtId="0" fontId="7" fillId="5" borderId="0" xfId="0" applyFont="1" applyFill="1" applyAlignment="1">
      <alignment horizontal="right" wrapText="1"/>
    </xf>
    <xf numFmtId="167" fontId="6" fillId="6" borderId="0" xfId="3" applyNumberFormat="1" applyFont="1" applyFill="1" applyBorder="1" applyAlignment="1">
      <alignment horizontal="left" vertical="top"/>
    </xf>
    <xf numFmtId="167" fontId="6" fillId="6" borderId="0" xfId="3" applyNumberFormat="1" applyFont="1" applyFill="1" applyBorder="1" applyAlignment="1">
      <alignment horizontal="center" vertical="top"/>
    </xf>
    <xf numFmtId="0" fontId="5" fillId="9" borderId="0" xfId="0" applyFont="1" applyFill="1" applyAlignment="1">
      <alignment horizontal="right" vertical="center" wrapText="1"/>
    </xf>
    <xf numFmtId="43" fontId="5" fillId="2" borderId="0" xfId="1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3" fontId="5" fillId="2" borderId="0" xfId="1" applyFont="1" applyFill="1" applyBorder="1" applyAlignment="1">
      <alignment vertical="center"/>
    </xf>
    <xf numFmtId="182" fontId="5" fillId="2" borderId="0" xfId="0" applyNumberFormat="1" applyFont="1" applyFill="1"/>
    <xf numFmtId="168" fontId="5" fillId="2" borderId="0" xfId="0" applyNumberFormat="1" applyFont="1" applyFill="1" applyAlignment="1">
      <alignment vertical="center"/>
    </xf>
    <xf numFmtId="3" fontId="5" fillId="2" borderId="0" xfId="0" applyNumberFormat="1" applyFont="1" applyFill="1" applyAlignment="1">
      <alignment vertical="center"/>
    </xf>
    <xf numFmtId="168" fontId="5" fillId="2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left" vertical="center"/>
    </xf>
    <xf numFmtId="0" fontId="5" fillId="9" borderId="0" xfId="0" applyFont="1" applyFill="1" applyAlignment="1">
      <alignment vertical="center"/>
    </xf>
    <xf numFmtId="3" fontId="5" fillId="9" borderId="0" xfId="0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1" fontId="5" fillId="0" borderId="0" xfId="1" applyNumberFormat="1" applyFont="1" applyAlignment="1">
      <alignment horizontal="left" vertical="center"/>
    </xf>
    <xf numFmtId="43" fontId="5" fillId="0" borderId="0" xfId="1" applyFont="1"/>
    <xf numFmtId="3" fontId="5" fillId="0" borderId="0" xfId="2" applyNumberFormat="1" applyFont="1" applyAlignment="1">
      <alignment vertical="center"/>
    </xf>
    <xf numFmtId="168" fontId="5" fillId="0" borderId="15" xfId="0" applyNumberFormat="1" applyFont="1" applyBorder="1" applyAlignment="1">
      <alignment vertical="center"/>
    </xf>
    <xf numFmtId="183" fontId="5" fillId="0" borderId="11" xfId="0" applyNumberFormat="1" applyFont="1" applyBorder="1" applyAlignment="1">
      <alignment vertical="center"/>
    </xf>
    <xf numFmtId="168" fontId="6" fillId="0" borderId="0" xfId="0" applyNumberFormat="1" applyFont="1" applyAlignment="1">
      <alignment vertical="center"/>
    </xf>
    <xf numFmtId="168" fontId="5" fillId="0" borderId="16" xfId="0" applyNumberFormat="1" applyFont="1" applyBorder="1" applyAlignment="1">
      <alignment vertical="center"/>
    </xf>
    <xf numFmtId="1" fontId="5" fillId="0" borderId="0" xfId="1" applyNumberFormat="1" applyFont="1" applyAlignment="1">
      <alignment vertical="center"/>
    </xf>
    <xf numFmtId="168" fontId="6" fillId="0" borderId="2" xfId="0" applyNumberFormat="1" applyFont="1" applyBorder="1" applyAlignment="1">
      <alignment vertical="center"/>
    </xf>
    <xf numFmtId="184" fontId="5" fillId="0" borderId="16" xfId="0" applyNumberFormat="1" applyFont="1" applyBorder="1" applyAlignment="1">
      <alignment vertical="center"/>
    </xf>
    <xf numFmtId="184" fontId="6" fillId="0" borderId="2" xfId="1" applyNumberFormat="1" applyFont="1" applyBorder="1" applyAlignment="1">
      <alignment vertical="center"/>
    </xf>
    <xf numFmtId="183" fontId="6" fillId="6" borderId="23" xfId="0" applyNumberFormat="1" applyFont="1" applyFill="1" applyBorder="1" applyAlignment="1">
      <alignment vertical="center"/>
    </xf>
    <xf numFmtId="1" fontId="5" fillId="0" borderId="0" xfId="2" applyNumberFormat="1" applyFont="1" applyAlignment="1">
      <alignment vertical="center"/>
    </xf>
    <xf numFmtId="184" fontId="6" fillId="6" borderId="24" xfId="0" applyNumberFormat="1" applyFont="1" applyFill="1" applyBorder="1" applyAlignment="1">
      <alignment vertical="center"/>
    </xf>
    <xf numFmtId="43" fontId="5" fillId="0" borderId="0" xfId="1" applyFont="1" applyAlignment="1">
      <alignment horizontal="left" vertical="center"/>
    </xf>
    <xf numFmtId="166" fontId="5" fillId="0" borderId="15" xfId="1" applyNumberFormat="1" applyFont="1" applyBorder="1" applyAlignment="1">
      <alignment horizontal="left" vertical="center"/>
    </xf>
    <xf numFmtId="41" fontId="5" fillId="0" borderId="11" xfId="2" applyFont="1" applyBorder="1" applyAlignment="1">
      <alignment vertical="center"/>
    </xf>
    <xf numFmtId="166" fontId="5" fillId="0" borderId="16" xfId="1" applyNumberFormat="1" applyFont="1" applyBorder="1" applyAlignment="1">
      <alignment horizontal="left" vertical="center"/>
    </xf>
    <xf numFmtId="41" fontId="5" fillId="0" borderId="12" xfId="2" applyFont="1" applyBorder="1" applyAlignment="1">
      <alignment vertical="center"/>
    </xf>
    <xf numFmtId="173" fontId="5" fillId="6" borderId="24" xfId="1" applyNumberFormat="1" applyFont="1" applyFill="1" applyBorder="1" applyAlignment="1">
      <alignment horizontal="left" vertical="center"/>
    </xf>
    <xf numFmtId="185" fontId="6" fillId="6" borderId="23" xfId="2" applyNumberFormat="1" applyFont="1" applyFill="1" applyBorder="1" applyAlignment="1">
      <alignment vertical="center"/>
    </xf>
    <xf numFmtId="173" fontId="5" fillId="0" borderId="0" xfId="1" applyNumberFormat="1" applyFont="1" applyAlignment="1">
      <alignment horizontal="left" vertical="center"/>
    </xf>
    <xf numFmtId="173" fontId="5" fillId="6" borderId="24" xfId="1" applyNumberFormat="1" applyFont="1" applyFill="1" applyBorder="1" applyAlignment="1">
      <alignment vertical="center"/>
    </xf>
    <xf numFmtId="9" fontId="5" fillId="4" borderId="0" xfId="3" applyFont="1" applyFill="1" applyAlignment="1">
      <alignment horizontal="right"/>
    </xf>
    <xf numFmtId="0" fontId="7" fillId="5" borderId="0" xfId="0" applyFont="1" applyFill="1" applyAlignment="1">
      <alignment horizontal="left" vertical="top" wrapText="1"/>
    </xf>
    <xf numFmtId="168" fontId="5" fillId="2" borderId="0" xfId="1" applyNumberFormat="1" applyFont="1" applyFill="1" applyBorder="1" applyAlignment="1">
      <alignment vertical="center"/>
    </xf>
    <xf numFmtId="168" fontId="5" fillId="0" borderId="0" xfId="0" applyNumberFormat="1" applyFont="1" applyAlignment="1">
      <alignment vertical="center"/>
    </xf>
    <xf numFmtId="168" fontId="5" fillId="2" borderId="0" xfId="1" applyNumberFormat="1" applyFont="1" applyFill="1" applyAlignment="1">
      <alignment vertical="center"/>
    </xf>
    <xf numFmtId="178" fontId="5" fillId="0" borderId="15" xfId="0" applyNumberFormat="1" applyFont="1" applyBorder="1"/>
    <xf numFmtId="165" fontId="5" fillId="0" borderId="15" xfId="0" applyNumberFormat="1" applyFont="1" applyBorder="1"/>
    <xf numFmtId="3" fontId="19" fillId="0" borderId="0" xfId="0" applyNumberFormat="1" applyFont="1"/>
    <xf numFmtId="10" fontId="8" fillId="0" borderId="0" xfId="0" applyNumberFormat="1" applyFont="1" applyAlignment="1">
      <alignment vertical="top"/>
    </xf>
    <xf numFmtId="178" fontId="18" fillId="0" borderId="15" xfId="0" applyNumberFormat="1" applyFont="1" applyBorder="1"/>
    <xf numFmtId="178" fontId="18" fillId="0" borderId="16" xfId="0" applyNumberFormat="1" applyFont="1" applyBorder="1"/>
    <xf numFmtId="178" fontId="17" fillId="0" borderId="15" xfId="0" applyNumberFormat="1" applyFont="1" applyBorder="1"/>
    <xf numFmtId="178" fontId="17" fillId="0" borderId="16" xfId="0" applyNumberFormat="1" applyFont="1" applyBorder="1"/>
    <xf numFmtId="168" fontId="5" fillId="0" borderId="15" xfId="0" applyNumberFormat="1" applyFont="1" applyBorder="1"/>
    <xf numFmtId="168" fontId="5" fillId="0" borderId="16" xfId="0" applyNumberFormat="1" applyFont="1" applyBorder="1"/>
    <xf numFmtId="168" fontId="6" fillId="0" borderId="15" xfId="0" applyNumberFormat="1" applyFont="1" applyBorder="1"/>
    <xf numFmtId="168" fontId="5" fillId="4" borderId="16" xfId="0" applyNumberFormat="1" applyFont="1" applyFill="1" applyBorder="1"/>
    <xf numFmtId="167" fontId="5" fillId="0" borderId="0" xfId="3" applyNumberFormat="1" applyFont="1"/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6" fillId="0" borderId="0" xfId="0" applyFont="1" applyAlignment="1">
      <alignment horizontal="right" vertical="top"/>
    </xf>
    <xf numFmtId="3" fontId="8" fillId="3" borderId="0" xfId="0" applyNumberFormat="1" applyFont="1" applyFill="1"/>
    <xf numFmtId="181" fontId="5" fillId="0" borderId="12" xfId="0" applyNumberFormat="1" applyFont="1" applyBorder="1" applyAlignment="1">
      <alignment vertical="center"/>
    </xf>
    <xf numFmtId="2" fontId="5" fillId="0" borderId="0" xfId="0" applyNumberFormat="1" applyFont="1"/>
    <xf numFmtId="2" fontId="17" fillId="0" borderId="0" xfId="2" applyNumberFormat="1" applyFont="1"/>
    <xf numFmtId="176" fontId="8" fillId="0" borderId="15" xfId="0" applyNumberFormat="1" applyFont="1" applyBorder="1"/>
    <xf numFmtId="176" fontId="18" fillId="0" borderId="16" xfId="0" applyNumberFormat="1" applyFont="1" applyBorder="1"/>
    <xf numFmtId="3" fontId="8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0" fontId="5" fillId="0" borderId="11" xfId="3" applyNumberFormat="1" applyFont="1" applyBorder="1" applyAlignment="1">
      <alignment vertical="top"/>
    </xf>
    <xf numFmtId="10" fontId="8" fillId="4" borderId="7" xfId="0" quotePrefix="1" applyNumberFormat="1" applyFont="1" applyFill="1" applyBorder="1"/>
    <xf numFmtId="10" fontId="8" fillId="4" borderId="9" xfId="0" quotePrefix="1" applyNumberFormat="1" applyFont="1" applyFill="1" applyBorder="1"/>
    <xf numFmtId="10" fontId="5" fillId="0" borderId="0" xfId="0" applyNumberFormat="1" applyFont="1"/>
    <xf numFmtId="10" fontId="5" fillId="0" borderId="2" xfId="0" applyNumberFormat="1" applyFont="1" applyBorder="1"/>
    <xf numFmtId="0" fontId="21" fillId="0" borderId="2" xfId="0" applyFont="1" applyBorder="1"/>
    <xf numFmtId="0" fontId="22" fillId="0" borderId="25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1" fillId="10" borderId="25" xfId="0" applyFont="1" applyFill="1" applyBorder="1" applyAlignment="1">
      <alignment horizontal="center"/>
    </xf>
    <xf numFmtId="0" fontId="22" fillId="0" borderId="26" xfId="0" applyFont="1" applyBorder="1"/>
    <xf numFmtId="0" fontId="22" fillId="0" borderId="9" xfId="0" applyFont="1" applyBorder="1" applyAlignment="1">
      <alignment horizontal="center"/>
    </xf>
    <xf numFmtId="10" fontId="22" fillId="0" borderId="9" xfId="0" applyNumberFormat="1" applyFont="1" applyBorder="1" applyAlignment="1">
      <alignment horizontal="center"/>
    </xf>
    <xf numFmtId="10" fontId="22" fillId="10" borderId="9" xfId="0" applyNumberFormat="1" applyFont="1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7" fillId="5" borderId="0" xfId="0" applyFont="1" applyFill="1" applyAlignment="1">
      <alignment horizontal="right" vertical="top"/>
    </xf>
    <xf numFmtId="17" fontId="7" fillId="5" borderId="0" xfId="0" quotePrefix="1" applyNumberFormat="1" applyFont="1" applyFill="1" applyAlignment="1">
      <alignment horizontal="right" vertical="top"/>
    </xf>
    <xf numFmtId="0" fontId="22" fillId="3" borderId="26" xfId="0" applyFont="1" applyFill="1" applyBorder="1"/>
    <xf numFmtId="0" fontId="22" fillId="3" borderId="9" xfId="0" applyFont="1" applyFill="1" applyBorder="1" applyAlignment="1">
      <alignment horizontal="center"/>
    </xf>
    <xf numFmtId="10" fontId="22" fillId="3" borderId="9" xfId="0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2" fontId="6" fillId="0" borderId="0" xfId="14" applyNumberFormat="1" applyFont="1" applyAlignment="1">
      <alignment vertical="center"/>
    </xf>
    <xf numFmtId="0" fontId="5" fillId="0" borderId="0" xfId="14" applyFont="1" applyAlignment="1">
      <alignment vertical="center"/>
    </xf>
    <xf numFmtId="2" fontId="8" fillId="0" borderId="0" xfId="14" applyNumberFormat="1" applyFont="1" applyAlignment="1">
      <alignment vertical="center"/>
    </xf>
    <xf numFmtId="0" fontId="5" fillId="0" borderId="0" xfId="14" applyFont="1"/>
    <xf numFmtId="0" fontId="5" fillId="0" borderId="0" xfId="14" quotePrefix="1" applyFont="1" applyAlignment="1">
      <alignment vertical="center"/>
    </xf>
    <xf numFmtId="0" fontId="6" fillId="0" borderId="0" xfId="14" applyFont="1"/>
    <xf numFmtId="0" fontId="6" fillId="0" borderId="0" xfId="14" applyFont="1" applyAlignment="1">
      <alignment vertical="center"/>
    </xf>
    <xf numFmtId="171" fontId="5" fillId="0" borderId="0" xfId="14" applyNumberFormat="1" applyFont="1" applyAlignment="1">
      <alignment vertical="center"/>
    </xf>
    <xf numFmtId="3" fontId="5" fillId="0" borderId="0" xfId="14" applyNumberFormat="1" applyFont="1" applyAlignment="1">
      <alignment vertical="center"/>
    </xf>
    <xf numFmtId="0" fontId="6" fillId="0" borderId="0" xfId="14" quotePrefix="1" applyFont="1" applyAlignment="1">
      <alignment vertical="center"/>
    </xf>
    <xf numFmtId="171" fontId="5" fillId="0" borderId="0" xfId="1" applyNumberFormat="1" applyFont="1"/>
    <xf numFmtId="168" fontId="8" fillId="11" borderId="16" xfId="0" applyNumberFormat="1" applyFont="1" applyFill="1" applyBorder="1"/>
    <xf numFmtId="43" fontId="5" fillId="0" borderId="2" xfId="1" applyFont="1" applyBorder="1"/>
    <xf numFmtId="3" fontId="5" fillId="0" borderId="11" xfId="6" applyNumberFormat="1" applyFont="1" applyFill="1" applyBorder="1"/>
    <xf numFmtId="0" fontId="5" fillId="2" borderId="0" xfId="14" applyFont="1" applyFill="1"/>
    <xf numFmtId="0" fontId="5" fillId="2" borderId="0" xfId="14" quotePrefix="1" applyFont="1" applyFill="1"/>
    <xf numFmtId="3" fontId="5" fillId="2" borderId="0" xfId="14" applyNumberFormat="1" applyFont="1" applyFill="1"/>
    <xf numFmtId="9" fontId="5" fillId="0" borderId="0" xfId="0" applyNumberFormat="1" applyFont="1" applyAlignment="1">
      <alignment vertical="center"/>
    </xf>
    <xf numFmtId="3" fontId="5" fillId="6" borderId="0" xfId="0" applyNumberFormat="1" applyFont="1" applyFill="1"/>
    <xf numFmtId="171" fontId="5" fillId="0" borderId="0" xfId="0" applyNumberFormat="1" applyFont="1"/>
    <xf numFmtId="169" fontId="5" fillId="0" borderId="0" xfId="14" applyNumberFormat="1" applyFont="1" applyAlignment="1">
      <alignment vertical="center"/>
    </xf>
    <xf numFmtId="41" fontId="5" fillId="0" borderId="0" xfId="16" applyFont="1" applyAlignment="1">
      <alignment vertical="center"/>
    </xf>
    <xf numFmtId="3" fontId="5" fillId="0" borderId="0" xfId="16" applyNumberFormat="1" applyFont="1" applyFill="1" applyAlignment="1">
      <alignment vertical="center"/>
    </xf>
    <xf numFmtId="0" fontId="7" fillId="12" borderId="0" xfId="14" applyFont="1" applyFill="1" applyAlignment="1">
      <alignment vertical="center"/>
    </xf>
    <xf numFmtId="0" fontId="7" fillId="12" borderId="0" xfId="14" applyFont="1" applyFill="1" applyAlignment="1">
      <alignment horizontal="center" vertical="center"/>
    </xf>
    <xf numFmtId="166" fontId="5" fillId="0" borderId="0" xfId="14" applyNumberFormat="1" applyFont="1" applyAlignment="1">
      <alignment vertical="center"/>
    </xf>
    <xf numFmtId="2" fontId="5" fillId="0" borderId="0" xfId="15" applyNumberFormat="1" applyFont="1" applyAlignment="1">
      <alignment vertical="center"/>
    </xf>
    <xf numFmtId="2" fontId="5" fillId="0" borderId="0" xfId="15" quotePrefix="1" applyNumberFormat="1" applyFont="1" applyAlignment="1">
      <alignment vertical="center"/>
    </xf>
    <xf numFmtId="169" fontId="5" fillId="0" borderId="1" xfId="14" applyNumberFormat="1" applyFont="1" applyBorder="1" applyAlignment="1">
      <alignment vertical="center"/>
    </xf>
    <xf numFmtId="2" fontId="5" fillId="0" borderId="0" xfId="14" applyNumberFormat="1" applyFont="1" applyAlignment="1">
      <alignment vertical="center"/>
    </xf>
    <xf numFmtId="166" fontId="5" fillId="6" borderId="0" xfId="14" applyNumberFormat="1" applyFont="1" applyFill="1" applyAlignment="1">
      <alignment vertical="center"/>
    </xf>
    <xf numFmtId="3" fontId="5" fillId="0" borderId="1" xfId="14" applyNumberFormat="1" applyFont="1" applyBorder="1" applyAlignment="1">
      <alignment vertical="center"/>
    </xf>
    <xf numFmtId="3" fontId="5" fillId="6" borderId="0" xfId="14" applyNumberFormat="1" applyFont="1" applyFill="1" applyAlignment="1">
      <alignment vertical="center"/>
    </xf>
    <xf numFmtId="169" fontId="5" fillId="6" borderId="0" xfId="14" applyNumberFormat="1" applyFont="1" applyFill="1" applyAlignment="1">
      <alignment vertical="center"/>
    </xf>
    <xf numFmtId="0" fontId="5" fillId="6" borderId="0" xfId="14" applyFont="1" applyFill="1" applyAlignment="1">
      <alignment vertical="center"/>
    </xf>
    <xf numFmtId="168" fontId="5" fillId="0" borderId="0" xfId="14" applyNumberFormat="1" applyFont="1" applyAlignment="1">
      <alignment vertical="center"/>
    </xf>
    <xf numFmtId="0" fontId="7" fillId="5" borderId="0" xfId="14" applyFont="1" applyFill="1" applyAlignment="1">
      <alignment horizontal="center" vertical="center"/>
    </xf>
    <xf numFmtId="0" fontId="7" fillId="5" borderId="0" xfId="14" applyFont="1" applyFill="1" applyAlignment="1">
      <alignment horizontal="right" vertical="center" wrapText="1"/>
    </xf>
    <xf numFmtId="0" fontId="5" fillId="0" borderId="0" xfId="14" applyFont="1" applyAlignment="1">
      <alignment horizontal="center" vertical="center"/>
    </xf>
    <xf numFmtId="184" fontId="5" fillId="0" borderId="0" xfId="14" applyNumberFormat="1" applyFont="1" applyAlignment="1">
      <alignment vertical="center"/>
    </xf>
    <xf numFmtId="168" fontId="8" fillId="0" borderId="1" xfId="14" applyNumberFormat="1" applyFont="1" applyBorder="1" applyAlignment="1">
      <alignment vertical="center"/>
    </xf>
    <xf numFmtId="168" fontId="5" fillId="0" borderId="1" xfId="14" applyNumberFormat="1" applyFont="1" applyBorder="1" applyAlignment="1">
      <alignment vertical="center"/>
    </xf>
    <xf numFmtId="168" fontId="5" fillId="6" borderId="0" xfId="14" applyNumberFormat="1" applyFont="1" applyFill="1" applyAlignment="1">
      <alignment vertical="center"/>
    </xf>
    <xf numFmtId="168" fontId="8" fillId="0" borderId="0" xfId="14" applyNumberFormat="1" applyFont="1" applyAlignment="1">
      <alignment vertical="center"/>
    </xf>
    <xf numFmtId="0" fontId="5" fillId="13" borderId="0" xfId="14" applyFont="1" applyFill="1" applyAlignment="1">
      <alignment vertical="center"/>
    </xf>
    <xf numFmtId="168" fontId="5" fillId="13" borderId="0" xfId="14" applyNumberFormat="1" applyFont="1" applyFill="1" applyAlignment="1">
      <alignment vertical="center"/>
    </xf>
    <xf numFmtId="9" fontId="8" fillId="0" borderId="0" xfId="17" applyFont="1" applyAlignment="1">
      <alignment vertical="center"/>
    </xf>
    <xf numFmtId="186" fontId="5" fillId="0" borderId="0" xfId="14" applyNumberFormat="1" applyFont="1" applyAlignment="1">
      <alignment vertical="center"/>
    </xf>
    <xf numFmtId="2" fontId="6" fillId="0" borderId="0" xfId="14" applyNumberFormat="1" applyFont="1" applyAlignment="1">
      <alignment horizontal="left" vertical="center"/>
    </xf>
    <xf numFmtId="2" fontId="8" fillId="0" borderId="0" xfId="14" applyNumberFormat="1" applyFont="1" applyAlignment="1">
      <alignment horizontal="left" vertical="center"/>
    </xf>
    <xf numFmtId="2" fontId="26" fillId="0" borderId="0" xfId="14" applyNumberFormat="1" applyFont="1" applyAlignment="1">
      <alignment horizontal="left" vertical="center"/>
    </xf>
    <xf numFmtId="0" fontId="5" fillId="0" borderId="0" xfId="14" applyFont="1" applyAlignment="1">
      <alignment horizontal="right"/>
    </xf>
    <xf numFmtId="0" fontId="7" fillId="5" borderId="0" xfId="14" applyFont="1" applyFill="1" applyAlignment="1">
      <alignment vertical="top"/>
    </xf>
    <xf numFmtId="0" fontId="9" fillId="5" borderId="0" xfId="14" applyFont="1" applyFill="1" applyAlignment="1">
      <alignment vertical="top"/>
    </xf>
    <xf numFmtId="0" fontId="5" fillId="6" borderId="0" xfId="14" applyFont="1" applyFill="1"/>
    <xf numFmtId="0" fontId="5" fillId="6" borderId="0" xfId="14" applyFont="1" applyFill="1" applyAlignment="1">
      <alignment horizontal="center"/>
    </xf>
    <xf numFmtId="0" fontId="5" fillId="6" borderId="0" xfId="14" applyFont="1" applyFill="1" applyAlignment="1">
      <alignment horizontal="right" wrapText="1"/>
    </xf>
    <xf numFmtId="3" fontId="5" fillId="6" borderId="0" xfId="14" applyNumberFormat="1" applyFont="1" applyFill="1" applyAlignment="1">
      <alignment horizontal="right" wrapText="1"/>
    </xf>
    <xf numFmtId="0" fontId="5" fillId="3" borderId="0" xfId="14" applyFont="1" applyFill="1" applyAlignment="1">
      <alignment horizontal="right" wrapText="1"/>
    </xf>
    <xf numFmtId="0" fontId="5" fillId="6" borderId="0" xfId="14" applyFont="1" applyFill="1" applyAlignment="1">
      <alignment horizontal="center" vertical="center"/>
    </xf>
    <xf numFmtId="0" fontId="5" fillId="6" borderId="0" xfId="14" applyFont="1" applyFill="1" applyAlignment="1">
      <alignment horizontal="right" vertical="center" wrapText="1"/>
    </xf>
    <xf numFmtId="0" fontId="5" fillId="2" borderId="0" xfId="14" applyFont="1" applyFill="1" applyAlignment="1">
      <alignment horizontal="center"/>
    </xf>
    <xf numFmtId="3" fontId="5" fillId="0" borderId="0" xfId="14" applyNumberFormat="1" applyFont="1"/>
    <xf numFmtId="3" fontId="5" fillId="2" borderId="0" xfId="14" applyNumberFormat="1" applyFont="1" applyFill="1" applyAlignment="1">
      <alignment horizontal="right"/>
    </xf>
    <xf numFmtId="9" fontId="8" fillId="2" borderId="0" xfId="17" applyFont="1" applyFill="1" applyAlignment="1">
      <alignment horizontal="center"/>
    </xf>
    <xf numFmtId="166" fontId="5" fillId="2" borderId="0" xfId="15" applyNumberFormat="1" applyFont="1" applyFill="1" applyAlignment="1">
      <alignment horizontal="center"/>
    </xf>
    <xf numFmtId="166" fontId="5" fillId="2" borderId="0" xfId="14" applyNumberFormat="1" applyFont="1" applyFill="1" applyAlignment="1">
      <alignment horizontal="center"/>
    </xf>
    <xf numFmtId="3" fontId="5" fillId="2" borderId="27" xfId="14" applyNumberFormat="1" applyFont="1" applyFill="1" applyBorder="1"/>
    <xf numFmtId="41" fontId="5" fillId="2" borderId="0" xfId="16" applyFont="1" applyFill="1"/>
    <xf numFmtId="3" fontId="5" fillId="2" borderId="28" xfId="14" applyNumberFormat="1" applyFont="1" applyFill="1" applyBorder="1"/>
    <xf numFmtId="0" fontId="5" fillId="0" borderId="0" xfId="14" quotePrefix="1" applyFont="1"/>
    <xf numFmtId="41" fontId="5" fillId="0" borderId="0" xfId="16" quotePrefix="1" applyFont="1"/>
    <xf numFmtId="166" fontId="5" fillId="0" borderId="0" xfId="14" applyNumberFormat="1" applyFont="1"/>
    <xf numFmtId="169" fontId="6" fillId="0" borderId="0" xfId="14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41" fontId="5" fillId="0" borderId="0" xfId="2" applyFont="1" applyAlignment="1">
      <alignment horizontal="left" vertical="top"/>
    </xf>
    <xf numFmtId="0" fontId="6" fillId="0" borderId="0" xfId="0" applyFont="1" applyAlignment="1">
      <alignment horizontal="right"/>
    </xf>
    <xf numFmtId="180" fontId="5" fillId="0" borderId="0" xfId="0" applyNumberFormat="1" applyFont="1"/>
    <xf numFmtId="0" fontId="6" fillId="0" borderId="0" xfId="0" applyFont="1" applyAlignment="1">
      <alignment horizontal="left" vertical="top"/>
    </xf>
    <xf numFmtId="187" fontId="5" fillId="0" borderId="0" xfId="0" applyNumberFormat="1" applyFont="1" applyAlignment="1">
      <alignment vertical="center"/>
    </xf>
    <xf numFmtId="10" fontId="5" fillId="0" borderId="0" xfId="3" applyNumberFormat="1" applyFont="1"/>
    <xf numFmtId="167" fontId="5" fillId="0" borderId="0" xfId="1" applyNumberFormat="1" applyFont="1"/>
    <xf numFmtId="184" fontId="6" fillId="0" borderId="11" xfId="0" applyNumberFormat="1" applyFont="1" applyBorder="1" applyAlignment="1">
      <alignment vertical="center"/>
    </xf>
    <xf numFmtId="4" fontId="8" fillId="0" borderId="0" xfId="0" applyNumberFormat="1" applyFont="1"/>
    <xf numFmtId="4" fontId="27" fillId="0" borderId="0" xfId="0" applyNumberFormat="1" applyFont="1"/>
    <xf numFmtId="3" fontId="27" fillId="0" borderId="0" xfId="0" applyNumberFormat="1" applyFont="1"/>
    <xf numFmtId="41" fontId="5" fillId="0" borderId="0" xfId="2" applyFont="1" applyAlignment="1">
      <alignment horizontal="left"/>
    </xf>
    <xf numFmtId="41" fontId="5" fillId="0" borderId="0" xfId="2" applyFont="1" applyBorder="1" applyAlignment="1">
      <alignment horizontal="left" vertical="top"/>
    </xf>
    <xf numFmtId="41" fontId="5" fillId="0" borderId="0" xfId="2" quotePrefix="1" applyFont="1" applyAlignment="1">
      <alignment vertical="top"/>
    </xf>
    <xf numFmtId="41" fontId="5" fillId="0" borderId="1" xfId="2" applyFont="1" applyBorder="1" applyAlignment="1">
      <alignment horizontal="left" vertical="top"/>
    </xf>
    <xf numFmtId="41" fontId="5" fillId="0" borderId="0" xfId="0" quotePrefix="1" applyNumberFormat="1" applyFont="1" applyAlignment="1">
      <alignment vertical="top"/>
    </xf>
    <xf numFmtId="41" fontId="8" fillId="0" borderId="0" xfId="2" applyFont="1" applyAlignment="1">
      <alignment vertical="top"/>
    </xf>
    <xf numFmtId="171" fontId="5" fillId="0" borderId="0" xfId="1" applyNumberFormat="1" applyFont="1" applyFill="1" applyAlignment="1">
      <alignment vertical="center"/>
    </xf>
    <xf numFmtId="3" fontId="5" fillId="0" borderId="0" xfId="1" applyNumberFormat="1" applyFont="1" applyAlignment="1">
      <alignment horizontal="right" vertical="top"/>
    </xf>
    <xf numFmtId="0" fontId="28" fillId="0" borderId="0" xfId="0" applyFont="1"/>
    <xf numFmtId="3" fontId="6" fillId="0" borderId="0" xfId="0" applyNumberFormat="1" applyFont="1" applyAlignment="1">
      <alignment horizontal="center"/>
    </xf>
    <xf numFmtId="41" fontId="5" fillId="0" borderId="0" xfId="2" applyFont="1" applyAlignment="1"/>
    <xf numFmtId="0" fontId="6" fillId="0" borderId="0" xfId="0" applyFont="1" applyAlignment="1">
      <alignment horizontal="right" wrapText="1"/>
    </xf>
    <xf numFmtId="3" fontId="6" fillId="6" borderId="0" xfId="0" applyNumberFormat="1" applyFont="1" applyFill="1"/>
    <xf numFmtId="0" fontId="6" fillId="6" borderId="0" xfId="0" applyFont="1" applyFill="1" applyAlignment="1">
      <alignment horizontal="right" wrapText="1"/>
    </xf>
    <xf numFmtId="3" fontId="16" fillId="6" borderId="0" xfId="0" applyNumberFormat="1" applyFont="1" applyFill="1"/>
    <xf numFmtId="3" fontId="8" fillId="6" borderId="0" xfId="0" applyNumberFormat="1" applyFont="1" applyFill="1"/>
    <xf numFmtId="4" fontId="8" fillId="6" borderId="0" xfId="0" applyNumberFormat="1" applyFont="1" applyFill="1"/>
    <xf numFmtId="4" fontId="27" fillId="6" borderId="0" xfId="0" applyNumberFormat="1" applyFont="1" applyFill="1"/>
    <xf numFmtId="3" fontId="27" fillId="6" borderId="0" xfId="0" applyNumberFormat="1" applyFont="1" applyFill="1"/>
    <xf numFmtId="0" fontId="7" fillId="2" borderId="0" xfId="0" applyFont="1" applyFill="1" applyAlignment="1">
      <alignment horizontal="center" vertical="top"/>
    </xf>
    <xf numFmtId="41" fontId="7" fillId="0" borderId="0" xfId="2" applyFont="1" applyAlignment="1">
      <alignment horizontal="left" vertical="top"/>
    </xf>
    <xf numFmtId="41" fontId="16" fillId="0" borderId="0" xfId="2" applyFont="1"/>
    <xf numFmtId="0" fontId="6" fillId="0" borderId="0" xfId="0" applyFont="1" applyAlignment="1">
      <alignment horizontal="center" vertical="top"/>
    </xf>
    <xf numFmtId="171" fontId="5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  <xf numFmtId="3" fontId="5" fillId="0" borderId="0" xfId="2" applyNumberFormat="1" applyFont="1"/>
    <xf numFmtId="3" fontId="16" fillId="0" borderId="0" xfId="0" applyNumberFormat="1" applyFont="1" applyAlignment="1">
      <alignment horizontal="center"/>
    </xf>
    <xf numFmtId="41" fontId="6" fillId="0" borderId="0" xfId="2" applyFont="1" applyAlignment="1">
      <alignment horizontal="right" vertical="top"/>
    </xf>
    <xf numFmtId="41" fontId="5" fillId="0" borderId="0" xfId="2" quotePrefix="1" applyFont="1" applyAlignment="1">
      <alignment horizontal="left"/>
    </xf>
    <xf numFmtId="3" fontId="5" fillId="0" borderId="0" xfId="1" applyNumberFormat="1" applyFont="1" applyBorder="1" applyAlignment="1">
      <alignment horizontal="right" vertical="top"/>
    </xf>
    <xf numFmtId="3" fontId="5" fillId="0" borderId="0" xfId="0" quotePrefix="1" applyNumberFormat="1" applyFont="1" applyAlignment="1">
      <alignment horizontal="right" vertical="top"/>
    </xf>
    <xf numFmtId="3" fontId="5" fillId="0" borderId="11" xfId="1" applyNumberFormat="1" applyFont="1" applyBorder="1" applyAlignment="1">
      <alignment vertical="top"/>
    </xf>
    <xf numFmtId="3" fontId="8" fillId="0" borderId="12" xfId="1" applyNumberFormat="1" applyFont="1" applyBorder="1" applyAlignment="1">
      <alignment vertical="top"/>
    </xf>
    <xf numFmtId="3" fontId="22" fillId="0" borderId="12" xfId="1" applyNumberFormat="1" applyFont="1" applyBorder="1" applyAlignment="1">
      <alignment vertical="top"/>
    </xf>
    <xf numFmtId="3" fontId="8" fillId="0" borderId="0" xfId="1" applyNumberFormat="1" applyFont="1"/>
    <xf numFmtId="41" fontId="5" fillId="0" borderId="0" xfId="2" applyFont="1" applyBorder="1" applyAlignment="1">
      <alignment vertical="top"/>
    </xf>
    <xf numFmtId="3" fontId="5" fillId="0" borderId="15" xfId="0" applyNumberFormat="1" applyFont="1" applyBorder="1" applyAlignment="1">
      <alignment vertical="top"/>
    </xf>
    <xf numFmtId="3" fontId="5" fillId="0" borderId="16" xfId="0" applyNumberFormat="1" applyFont="1" applyBorder="1" applyAlignment="1">
      <alignment vertical="top"/>
    </xf>
    <xf numFmtId="3" fontId="6" fillId="0" borderId="0" xfId="0" quotePrefix="1" applyNumberFormat="1" applyFont="1" applyAlignment="1">
      <alignment horizontal="right" vertical="top"/>
    </xf>
    <xf numFmtId="0" fontId="5" fillId="0" borderId="17" xfId="0" applyFont="1" applyBorder="1" applyAlignment="1">
      <alignment vertical="top"/>
    </xf>
    <xf numFmtId="3" fontId="5" fillId="0" borderId="0" xfId="4" quotePrefix="1" applyNumberFormat="1" applyFont="1"/>
    <xf numFmtId="0" fontId="6" fillId="0" borderId="0" xfId="0" quotePrefix="1" applyFont="1" applyAlignment="1">
      <alignment vertical="top"/>
    </xf>
    <xf numFmtId="3" fontId="8" fillId="0" borderId="15" xfId="0" applyNumberFormat="1" applyFont="1" applyBorder="1" applyAlignment="1">
      <alignment vertical="top"/>
    </xf>
    <xf numFmtId="167" fontId="5" fillId="0" borderId="0" xfId="3" applyNumberFormat="1" applyFont="1" applyAlignment="1">
      <alignment horizontal="right" vertical="top"/>
    </xf>
    <xf numFmtId="3" fontId="6" fillId="0" borderId="0" xfId="14" applyNumberFormat="1" applyFont="1" applyAlignment="1">
      <alignment vertical="center"/>
    </xf>
    <xf numFmtId="169" fontId="6" fillId="0" borderId="4" xfId="14" applyNumberFormat="1" applyFont="1" applyBorder="1" applyAlignment="1">
      <alignment vertical="center"/>
    </xf>
    <xf numFmtId="168" fontId="6" fillId="0" borderId="16" xfId="0" applyNumberFormat="1" applyFont="1" applyBorder="1"/>
    <xf numFmtId="167" fontId="8" fillId="0" borderId="11" xfId="3" applyNumberFormat="1" applyFont="1" applyBorder="1" applyAlignment="1">
      <alignment vertical="top"/>
    </xf>
    <xf numFmtId="38" fontId="5" fillId="2" borderId="0" xfId="14" applyNumberFormat="1" applyFont="1" applyFill="1" applyAlignment="1">
      <alignment horizontal="right"/>
    </xf>
    <xf numFmtId="0" fontId="5" fillId="3" borderId="0" xfId="14" applyFont="1" applyFill="1" applyAlignment="1">
      <alignment horizontal="center"/>
    </xf>
    <xf numFmtId="3" fontId="5" fillId="3" borderId="0" xfId="14" applyNumberFormat="1" applyFont="1" applyFill="1" applyAlignment="1">
      <alignment horizontal="right" wrapText="1"/>
    </xf>
    <xf numFmtId="0" fontId="5" fillId="3" borderId="0" xfId="14" quotePrefix="1" applyFont="1" applyFill="1" applyAlignment="1">
      <alignment horizontal="right" wrapText="1"/>
    </xf>
    <xf numFmtId="9" fontId="8" fillId="2" borderId="0" xfId="17" applyFont="1" applyFill="1" applyAlignment="1">
      <alignment horizontal="right"/>
    </xf>
    <xf numFmtId="168" fontId="5" fillId="0" borderId="0" xfId="14" applyNumberFormat="1" applyFont="1"/>
    <xf numFmtId="168" fontId="13" fillId="0" borderId="1" xfId="14" applyNumberFormat="1" applyFont="1" applyBorder="1" applyAlignment="1">
      <alignment vertical="center"/>
    </xf>
    <xf numFmtId="176" fontId="5" fillId="0" borderId="29" xfId="0" applyNumberFormat="1" applyFont="1" applyBorder="1"/>
    <xf numFmtId="41" fontId="6" fillId="0" borderId="0" xfId="2" applyFont="1" applyAlignment="1">
      <alignment horizontal="right"/>
    </xf>
    <xf numFmtId="0" fontId="6" fillId="0" borderId="0" xfId="0" applyFont="1" applyAlignment="1">
      <alignment horizontal="left"/>
    </xf>
    <xf numFmtId="41" fontId="6" fillId="0" borderId="0" xfId="2" applyFont="1" applyAlignment="1">
      <alignment horizontal="left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5" borderId="0" xfId="0" applyFont="1" applyFill="1" applyAlignment="1">
      <alignment horizontal="left"/>
    </xf>
    <xf numFmtId="0" fontId="6" fillId="0" borderId="0" xfId="0" quotePrefix="1" applyFont="1"/>
    <xf numFmtId="0" fontId="5" fillId="0" borderId="0" xfId="0" quotePrefix="1" applyFont="1" applyAlignment="1">
      <alignment horizontal="left" vertical="center"/>
    </xf>
    <xf numFmtId="0" fontId="7" fillId="5" borderId="0" xfId="0" applyFont="1" applyFill="1" applyAlignment="1">
      <alignment horizontal="center" wrapText="1"/>
    </xf>
    <xf numFmtId="0" fontId="6" fillId="0" borderId="1" xfId="0" applyFont="1" applyBorder="1"/>
    <xf numFmtId="3" fontId="16" fillId="6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5" fillId="8" borderId="2" xfId="0" applyFont="1" applyFill="1" applyBorder="1" applyAlignment="1">
      <alignment horizontal="right"/>
    </xf>
    <xf numFmtId="0" fontId="16" fillId="8" borderId="2" xfId="0" applyFont="1" applyFill="1" applyBorder="1" applyAlignment="1">
      <alignment horizontal="center"/>
    </xf>
    <xf numFmtId="41" fontId="5" fillId="0" borderId="0" xfId="2" quotePrefix="1" applyFont="1" applyAlignment="1">
      <alignment horizontal="left" vertical="top"/>
    </xf>
    <xf numFmtId="2" fontId="8" fillId="0" borderId="0" xfId="0" applyNumberFormat="1" applyFont="1" applyAlignment="1">
      <alignment horizontal="left" vertical="center"/>
    </xf>
    <xf numFmtId="1" fontId="8" fillId="0" borderId="0" xfId="16" applyNumberFormat="1" applyFont="1" applyAlignment="1">
      <alignment vertical="center"/>
    </xf>
    <xf numFmtId="2" fontId="8" fillId="0" borderId="0" xfId="0" applyNumberFormat="1" applyFont="1"/>
    <xf numFmtId="0" fontId="8" fillId="0" borderId="0" xfId="0" applyFont="1" applyAlignment="1">
      <alignment vertical="top"/>
    </xf>
    <xf numFmtId="3" fontId="28" fillId="0" borderId="0" xfId="4" applyNumberFormat="1" applyFont="1" applyAlignment="1">
      <alignment horizontal="left"/>
    </xf>
    <xf numFmtId="0" fontId="1" fillId="0" borderId="0" xfId="0" applyFont="1"/>
    <xf numFmtId="0" fontId="1" fillId="0" borderId="0" xfId="4" applyFont="1" applyAlignment="1">
      <alignment horizontal="right"/>
    </xf>
    <xf numFmtId="0" fontId="1" fillId="0" borderId="0" xfId="4" applyFont="1"/>
    <xf numFmtId="3" fontId="18" fillId="0" borderId="0" xfId="4" applyNumberFormat="1" applyFont="1" applyAlignment="1">
      <alignment horizontal="left"/>
    </xf>
    <xf numFmtId="0" fontId="18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1" fillId="0" borderId="0" xfId="0" applyFont="1"/>
    <xf numFmtId="0" fontId="29" fillId="5" borderId="0" xfId="4" applyFont="1" applyFill="1" applyAlignment="1">
      <alignment horizontal="left" vertical="top"/>
    </xf>
    <xf numFmtId="0" fontId="29" fillId="5" borderId="0" xfId="4" applyFont="1" applyFill="1" applyAlignment="1">
      <alignment horizontal="right" vertical="top"/>
    </xf>
    <xf numFmtId="0" fontId="29" fillId="5" borderId="0" xfId="4" applyFont="1" applyFill="1" applyAlignment="1">
      <alignment vertical="top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169" fontId="28" fillId="13" borderId="0" xfId="2" applyNumberFormat="1" applyFont="1" applyFill="1" applyAlignment="1">
      <alignment horizontal="left" vertical="top"/>
    </xf>
    <xf numFmtId="0" fontId="1" fillId="13" borderId="0" xfId="0" applyFont="1" applyFill="1" applyAlignment="1">
      <alignment horizontal="center" vertical="top"/>
    </xf>
    <xf numFmtId="0" fontId="1" fillId="13" borderId="0" xfId="0" applyFont="1" applyFill="1" applyAlignment="1">
      <alignment vertical="top" wrapText="1"/>
    </xf>
    <xf numFmtId="0" fontId="1" fillId="0" borderId="0" xfId="0" quotePrefix="1" applyFont="1" applyAlignment="1">
      <alignment horizontal="left"/>
    </xf>
    <xf numFmtId="0" fontId="1" fillId="0" borderId="0" xfId="4" applyFont="1" applyAlignment="1">
      <alignment horizontal="left"/>
    </xf>
    <xf numFmtId="0" fontId="28" fillId="0" borderId="0" xfId="0" quotePrefix="1" applyFont="1" applyAlignment="1">
      <alignment horizontal="left"/>
    </xf>
    <xf numFmtId="0" fontId="28" fillId="0" borderId="0" xfId="0" quotePrefix="1" applyFont="1"/>
    <xf numFmtId="3" fontId="1" fillId="0" borderId="0" xfId="4" applyNumberFormat="1" applyFont="1" applyAlignment="1">
      <alignment horizontal="right"/>
    </xf>
    <xf numFmtId="41" fontId="1" fillId="0" borderId="0" xfId="2" applyFont="1"/>
    <xf numFmtId="3" fontId="1" fillId="0" borderId="0" xfId="0" applyNumberFormat="1" applyFont="1"/>
    <xf numFmtId="178" fontId="1" fillId="0" borderId="0" xfId="0" applyNumberFormat="1" applyFont="1" applyAlignment="1">
      <alignment horizontal="right"/>
    </xf>
    <xf numFmtId="180" fontId="1" fillId="0" borderId="0" xfId="0" applyNumberFormat="1" applyFont="1" applyAlignment="1">
      <alignment horizontal="right"/>
    </xf>
    <xf numFmtId="178" fontId="1" fillId="0" borderId="0" xfId="0" applyNumberFormat="1" applyFont="1"/>
    <xf numFmtId="0" fontId="1" fillId="0" borderId="0" xfId="0" quotePrefix="1" applyFont="1"/>
    <xf numFmtId="0" fontId="1" fillId="6" borderId="0" xfId="0" applyFont="1" applyFill="1"/>
    <xf numFmtId="0" fontId="1" fillId="6" borderId="0" xfId="0" applyFont="1" applyFill="1" applyAlignment="1">
      <alignment horizontal="left"/>
    </xf>
    <xf numFmtId="3" fontId="1" fillId="6" borderId="0" xfId="0" applyNumberFormat="1" applyFont="1" applyFill="1"/>
    <xf numFmtId="0" fontId="1" fillId="0" borderId="7" xfId="0" applyFont="1" applyBorder="1"/>
    <xf numFmtId="3" fontId="1" fillId="0" borderId="7" xfId="0" applyNumberFormat="1" applyFont="1" applyBorder="1"/>
    <xf numFmtId="178" fontId="1" fillId="0" borderId="7" xfId="0" applyNumberFormat="1" applyFont="1" applyBorder="1"/>
    <xf numFmtId="0" fontId="1" fillId="4" borderId="7" xfId="0" applyFont="1" applyFill="1" applyBorder="1" applyAlignment="1">
      <alignment vertical="top" wrapText="1"/>
    </xf>
    <xf numFmtId="0" fontId="1" fillId="15" borderId="0" xfId="0" applyFont="1" applyFill="1"/>
    <xf numFmtId="3" fontId="1" fillId="15" borderId="0" xfId="0" applyNumberFormat="1" applyFont="1" applyFill="1"/>
    <xf numFmtId="0" fontId="1" fillId="4" borderId="0" xfId="0" applyFont="1" applyFill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9" fontId="28" fillId="13" borderId="0" xfId="2" applyNumberFormat="1" applyFont="1" applyFill="1" applyBorder="1" applyAlignment="1">
      <alignment horizontal="left" vertical="top"/>
    </xf>
    <xf numFmtId="169" fontId="28" fillId="4" borderId="0" xfId="2" applyNumberFormat="1" applyFont="1" applyFill="1" applyBorder="1" applyAlignment="1">
      <alignment horizontal="left" vertical="top"/>
    </xf>
    <xf numFmtId="0" fontId="1" fillId="4" borderId="0" xfId="0" applyFont="1" applyFill="1" applyAlignment="1">
      <alignment horizontal="center" vertical="top"/>
    </xf>
    <xf numFmtId="41" fontId="1" fillId="0" borderId="0" xfId="2" applyFont="1" applyBorder="1"/>
    <xf numFmtId="3" fontId="28" fillId="0" borderId="0" xfId="0" applyNumberFormat="1" applyFont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left"/>
    </xf>
    <xf numFmtId="0" fontId="1" fillId="16" borderId="2" xfId="0" applyFont="1" applyFill="1" applyBorder="1" applyAlignment="1">
      <alignment horizontal="center"/>
    </xf>
    <xf numFmtId="0" fontId="1" fillId="16" borderId="2" xfId="0" applyFont="1" applyFill="1" applyBorder="1"/>
    <xf numFmtId="3" fontId="1" fillId="16" borderId="2" xfId="0" applyNumberFormat="1" applyFont="1" applyFill="1" applyBorder="1" applyAlignment="1">
      <alignment horizontal="center"/>
    </xf>
    <xf numFmtId="3" fontId="1" fillId="16" borderId="2" xfId="0" applyNumberFormat="1" applyFont="1" applyFill="1" applyBorder="1" applyAlignment="1">
      <alignment horizontal="left"/>
    </xf>
    <xf numFmtId="3" fontId="1" fillId="16" borderId="2" xfId="0" applyNumberFormat="1" applyFont="1" applyFill="1" applyBorder="1"/>
    <xf numFmtId="0" fontId="1" fillId="17" borderId="2" xfId="0" applyFont="1" applyFill="1" applyBorder="1" applyAlignment="1">
      <alignment horizontal="center"/>
    </xf>
    <xf numFmtId="0" fontId="1" fillId="17" borderId="2" xfId="0" applyFont="1" applyFill="1" applyBorder="1"/>
    <xf numFmtId="3" fontId="1" fillId="17" borderId="2" xfId="0" applyNumberFormat="1" applyFont="1" applyFill="1" applyBorder="1" applyAlignment="1">
      <alignment horizontal="center"/>
    </xf>
    <xf numFmtId="3" fontId="1" fillId="17" borderId="2" xfId="0" applyNumberFormat="1" applyFont="1" applyFill="1" applyBorder="1" applyAlignment="1">
      <alignment horizontal="left"/>
    </xf>
    <xf numFmtId="3" fontId="1" fillId="17" borderId="2" xfId="0" applyNumberFormat="1" applyFont="1" applyFill="1" applyBorder="1"/>
    <xf numFmtId="3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1" fillId="0" borderId="2" xfId="0" applyNumberFormat="1" applyFont="1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2" borderId="2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18" borderId="2" xfId="0" applyNumberFormat="1" applyFont="1" applyFill="1" applyBorder="1" applyAlignment="1">
      <alignment horizontal="left"/>
    </xf>
    <xf numFmtId="0" fontId="1" fillId="19" borderId="2" xfId="0" applyFont="1" applyFill="1" applyBorder="1" applyAlignment="1">
      <alignment horizontal="center"/>
    </xf>
    <xf numFmtId="3" fontId="1" fillId="21" borderId="2" xfId="0" applyNumberFormat="1" applyFont="1" applyFill="1" applyBorder="1" applyAlignment="1">
      <alignment horizontal="left"/>
    </xf>
    <xf numFmtId="3" fontId="1" fillId="11" borderId="2" xfId="0" applyNumberFormat="1" applyFont="1" applyFill="1" applyBorder="1" applyAlignment="1">
      <alignment horizontal="left"/>
    </xf>
    <xf numFmtId="3" fontId="1" fillId="14" borderId="2" xfId="0" applyNumberFormat="1" applyFont="1" applyFill="1" applyBorder="1" applyAlignment="1">
      <alignment horizontal="left"/>
    </xf>
    <xf numFmtId="3" fontId="1" fillId="22" borderId="2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3" fontId="28" fillId="0" borderId="2" xfId="0" applyNumberFormat="1" applyFont="1" applyBorder="1"/>
    <xf numFmtId="0" fontId="28" fillId="0" borderId="3" xfId="0" applyFont="1" applyBorder="1" applyAlignment="1">
      <alignment vertical="center"/>
    </xf>
    <xf numFmtId="0" fontId="28" fillId="0" borderId="2" xfId="0" applyFont="1" applyBorder="1" applyAlignment="1">
      <alignment horizontal="left"/>
    </xf>
    <xf numFmtId="3" fontId="30" fillId="20" borderId="2" xfId="0" applyNumberFormat="1" applyFont="1" applyFill="1" applyBorder="1" applyAlignment="1">
      <alignment horizontal="left"/>
    </xf>
    <xf numFmtId="3" fontId="28" fillId="0" borderId="2" xfId="0" applyNumberFormat="1" applyFont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3" fontId="1" fillId="22" borderId="2" xfId="0" applyNumberFormat="1" applyFont="1" applyFill="1" applyBorder="1" applyAlignment="1">
      <alignment horizontal="left"/>
    </xf>
    <xf numFmtId="3" fontId="1" fillId="23" borderId="2" xfId="0" applyNumberFormat="1" applyFont="1" applyFill="1" applyBorder="1" applyAlignment="1">
      <alignment horizontal="left"/>
    </xf>
    <xf numFmtId="3" fontId="1" fillId="23" borderId="2" xfId="0" applyNumberFormat="1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3" fontId="28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3" fontId="28" fillId="0" borderId="1" xfId="0" applyNumberFormat="1" applyFon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6" borderId="1" xfId="0" applyNumberFormat="1" applyFont="1" applyFill="1" applyBorder="1"/>
    <xf numFmtId="0" fontId="1" fillId="3" borderId="0" xfId="0" applyFont="1" applyFill="1" applyAlignment="1">
      <alignment horizontal="center" vertical="top" wrapText="1"/>
    </xf>
    <xf numFmtId="0" fontId="5" fillId="0" borderId="0" xfId="14" applyFont="1" applyAlignment="1">
      <alignment horizontal="left" vertical="center"/>
    </xf>
    <xf numFmtId="41" fontId="5" fillId="6" borderId="0" xfId="2" applyFont="1" applyFill="1" applyBorder="1"/>
    <xf numFmtId="168" fontId="5" fillId="6" borderId="17" xfId="0" applyNumberFormat="1" applyFont="1" applyFill="1" applyBorder="1"/>
    <xf numFmtId="0" fontId="1" fillId="6" borderId="0" xfId="0" applyFont="1" applyFill="1" applyAlignment="1">
      <alignment horizontal="center" vertical="top" wrapText="1"/>
    </xf>
    <xf numFmtId="168" fontId="6" fillId="0" borderId="17" xfId="0" applyNumberFormat="1" applyFont="1" applyBorder="1"/>
    <xf numFmtId="168" fontId="1" fillId="4" borderId="0" xfId="0" applyNumberFormat="1" applyFont="1" applyFill="1" applyAlignment="1">
      <alignment vertical="top" wrapText="1"/>
    </xf>
    <xf numFmtId="168" fontId="5" fillId="0" borderId="22" xfId="0" applyNumberFormat="1" applyFont="1" applyBorder="1"/>
    <xf numFmtId="168" fontId="1" fillId="0" borderId="0" xfId="0" applyNumberFormat="1" applyFont="1"/>
    <xf numFmtId="3" fontId="6" fillId="0" borderId="17" xfId="0" applyNumberFormat="1" applyFont="1" applyBorder="1"/>
    <xf numFmtId="3" fontId="28" fillId="3" borderId="0" xfId="0" applyNumberFormat="1" applyFont="1" applyFill="1" applyAlignment="1">
      <alignment horizontal="center" vertical="top" wrapText="1"/>
    </xf>
    <xf numFmtId="3" fontId="5" fillId="0" borderId="0" xfId="0" quotePrefix="1" applyNumberFormat="1" applyFont="1"/>
    <xf numFmtId="0" fontId="5" fillId="0" borderId="1" xfId="14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43" fontId="5" fillId="0" borderId="0" xfId="1" applyFont="1" applyAlignment="1">
      <alignment horizontal="left" wrapText="1"/>
    </xf>
    <xf numFmtId="43" fontId="7" fillId="5" borderId="0" xfId="1" applyFont="1" applyFill="1" applyBorder="1" applyAlignment="1">
      <alignment horizontal="center" vertical="top"/>
    </xf>
    <xf numFmtId="4" fontId="7" fillId="5" borderId="0" xfId="1" applyNumberFormat="1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top" wrapText="1"/>
    </xf>
    <xf numFmtId="4" fontId="7" fillId="5" borderId="0" xfId="1" applyNumberFormat="1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right" wrapText="1"/>
    </xf>
    <xf numFmtId="0" fontId="5" fillId="0" borderId="4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7" fillId="5" borderId="0" xfId="0" applyFont="1" applyFill="1" applyAlignment="1">
      <alignment horizontal="center" vertical="top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5" borderId="0" xfId="0" applyFont="1" applyFill="1" applyAlignment="1">
      <alignment horizontal="left" vertical="top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3" fontId="19" fillId="0" borderId="16" xfId="1" applyNumberFormat="1" applyFont="1" applyBorder="1" applyAlignment="1">
      <alignment horizontal="center" vertical="top"/>
    </xf>
    <xf numFmtId="0" fontId="7" fillId="5" borderId="13" xfId="0" applyFont="1" applyFill="1" applyBorder="1" applyAlignment="1">
      <alignment horizontal="center" vertical="top" wrapText="1"/>
    </xf>
    <xf numFmtId="3" fontId="5" fillId="4" borderId="0" xfId="1" applyNumberFormat="1" applyFont="1" applyFill="1" applyBorder="1" applyAlignment="1">
      <alignment horizontal="center"/>
    </xf>
    <xf numFmtId="3" fontId="5" fillId="4" borderId="0" xfId="0" applyNumberFormat="1" applyFont="1" applyFill="1" applyAlignment="1">
      <alignment horizontal="center"/>
    </xf>
    <xf numFmtId="41" fontId="5" fillId="0" borderId="0" xfId="2" applyFont="1" applyBorder="1" applyAlignment="1">
      <alignment horizontal="left" vertical="top" wrapText="1"/>
    </xf>
    <xf numFmtId="0" fontId="28" fillId="0" borderId="2" xfId="0" applyFont="1" applyBorder="1" applyAlignment="1">
      <alignment horizontal="center"/>
    </xf>
    <xf numFmtId="0" fontId="28" fillId="0" borderId="2" xfId="0" applyFont="1" applyBorder="1"/>
    <xf numFmtId="3" fontId="28" fillId="0" borderId="2" xfId="0" applyNumberFormat="1" applyFont="1" applyBorder="1" applyAlignment="1">
      <alignment horizontal="center"/>
    </xf>
    <xf numFmtId="3" fontId="28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0" fontId="5" fillId="0" borderId="0" xfId="14" applyFont="1" applyAlignment="1">
      <alignment vertical="top"/>
    </xf>
    <xf numFmtId="0" fontId="6" fillId="0" borderId="0" xfId="14" applyFont="1" applyAlignment="1">
      <alignment vertical="top"/>
    </xf>
    <xf numFmtId="166" fontId="5" fillId="0" borderId="0" xfId="14" applyNumberFormat="1" applyFont="1" applyAlignment="1">
      <alignment vertical="top"/>
    </xf>
    <xf numFmtId="0" fontId="8" fillId="0" borderId="0" xfId="14" applyFont="1" applyAlignment="1">
      <alignment vertical="top"/>
    </xf>
    <xf numFmtId="0" fontId="5" fillId="0" borderId="0" xfId="14" applyFont="1" applyAlignment="1">
      <alignment horizontal="center" vertical="top"/>
    </xf>
    <xf numFmtId="188" fontId="5" fillId="0" borderId="0" xfId="14" applyNumberFormat="1" applyFont="1" applyAlignment="1">
      <alignment horizontal="center" vertical="top"/>
    </xf>
    <xf numFmtId="171" fontId="5" fillId="0" borderId="0" xfId="14" applyNumberFormat="1" applyFont="1" applyAlignment="1">
      <alignment horizontal="center" vertical="top"/>
    </xf>
    <xf numFmtId="3" fontId="5" fillId="0" borderId="0" xfId="14" applyNumberFormat="1" applyFont="1" applyAlignment="1">
      <alignment horizontal="right" vertical="top"/>
    </xf>
    <xf numFmtId="0" fontId="7" fillId="5" borderId="0" xfId="14" applyFont="1" applyFill="1" applyAlignment="1">
      <alignment horizontal="right" vertical="top" wrapText="1"/>
    </xf>
    <xf numFmtId="0" fontId="7" fillId="5" borderId="0" xfId="14" applyFont="1" applyFill="1" applyAlignment="1">
      <alignment horizontal="right" vertical="top" wrapText="1"/>
    </xf>
    <xf numFmtId="3" fontId="5" fillId="0" borderId="0" xfId="14" applyNumberFormat="1" applyFont="1" applyAlignment="1">
      <alignment vertical="top"/>
    </xf>
    <xf numFmtId="3" fontId="22" fillId="6" borderId="0" xfId="15" applyNumberFormat="1" applyFont="1" applyFill="1" applyAlignment="1">
      <alignment vertical="top"/>
    </xf>
    <xf numFmtId="0" fontId="5" fillId="2" borderId="0" xfId="14" applyFont="1" applyFill="1" applyAlignment="1">
      <alignment horizontal="center" vertical="top"/>
    </xf>
    <xf numFmtId="3" fontId="5" fillId="2" borderId="0" xfId="14" applyNumberFormat="1" applyFont="1" applyFill="1" applyAlignment="1">
      <alignment vertical="top"/>
    </xf>
    <xf numFmtId="3" fontId="5" fillId="2" borderId="0" xfId="15" applyNumberFormat="1" applyFont="1" applyFill="1" applyAlignment="1">
      <alignment vertical="top"/>
    </xf>
    <xf numFmtId="3" fontId="8" fillId="2" borderId="0" xfId="15" applyNumberFormat="1" applyFont="1" applyFill="1" applyAlignment="1">
      <alignment vertical="top"/>
    </xf>
    <xf numFmtId="0" fontId="5" fillId="2" borderId="0" xfId="14" applyFont="1" applyFill="1" applyAlignment="1">
      <alignment vertical="top"/>
    </xf>
    <xf numFmtId="166" fontId="5" fillId="0" borderId="11" xfId="15" applyNumberFormat="1" applyFont="1" applyBorder="1" applyAlignment="1">
      <alignment vertical="top"/>
    </xf>
    <xf numFmtId="3" fontId="5" fillId="6" borderId="0" xfId="15" applyNumberFormat="1" applyFont="1" applyFill="1" applyAlignment="1">
      <alignment vertical="top"/>
    </xf>
    <xf numFmtId="0" fontId="5" fillId="0" borderId="0" xfId="14" quotePrefix="1" applyFont="1" applyAlignment="1">
      <alignment vertical="top"/>
    </xf>
    <xf numFmtId="189" fontId="5" fillId="0" borderId="0" xfId="14" applyNumberFormat="1" applyFont="1" applyAlignment="1">
      <alignment vertical="top"/>
    </xf>
    <xf numFmtId="173" fontId="5" fillId="0" borderId="11" xfId="15" applyNumberFormat="1" applyFont="1" applyBorder="1" applyAlignment="1">
      <alignment vertical="top"/>
    </xf>
    <xf numFmtId="173" fontId="5" fillId="0" borderId="12" xfId="15" applyNumberFormat="1" applyFont="1" applyBorder="1" applyAlignment="1">
      <alignment vertical="top"/>
    </xf>
    <xf numFmtId="166" fontId="5" fillId="0" borderId="12" xfId="15" applyNumberFormat="1" applyFont="1" applyBorder="1" applyAlignment="1">
      <alignment vertical="top"/>
    </xf>
    <xf numFmtId="166" fontId="5" fillId="0" borderId="0" xfId="15" applyNumberFormat="1" applyFont="1" applyBorder="1" applyAlignment="1">
      <alignment vertical="top"/>
    </xf>
    <xf numFmtId="0" fontId="5" fillId="6" borderId="0" xfId="14" applyFont="1" applyFill="1" applyAlignment="1">
      <alignment vertical="top"/>
    </xf>
    <xf numFmtId="3" fontId="5" fillId="6" borderId="0" xfId="14" applyNumberFormat="1" applyFont="1" applyFill="1" applyAlignment="1">
      <alignment vertical="top"/>
    </xf>
    <xf numFmtId="3" fontId="5" fillId="0" borderId="2" xfId="14" applyNumberFormat="1" applyFont="1" applyBorder="1" applyAlignment="1">
      <alignment vertical="top"/>
    </xf>
    <xf numFmtId="0" fontId="13" fillId="0" borderId="0" xfId="14" applyFont="1" applyAlignment="1">
      <alignment vertical="top"/>
    </xf>
    <xf numFmtId="4" fontId="5" fillId="0" borderId="0" xfId="14" applyNumberFormat="1" applyFont="1" applyAlignment="1">
      <alignment vertical="top"/>
    </xf>
    <xf numFmtId="3" fontId="6" fillId="2" borderId="0" xfId="15" applyNumberFormat="1" applyFont="1" applyFill="1" applyAlignment="1">
      <alignment vertical="top"/>
    </xf>
    <xf numFmtId="166" fontId="6" fillId="0" borderId="0" xfId="14" applyNumberFormat="1" applyFont="1" applyAlignment="1">
      <alignment vertical="top"/>
    </xf>
    <xf numFmtId="0" fontId="6" fillId="2" borderId="0" xfId="14" applyFont="1" applyFill="1" applyAlignment="1">
      <alignment horizontal="center" vertical="top"/>
    </xf>
    <xf numFmtId="0" fontId="6" fillId="2" borderId="0" xfId="14" applyFont="1" applyFill="1" applyAlignment="1">
      <alignment vertical="top"/>
    </xf>
    <xf numFmtId="3" fontId="6" fillId="2" borderId="0" xfId="14" applyNumberFormat="1" applyFont="1" applyFill="1" applyAlignment="1">
      <alignment vertical="top"/>
    </xf>
    <xf numFmtId="3" fontId="16" fillId="2" borderId="0" xfId="15" applyNumberFormat="1" applyFont="1" applyFill="1" applyAlignment="1">
      <alignment vertical="top"/>
    </xf>
    <xf numFmtId="166" fontId="5" fillId="0" borderId="0" xfId="15" applyNumberFormat="1" applyFont="1" applyAlignment="1">
      <alignment vertical="top"/>
    </xf>
    <xf numFmtId="0" fontId="5" fillId="0" borderId="0" xfId="14" applyFont="1" applyAlignment="1">
      <alignment horizontal="right" vertical="top"/>
    </xf>
    <xf numFmtId="190" fontId="5" fillId="0" borderId="0" xfId="14" applyNumberFormat="1" applyFont="1" applyAlignment="1">
      <alignment vertical="top"/>
    </xf>
    <xf numFmtId="166" fontId="6" fillId="0" borderId="0" xfId="15" applyNumberFormat="1" applyFont="1" applyAlignment="1">
      <alignment vertical="top"/>
    </xf>
    <xf numFmtId="164" fontId="6" fillId="0" borderId="0" xfId="15" applyFont="1" applyAlignment="1">
      <alignment vertical="top"/>
    </xf>
    <xf numFmtId="0" fontId="25" fillId="0" borderId="0" xfId="14" applyAlignment="1">
      <alignment horizontal="center"/>
    </xf>
    <xf numFmtId="0" fontId="32" fillId="24" borderId="0" xfId="14" applyFont="1" applyFill="1" applyAlignment="1">
      <alignment horizontal="left"/>
    </xf>
    <xf numFmtId="10" fontId="32" fillId="24" borderId="0" xfId="14" applyNumberFormat="1" applyFont="1" applyFill="1" applyAlignment="1">
      <alignment horizontal="right"/>
    </xf>
    <xf numFmtId="0" fontId="25" fillId="0" borderId="0" xfId="14"/>
    <xf numFmtId="166" fontId="0" fillId="0" borderId="0" xfId="15" applyNumberFormat="1" applyFont="1"/>
    <xf numFmtId="166" fontId="25" fillId="0" borderId="0" xfId="14" applyNumberFormat="1"/>
    <xf numFmtId="0" fontId="32" fillId="24" borderId="0" xfId="14" applyFont="1" applyFill="1"/>
    <xf numFmtId="166" fontId="32" fillId="24" borderId="0" xfId="15" applyNumberFormat="1" applyFont="1" applyFill="1" applyAlignment="1">
      <alignment horizontal="right"/>
    </xf>
    <xf numFmtId="166" fontId="32" fillId="0" borderId="0" xfId="14" applyNumberFormat="1" applyFont="1"/>
    <xf numFmtId="166" fontId="32" fillId="0" borderId="0" xfId="15" applyNumberFormat="1" applyFont="1"/>
    <xf numFmtId="43" fontId="25" fillId="0" borderId="0" xfId="14" applyNumberFormat="1"/>
    <xf numFmtId="3" fontId="8" fillId="4" borderId="0" xfId="0" applyNumberFormat="1" applyFont="1" applyFill="1"/>
    <xf numFmtId="0" fontId="5" fillId="0" borderId="0" xfId="14" applyFont="1" applyAlignment="1">
      <alignment horizontal="right" vertical="center"/>
    </xf>
    <xf numFmtId="171" fontId="6" fillId="0" borderId="0" xfId="1" applyNumberFormat="1" applyFont="1" applyAlignment="1">
      <alignment vertical="top"/>
    </xf>
  </cellXfs>
  <cellStyles count="18">
    <cellStyle name="Comma" xfId="1" builtinId="3"/>
    <cellStyle name="Comma [0]" xfId="2" builtinId="6"/>
    <cellStyle name="Comma [0] 2" xfId="6" xr:uid="{00000000-0005-0000-0000-000002000000}"/>
    <cellStyle name="Comma [0] 3" xfId="16" xr:uid="{00000000-0005-0000-0000-000003000000}"/>
    <cellStyle name="Comma 2" xfId="5" xr:uid="{00000000-0005-0000-0000-000004000000}"/>
    <cellStyle name="Comma 3" xfId="9" xr:uid="{00000000-0005-0000-0000-000005000000}"/>
    <cellStyle name="Comma 4" xfId="11" xr:uid="{00000000-0005-0000-0000-000006000000}"/>
    <cellStyle name="Comma 5" xfId="10" xr:uid="{00000000-0005-0000-0000-000007000000}"/>
    <cellStyle name="Comma 6" xfId="8" xr:uid="{00000000-0005-0000-0000-000008000000}"/>
    <cellStyle name="Comma 7" xfId="12" xr:uid="{00000000-0005-0000-0000-000009000000}"/>
    <cellStyle name="Comma 8" xfId="13" xr:uid="{00000000-0005-0000-0000-00000A000000}"/>
    <cellStyle name="Comma 9" xfId="15" xr:uid="{00000000-0005-0000-0000-00000B000000}"/>
    <cellStyle name="Normal" xfId="0" builtinId="0"/>
    <cellStyle name="Normal 2" xfId="4" xr:uid="{00000000-0005-0000-0000-00000D000000}"/>
    <cellStyle name="Normal 3" xfId="14" xr:uid="{00000000-0005-0000-0000-00000E000000}"/>
    <cellStyle name="Percent" xfId="3" builtinId="5"/>
    <cellStyle name="Percent 2" xfId="7" xr:uid="{00000000-0005-0000-0000-000010000000}"/>
    <cellStyle name="Percent 3" xfId="17" xr:uid="{00000000-0005-0000-0000-000011000000}"/>
  </cellStyles>
  <dxfs count="0"/>
  <tableStyles count="0" defaultTableStyle="TableStyleMedium2" defaultPivotStyle="PivotStyleLight16"/>
  <colors>
    <mruColors>
      <color rgb="FF0000F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 sz="1200"/>
              <a:t>Arus Kas Bebas Kumulatif</a:t>
            </a:r>
          </a:p>
          <a:p>
            <a:pPr>
              <a:defRPr sz="1200"/>
            </a:pPr>
            <a:r>
              <a:rPr lang="en-ID" sz="1200"/>
              <a:t>(Cumulative Free Cash Flow)</a:t>
            </a:r>
          </a:p>
        </c:rich>
      </c:tx>
      <c:layout>
        <c:manualLayout>
          <c:xMode val="edge"/>
          <c:yMode val="edge"/>
          <c:x val="4.9500519629730316E-2"/>
          <c:y val="3.1975633775764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7810516703144"/>
          <c:y val="0.25203705288964057"/>
          <c:w val="0.69943934045683553"/>
          <c:h val="0.545130963419731"/>
        </c:manualLayout>
      </c:layout>
      <c:scatterChart>
        <c:scatterStyle val="lineMarker"/>
        <c:varyColors val="0"/>
        <c:ser>
          <c:idx val="0"/>
          <c:order val="0"/>
          <c:tx>
            <c:v>Cost of Capital 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ProjectValuation!$M$39:$M$49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ProjectValuation!$N$39:$N$49</c:f>
              <c:numCache>
                <c:formatCode>#,##0_ ;[Red]\-#,##0\ </c:formatCode>
                <c:ptCount val="11"/>
                <c:pt idx="0">
                  <c:v>-1340300</c:v>
                </c:pt>
                <c:pt idx="1">
                  <c:v>-4010374.13625</c:v>
                </c:pt>
                <c:pt idx="2">
                  <c:v>-3792813.4785000002</c:v>
                </c:pt>
                <c:pt idx="3">
                  <c:v>-2742722.7802541777</c:v>
                </c:pt>
                <c:pt idx="4">
                  <c:v>-1217510.7618083565</c:v>
                </c:pt>
                <c:pt idx="5">
                  <c:v>-231686.58139653387</c:v>
                </c:pt>
                <c:pt idx="6">
                  <c:v>1004997.1000436184</c:v>
                </c:pt>
                <c:pt idx="7">
                  <c:v>2651877.7365997424</c:v>
                </c:pt>
                <c:pt idx="8">
                  <c:v>3682085.6866124179</c:v>
                </c:pt>
                <c:pt idx="9">
                  <c:v>4924494.1249014279</c:v>
                </c:pt>
                <c:pt idx="10">
                  <c:v>7902436.0204906538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7-420C-85BC-4F1A3680CEAF}"/>
            </c:ext>
          </c:extLst>
        </c:ser>
        <c:ser>
          <c:idx val="1"/>
          <c:order val="1"/>
          <c:tx>
            <c:v>Cost of Capital 9%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ProjectValuation!$M$39:$M$49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ProjectValuation!$O$39:$O$49</c:f>
              <c:numCache>
                <c:formatCode>#,##0_ ;[Red]\-#,##0\ </c:formatCode>
                <c:ptCount val="11"/>
                <c:pt idx="0">
                  <c:v>-1340300</c:v>
                </c:pt>
                <c:pt idx="1">
                  <c:v>-3587647.9810201158</c:v>
                </c:pt>
                <c:pt idx="2">
                  <c:v>-3419651.2351943469</c:v>
                </c:pt>
                <c:pt idx="3">
                  <c:v>-2675740.5106519507</c:v>
                </c:pt>
                <c:pt idx="4">
                  <c:v>-1684457.3491045609</c:v>
                </c:pt>
                <c:pt idx="5">
                  <c:v>-1096642.6002775095</c:v>
                </c:pt>
                <c:pt idx="6">
                  <c:v>-420134.27649084223</c:v>
                </c:pt>
                <c:pt idx="7">
                  <c:v>406379.58164269978</c:v>
                </c:pt>
                <c:pt idx="8">
                  <c:v>880715.94050707645</c:v>
                </c:pt>
                <c:pt idx="9">
                  <c:v>1405522.6914187497</c:v>
                </c:pt>
                <c:pt idx="10">
                  <c:v>2559573.0024318895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7-420C-85BC-4F1A3680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04687"/>
        <c:axId val="1184205519"/>
      </c:scatterChart>
      <c:valAx>
        <c:axId val="11842046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Tahun</a:t>
                </a:r>
              </a:p>
            </c:rich>
          </c:tx>
          <c:layout>
            <c:manualLayout>
              <c:xMode val="edge"/>
              <c:yMode val="edge"/>
              <c:x val="0.53315804830130598"/>
              <c:y val="0.89768372681227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5519"/>
        <c:crosses val="autoZero"/>
        <c:crossBetween val="midCat"/>
        <c:majorUnit val="1"/>
      </c:valAx>
      <c:valAx>
        <c:axId val="11842055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Arus kas Bebas Kumulatif </a:t>
                </a:r>
              </a:p>
              <a:p>
                <a:pPr>
                  <a:defRPr/>
                </a:pPr>
                <a:r>
                  <a:rPr lang="en-ID"/>
                  <a:t>(Rp,Ribu)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[Red]\-#,##0\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4687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57045662947176778"/>
          <c:y val="5.6185756491701079E-2"/>
          <c:w val="0.27268564273356921"/>
          <c:h val="0.10449234275289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id-ID" b="1"/>
              <a:t>Proyeksi arus kas bersih</a:t>
            </a:r>
            <a:endParaRPr lang="en-US" b="1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876958863554378"/>
          <c:y val="0.23349923852111074"/>
          <c:w val="0.77893918473460955"/>
          <c:h val="0.58752827192897195"/>
        </c:manualLayout>
      </c:layout>
      <c:lineChart>
        <c:grouping val="standard"/>
        <c:varyColors val="0"/>
        <c:ser>
          <c:idx val="0"/>
          <c:order val="0"/>
          <c:tx>
            <c:v>Operating</c:v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cat>
            <c:numRef>
              <c:f>'CashFlow-Yearly'!$B$9:$L$9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'CashFlow-Yearly'!$B$17:$L$17</c:f>
              <c:numCache>
                <c:formatCode>#,##0_ ;\-#,##0\ </c:formatCode>
                <c:ptCount val="11"/>
                <c:pt idx="1">
                  <c:v>19925.863749999786</c:v>
                </c:pt>
                <c:pt idx="2">
                  <c:v>535248.65775000025</c:v>
                </c:pt>
                <c:pt idx="3">
                  <c:v>1280978.6982458225</c:v>
                </c:pt>
                <c:pt idx="4">
                  <c:v>1669300.0184458215</c:v>
                </c:pt>
                <c:pt idx="5">
                  <c:v>1043112.1804118229</c:v>
                </c:pt>
                <c:pt idx="6">
                  <c:v>1250571.6814401527</c:v>
                </c:pt>
                <c:pt idx="7">
                  <c:v>1646880.6365561241</c:v>
                </c:pt>
                <c:pt idx="8">
                  <c:v>1030207.9500126756</c:v>
                </c:pt>
                <c:pt idx="9">
                  <c:v>1242408.4382890102</c:v>
                </c:pt>
                <c:pt idx="10">
                  <c:v>1957941.8955892257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D-4259-A0A3-FD759149E84C}"/>
            </c:ext>
          </c:extLst>
        </c:ser>
        <c:ser>
          <c:idx val="1"/>
          <c:order val="1"/>
          <c:tx>
            <c:v>Investing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'CashFlow-Yearly'!$B$9:$L$9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'CashFlow-Yearly'!$B$22:$L$22</c:f>
              <c:numCache>
                <c:formatCode>#,##0</c:formatCode>
                <c:ptCount val="11"/>
                <c:pt idx="0">
                  <c:v>840300</c:v>
                </c:pt>
                <c:pt idx="1">
                  <c:v>2670000</c:v>
                </c:pt>
                <c:pt idx="2">
                  <c:v>520000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D-4259-A0A3-FD759149E84C}"/>
            </c:ext>
          </c:extLst>
        </c:ser>
        <c:ser>
          <c:idx val="2"/>
          <c:order val="2"/>
          <c:tx>
            <c:v>Financing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'CashFlow-Yearly'!$B$9:$L$9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'CashFlow-Yearly'!$B$29:$L$29</c:f>
              <c:numCache>
                <c:formatCode>#,##0_ ;\-#,##0\ </c:formatCode>
                <c:ptCount val="11"/>
                <c:pt idx="0">
                  <c:v>-840300</c:v>
                </c:pt>
                <c:pt idx="1">
                  <c:v>-2170000</c:v>
                </c:pt>
                <c:pt idx="2">
                  <c:v>-860188</c:v>
                </c:pt>
                <c:pt idx="3">
                  <c:v>-773388</c:v>
                </c:pt>
                <c:pt idx="4">
                  <c:v>-686588</c:v>
                </c:pt>
                <c:pt idx="5">
                  <c:v>-599788</c:v>
                </c:pt>
                <c:pt idx="6">
                  <c:v>-968459.69956904126</c:v>
                </c:pt>
                <c:pt idx="7">
                  <c:v>-1364768.6546850128</c:v>
                </c:pt>
                <c:pt idx="8">
                  <c:v>-748095.9681415644</c:v>
                </c:pt>
                <c:pt idx="9">
                  <c:v>-960296.45641789876</c:v>
                </c:pt>
                <c:pt idx="10">
                  <c:v>-1675829.9137181144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D-4259-A0A3-FD759149E84C}"/>
            </c:ext>
          </c:extLst>
        </c:ser>
        <c:ser>
          <c:idx val="3"/>
          <c:order val="3"/>
          <c:tx>
            <c:v>Ending balance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'CashFlow-Yearly'!$B$9:$L$9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'CashFlow-Yearly'!$B$33:$L$33</c:f>
              <c:numCache>
                <c:formatCode>#,##0_ ;\-#,##0\ </c:formatCode>
                <c:ptCount val="11"/>
                <c:pt idx="0">
                  <c:v>0</c:v>
                </c:pt>
                <c:pt idx="1">
                  <c:v>519925.86374999955</c:v>
                </c:pt>
                <c:pt idx="2">
                  <c:v>714986.5214999998</c:v>
                </c:pt>
                <c:pt idx="3">
                  <c:v>1222577.2197458223</c:v>
                </c:pt>
                <c:pt idx="4">
                  <c:v>2205289.2381916437</c:v>
                </c:pt>
                <c:pt idx="5">
                  <c:v>2648613.4186034668</c:v>
                </c:pt>
                <c:pt idx="6">
                  <c:v>2930725.4004745781</c:v>
                </c:pt>
                <c:pt idx="7">
                  <c:v>3212837.3823456895</c:v>
                </c:pt>
                <c:pt idx="8">
                  <c:v>3494949.3642168008</c:v>
                </c:pt>
                <c:pt idx="9">
                  <c:v>3777061.3460879121</c:v>
                </c:pt>
                <c:pt idx="10">
                  <c:v>4059173.3279590234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D-4259-A0A3-FD759149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2352"/>
        <c:axId val="198454656"/>
      </c:lineChart>
      <c:catAx>
        <c:axId val="1984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Tahun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98454656"/>
        <c:crosses val="autoZero"/>
        <c:auto val="1"/>
        <c:lblAlgn val="ctr"/>
        <c:lblOffset val="100"/>
        <c:noMultiLvlLbl val="0"/>
      </c:catAx>
      <c:valAx>
        <c:axId val="198454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Proyeksi arus kas bersih (Rp, juta)</a:t>
                </a:r>
              </a:p>
            </c:rich>
          </c:tx>
          <c:overlay val="0"/>
        </c:title>
        <c:numFmt formatCode="#,##0_ ;[Red]\-#,##0\ " sourceLinked="0"/>
        <c:majorTickMark val="out"/>
        <c:minorTickMark val="none"/>
        <c:tickLblPos val="nextTo"/>
        <c:crossAx val="198452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1280783450455788E-2"/>
          <c:y val="0.11998651210265383"/>
          <c:w val="0.88176784353568716"/>
          <c:h val="6.33783739995463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 b="0">
          <a:latin typeface="+mn-lt"/>
          <a:ea typeface="Segoe UI" pitchFamily="34" charset="0"/>
          <a:cs typeface="Segoe UI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Kas</a:t>
            </a:r>
            <a:r>
              <a:rPr lang="en-US" baseline="0"/>
              <a:t> tersedia dan dibutuhkan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94247594050744"/>
          <c:y val="0.24578703703703703"/>
          <c:w val="0.75327252843394565"/>
          <c:h val="0.48617344706911636"/>
        </c:manualLayout>
      </c:layout>
      <c:lineChart>
        <c:grouping val="standard"/>
        <c:varyColors val="0"/>
        <c:ser>
          <c:idx val="0"/>
          <c:order val="0"/>
          <c:tx>
            <c:v>Saldo awal bulan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'CashFlow-Monthly'!$G$9:$EE$10</c:f>
              <c:multiLvlStrCache>
                <c:ptCount val="129"/>
                <c:lvl>
                  <c:pt idx="0">
                    <c:v>1 </c:v>
                  </c:pt>
                  <c:pt idx="1">
                    <c:v>2 </c:v>
                  </c:pt>
                  <c:pt idx="2">
                    <c:v>3 </c:v>
                  </c:pt>
                  <c:pt idx="3">
                    <c:v>4 </c:v>
                  </c:pt>
                  <c:pt idx="4">
                    <c:v>5 </c:v>
                  </c:pt>
                  <c:pt idx="5">
                    <c:v>6 </c:v>
                  </c:pt>
                  <c:pt idx="6">
                    <c:v>7 </c:v>
                  </c:pt>
                  <c:pt idx="7">
                    <c:v>8 </c:v>
                  </c:pt>
                  <c:pt idx="8">
                    <c:v>9 </c:v>
                  </c:pt>
                  <c:pt idx="9">
                    <c:v>10 </c:v>
                  </c:pt>
                  <c:pt idx="10">
                    <c:v>11 </c:v>
                  </c:pt>
                  <c:pt idx="11">
                    <c:v>12 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12</c:v>
                  </c:pt>
                  <c:pt idx="65">
                    <c:v>1</c:v>
                  </c:pt>
                  <c:pt idx="66">
                    <c:v>2</c:v>
                  </c:pt>
                  <c:pt idx="67">
                    <c:v>3</c:v>
                  </c:pt>
                  <c:pt idx="68">
                    <c:v>4</c:v>
                  </c:pt>
                  <c:pt idx="69">
                    <c:v>5</c:v>
                  </c:pt>
                  <c:pt idx="70">
                    <c:v>6</c:v>
                  </c:pt>
                  <c:pt idx="71">
                    <c:v>7</c:v>
                  </c:pt>
                  <c:pt idx="72">
                    <c:v>8</c:v>
                  </c:pt>
                  <c:pt idx="73">
                    <c:v>9</c:v>
                  </c:pt>
                  <c:pt idx="74">
                    <c:v>10</c:v>
                  </c:pt>
                  <c:pt idx="75">
                    <c:v>11</c:v>
                  </c:pt>
                  <c:pt idx="76">
                    <c:v>12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  <c:pt idx="82">
                    <c:v>5</c:v>
                  </c:pt>
                  <c:pt idx="83">
                    <c:v>6</c:v>
                  </c:pt>
                  <c:pt idx="84">
                    <c:v>7</c:v>
                  </c:pt>
                  <c:pt idx="85">
                    <c:v>8</c:v>
                  </c:pt>
                  <c:pt idx="86">
                    <c:v>9</c:v>
                  </c:pt>
                  <c:pt idx="87">
                    <c:v>10</c:v>
                  </c:pt>
                  <c:pt idx="88">
                    <c:v>11</c:v>
                  </c:pt>
                  <c:pt idx="89">
                    <c:v>12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9</c:v>
                  </c:pt>
                  <c:pt idx="100">
                    <c:v>10</c:v>
                  </c:pt>
                  <c:pt idx="101">
                    <c:v>11</c:v>
                  </c:pt>
                  <c:pt idx="102">
                    <c:v>12</c:v>
                  </c:pt>
                  <c:pt idx="104">
                    <c:v>1</c:v>
                  </c:pt>
                  <c:pt idx="105">
                    <c:v>2</c:v>
                  </c:pt>
                  <c:pt idx="106">
                    <c:v>3</c:v>
                  </c:pt>
                  <c:pt idx="107">
                    <c:v>4</c:v>
                  </c:pt>
                  <c:pt idx="108">
                    <c:v>5</c:v>
                  </c:pt>
                  <c:pt idx="109">
                    <c:v>6</c:v>
                  </c:pt>
                  <c:pt idx="110">
                    <c:v>7</c:v>
                  </c:pt>
                  <c:pt idx="111">
                    <c:v>8</c:v>
                  </c:pt>
                  <c:pt idx="112">
                    <c:v>9</c:v>
                  </c:pt>
                  <c:pt idx="113">
                    <c:v>10</c:v>
                  </c:pt>
                  <c:pt idx="114">
                    <c:v>11</c:v>
                  </c:pt>
                  <c:pt idx="115">
                    <c:v>12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10</c:v>
                  </c:pt>
                  <c:pt idx="127">
                    <c:v>11</c:v>
                  </c:pt>
                  <c:pt idx="128">
                    <c:v>12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26">
                    <c:v>3</c:v>
                  </c:pt>
                  <c:pt idx="39">
                    <c:v>4</c:v>
                  </c:pt>
                  <c:pt idx="52">
                    <c:v>5</c:v>
                  </c:pt>
                  <c:pt idx="65">
                    <c:v>6</c:v>
                  </c:pt>
                  <c:pt idx="78">
                    <c:v>7</c:v>
                  </c:pt>
                  <c:pt idx="91">
                    <c:v>8</c:v>
                  </c:pt>
                  <c:pt idx="104">
                    <c:v>9</c:v>
                  </c:pt>
                  <c:pt idx="117">
                    <c:v>10</c:v>
                  </c:pt>
                </c:lvl>
              </c:multiLvlStrCache>
            </c:multiLvlStrRef>
          </c:cat>
          <c:val>
            <c:numRef>
              <c:f>'CashFlow-Monthly'!$G$11:$EE$11</c:f>
              <c:numCache>
                <c:formatCode>#,##0_ ;[Red]\-#,##0\ </c:formatCode>
                <c:ptCount val="129"/>
                <c:pt idx="0">
                  <c:v>0</c:v>
                </c:pt>
                <c:pt idx="1">
                  <c:v>212678.25833333336</c:v>
                </c:pt>
                <c:pt idx="2">
                  <c:v>141826.51666666669</c:v>
                </c:pt>
                <c:pt idx="3">
                  <c:v>179387.45137500006</c:v>
                </c:pt>
                <c:pt idx="4">
                  <c:v>218073.3860833334</c:v>
                </c:pt>
                <c:pt idx="5">
                  <c:v>256759.32079166675</c:v>
                </c:pt>
                <c:pt idx="6">
                  <c:v>295445.25550000009</c:v>
                </c:pt>
                <c:pt idx="7">
                  <c:v>334131.19020833343</c:v>
                </c:pt>
                <c:pt idx="8">
                  <c:v>368182.12491666677</c:v>
                </c:pt>
                <c:pt idx="9">
                  <c:v>406868.05962500011</c:v>
                </c:pt>
                <c:pt idx="10">
                  <c:v>445553.99433333345</c:v>
                </c:pt>
                <c:pt idx="11">
                  <c:v>484239.92904166679</c:v>
                </c:pt>
                <c:pt idx="13">
                  <c:v>519925.86375000014</c:v>
                </c:pt>
                <c:pt idx="14">
                  <c:v>237084.90679166687</c:v>
                </c:pt>
                <c:pt idx="15">
                  <c:v>83703.949833333492</c:v>
                </c:pt>
                <c:pt idx="16">
                  <c:v>255637.02200000011</c:v>
                </c:pt>
                <c:pt idx="17">
                  <c:v>430870.09416666673</c:v>
                </c:pt>
                <c:pt idx="18">
                  <c:v>606103.16633333336</c:v>
                </c:pt>
                <c:pt idx="19">
                  <c:v>781336.23849999998</c:v>
                </c:pt>
                <c:pt idx="20">
                  <c:v>690544.23566666665</c:v>
                </c:pt>
                <c:pt idx="21">
                  <c:v>798117.23283333331</c:v>
                </c:pt>
                <c:pt idx="22">
                  <c:v>1061475.3049999999</c:v>
                </c:pt>
                <c:pt idx="23">
                  <c:v>1236708.3771666666</c:v>
                </c:pt>
                <c:pt idx="24">
                  <c:v>1411941.4493333332</c:v>
                </c:pt>
                <c:pt idx="26">
                  <c:v>714986.5214999998</c:v>
                </c:pt>
                <c:pt idx="27">
                  <c:v>877172.67699999979</c:v>
                </c:pt>
                <c:pt idx="28">
                  <c:v>1047572.8324999997</c:v>
                </c:pt>
                <c:pt idx="29">
                  <c:v>1222607.9879999994</c:v>
                </c:pt>
                <c:pt idx="30">
                  <c:v>1397643.1434999993</c:v>
                </c:pt>
                <c:pt idx="31">
                  <c:v>1572678.2989999992</c:v>
                </c:pt>
                <c:pt idx="32">
                  <c:v>1747713.4544999991</c:v>
                </c:pt>
                <c:pt idx="33">
                  <c:v>1124673.3849999991</c:v>
                </c:pt>
                <c:pt idx="34">
                  <c:v>1138293.3154999991</c:v>
                </c:pt>
                <c:pt idx="35">
                  <c:v>1577778.470999999</c:v>
                </c:pt>
                <c:pt idx="36">
                  <c:v>1752813.6264999988</c:v>
                </c:pt>
                <c:pt idx="37">
                  <c:v>1927848.7819999987</c:v>
                </c:pt>
                <c:pt idx="39">
                  <c:v>1222577.2197458209</c:v>
                </c:pt>
                <c:pt idx="40">
                  <c:v>1118490.1489958209</c:v>
                </c:pt>
                <c:pt idx="41">
                  <c:v>1225666.3232458211</c:v>
                </c:pt>
                <c:pt idx="42">
                  <c:v>1488627.5724958209</c:v>
                </c:pt>
                <c:pt idx="43">
                  <c:v>1663463.8217458208</c:v>
                </c:pt>
                <c:pt idx="44">
                  <c:v>1838300.0709958207</c:v>
                </c:pt>
                <c:pt idx="45">
                  <c:v>2013136.3202458206</c:v>
                </c:pt>
                <c:pt idx="46">
                  <c:v>2187972.5694958204</c:v>
                </c:pt>
                <c:pt idx="47">
                  <c:v>2358173.8187458203</c:v>
                </c:pt>
                <c:pt idx="48">
                  <c:v>2533010.0679958202</c:v>
                </c:pt>
                <c:pt idx="49">
                  <c:v>2707846.3172458201</c:v>
                </c:pt>
                <c:pt idx="50">
                  <c:v>2882682.5664958199</c:v>
                </c:pt>
                <c:pt idx="52">
                  <c:v>2205289.2381916423</c:v>
                </c:pt>
                <c:pt idx="53">
                  <c:v>1568902.6254353924</c:v>
                </c:pt>
                <c:pt idx="54">
                  <c:v>1582123.7489041425</c:v>
                </c:pt>
                <c:pt idx="55">
                  <c:v>2021210.0973728925</c:v>
                </c:pt>
                <c:pt idx="56">
                  <c:v>2195846.4458416421</c:v>
                </c:pt>
                <c:pt idx="57">
                  <c:v>2370482.7943103919</c:v>
                </c:pt>
                <c:pt idx="58">
                  <c:v>2545119.1427791417</c:v>
                </c:pt>
                <c:pt idx="59">
                  <c:v>2453730.4162478917</c:v>
                </c:pt>
                <c:pt idx="60">
                  <c:v>2560706.6897166418</c:v>
                </c:pt>
                <c:pt idx="61">
                  <c:v>2823468.0381853916</c:v>
                </c:pt>
                <c:pt idx="62">
                  <c:v>2998104.3866541414</c:v>
                </c:pt>
                <c:pt idx="63">
                  <c:v>3172740.7351228911</c:v>
                </c:pt>
                <c:pt idx="65">
                  <c:v>2648613.4186034631</c:v>
                </c:pt>
                <c:pt idx="66">
                  <c:v>2810051.3918809318</c:v>
                </c:pt>
                <c:pt idx="67">
                  <c:v>2984486.8400645256</c:v>
                </c:pt>
                <c:pt idx="68">
                  <c:v>3154287.2882481194</c:v>
                </c:pt>
                <c:pt idx="69">
                  <c:v>3328722.7364317132</c:v>
                </c:pt>
                <c:pt idx="70">
                  <c:v>3503158.184615307</c:v>
                </c:pt>
                <c:pt idx="71">
                  <c:v>3677593.6327989008</c:v>
                </c:pt>
                <c:pt idx="72">
                  <c:v>3053953.8559824945</c:v>
                </c:pt>
                <c:pt idx="73">
                  <c:v>3066974.0791660883</c:v>
                </c:pt>
                <c:pt idx="74">
                  <c:v>3505859.5273496821</c:v>
                </c:pt>
                <c:pt idx="75">
                  <c:v>3680294.9755332759</c:v>
                </c:pt>
                <c:pt idx="76">
                  <c:v>3854730.4237168697</c:v>
                </c:pt>
                <c:pt idx="78">
                  <c:v>2930725.400474574</c:v>
                </c:pt>
                <c:pt idx="79">
                  <c:v>2825886.4065909302</c:v>
                </c:pt>
                <c:pt idx="80">
                  <c:v>2946314.8749879422</c:v>
                </c:pt>
                <c:pt idx="81">
                  <c:v>3194818.4183849539</c:v>
                </c:pt>
                <c:pt idx="82">
                  <c:v>3369051.9617819656</c:v>
                </c:pt>
                <c:pt idx="83">
                  <c:v>3543285.5051789773</c:v>
                </c:pt>
                <c:pt idx="84">
                  <c:v>3717519.048575989</c:v>
                </c:pt>
                <c:pt idx="85">
                  <c:v>3891752.5919730007</c:v>
                </c:pt>
                <c:pt idx="86">
                  <c:v>4061351.1353700128</c:v>
                </c:pt>
                <c:pt idx="87">
                  <c:v>4235584.6787670245</c:v>
                </c:pt>
                <c:pt idx="88">
                  <c:v>4409818.2221640367</c:v>
                </c:pt>
                <c:pt idx="89">
                  <c:v>4584051.7655610489</c:v>
                </c:pt>
                <c:pt idx="91">
                  <c:v>3212837.3823456867</c:v>
                </c:pt>
                <c:pt idx="92">
                  <c:v>2575695.0868401248</c:v>
                </c:pt>
                <c:pt idx="93">
                  <c:v>2588310.4909266215</c:v>
                </c:pt>
                <c:pt idx="94">
                  <c:v>3026791.1200131183</c:v>
                </c:pt>
                <c:pt idx="95">
                  <c:v>3200821.749099615</c:v>
                </c:pt>
                <c:pt idx="96">
                  <c:v>3374852.3781861118</c:v>
                </c:pt>
                <c:pt idx="97">
                  <c:v>3548883.0072726086</c:v>
                </c:pt>
                <c:pt idx="98">
                  <c:v>3456888.5613591056</c:v>
                </c:pt>
                <c:pt idx="99">
                  <c:v>3563259.1154456027</c:v>
                </c:pt>
                <c:pt idx="100">
                  <c:v>3825414.7445320995</c:v>
                </c:pt>
                <c:pt idx="101">
                  <c:v>3999445.3736185958</c:v>
                </c:pt>
                <c:pt idx="102">
                  <c:v>4173476.0027050921</c:v>
                </c:pt>
                <c:pt idx="104">
                  <c:v>3494949.3642167971</c:v>
                </c:pt>
                <c:pt idx="105">
                  <c:v>3655627.8763312073</c:v>
                </c:pt>
                <c:pt idx="106">
                  <c:v>3824819.5765356366</c:v>
                </c:pt>
                <c:pt idx="107">
                  <c:v>3998646.2767400658</c:v>
                </c:pt>
                <c:pt idx="108">
                  <c:v>4172472.976944495</c:v>
                </c:pt>
                <c:pt idx="109">
                  <c:v>4346299.6771489242</c:v>
                </c:pt>
                <c:pt idx="110">
                  <c:v>4520126.3773533534</c:v>
                </c:pt>
                <c:pt idx="111">
                  <c:v>3895877.8525577825</c:v>
                </c:pt>
                <c:pt idx="112">
                  <c:v>3908289.3277622117</c:v>
                </c:pt>
                <c:pt idx="113">
                  <c:v>4346566.0279666409</c:v>
                </c:pt>
                <c:pt idx="114">
                  <c:v>4520392.7281710701</c:v>
                </c:pt>
                <c:pt idx="115">
                  <c:v>4694219.4283754993</c:v>
                </c:pt>
                <c:pt idx="117">
                  <c:v>3777061.3460879074</c:v>
                </c:pt>
                <c:pt idx="118">
                  <c:v>3671459.0937353894</c:v>
                </c:pt>
                <c:pt idx="119">
                  <c:v>3777420.770413341</c:v>
                </c:pt>
                <c:pt idx="120">
                  <c:v>4039167.5220912923</c:v>
                </c:pt>
                <c:pt idx="121">
                  <c:v>4212789.2737692436</c:v>
                </c:pt>
                <c:pt idx="122">
                  <c:v>4386411.0254471954</c:v>
                </c:pt>
                <c:pt idx="123">
                  <c:v>4560032.7771251472</c:v>
                </c:pt>
                <c:pt idx="124">
                  <c:v>4733654.5288030989</c:v>
                </c:pt>
                <c:pt idx="125">
                  <c:v>4902641.2804810507</c:v>
                </c:pt>
                <c:pt idx="126">
                  <c:v>5076263.0321590025</c:v>
                </c:pt>
                <c:pt idx="127">
                  <c:v>5249884.7838369543</c:v>
                </c:pt>
                <c:pt idx="128">
                  <c:v>5423506.535514906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4-4D64-9655-9CEB0445A1AC}"/>
            </c:ext>
          </c:extLst>
        </c:ser>
        <c:ser>
          <c:idx val="1"/>
          <c:order val="1"/>
          <c:tx>
            <c:v>Kas dibutuhkan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'CashFlow-Monthly'!$G$32:$EE$32</c:f>
              <c:numCache>
                <c:formatCode>#,##0_ ;[Red]\-#,##0\ </c:formatCode>
                <c:ptCount val="129"/>
                <c:pt idx="0">
                  <c:v>287321.74166666664</c:v>
                </c:pt>
                <c:pt idx="1">
                  <c:v>70851.741666666669</c:v>
                </c:pt>
                <c:pt idx="2">
                  <c:v>83003.065291666673</c:v>
                </c:pt>
                <c:pt idx="3">
                  <c:v>81878.065291666673</c:v>
                </c:pt>
                <c:pt idx="4">
                  <c:v>81878.065291666673</c:v>
                </c:pt>
                <c:pt idx="5">
                  <c:v>81878.065291666673</c:v>
                </c:pt>
                <c:pt idx="6">
                  <c:v>81878.065291666673</c:v>
                </c:pt>
                <c:pt idx="7">
                  <c:v>86513.065291666673</c:v>
                </c:pt>
                <c:pt idx="8">
                  <c:v>81878.065291666673</c:v>
                </c:pt>
                <c:pt idx="9">
                  <c:v>81878.065291666673</c:v>
                </c:pt>
                <c:pt idx="10">
                  <c:v>81878.065291666673</c:v>
                </c:pt>
                <c:pt idx="11">
                  <c:v>84878.065291666673</c:v>
                </c:pt>
                <c:pt idx="13">
                  <c:v>923404.95695833315</c:v>
                </c:pt>
                <c:pt idx="14">
                  <c:v>273944.95695833338</c:v>
                </c:pt>
                <c:pt idx="15">
                  <c:v>310322.92783333338</c:v>
                </c:pt>
                <c:pt idx="16">
                  <c:v>307022.92783333338</c:v>
                </c:pt>
                <c:pt idx="17">
                  <c:v>307022.92783333338</c:v>
                </c:pt>
                <c:pt idx="18">
                  <c:v>307022.92783333338</c:v>
                </c:pt>
                <c:pt idx="19">
                  <c:v>573048.00283333333</c:v>
                </c:pt>
                <c:pt idx="20">
                  <c:v>374683.00283333333</c:v>
                </c:pt>
                <c:pt idx="21">
                  <c:v>308147.92783333338</c:v>
                </c:pt>
                <c:pt idx="22">
                  <c:v>307022.92783333338</c:v>
                </c:pt>
                <c:pt idx="23">
                  <c:v>307022.92783333338</c:v>
                </c:pt>
                <c:pt idx="24">
                  <c:v>319022.92783333338</c:v>
                </c:pt>
                <c:pt idx="26">
                  <c:v>320069.84450000001</c:v>
                </c:pt>
                <c:pt idx="27">
                  <c:v>311855.84450000001</c:v>
                </c:pt>
                <c:pt idx="28">
                  <c:v>307220.84450000001</c:v>
                </c:pt>
                <c:pt idx="29">
                  <c:v>307220.84450000001</c:v>
                </c:pt>
                <c:pt idx="30">
                  <c:v>307220.84450000001</c:v>
                </c:pt>
                <c:pt idx="31">
                  <c:v>307220.84450000001</c:v>
                </c:pt>
                <c:pt idx="32">
                  <c:v>1105296.0695</c:v>
                </c:pt>
                <c:pt idx="33">
                  <c:v>468636.06949999998</c:v>
                </c:pt>
                <c:pt idx="34">
                  <c:v>310520.84450000001</c:v>
                </c:pt>
                <c:pt idx="35">
                  <c:v>307220.84450000001</c:v>
                </c:pt>
                <c:pt idx="36">
                  <c:v>307220.84450000001</c:v>
                </c:pt>
                <c:pt idx="37">
                  <c:v>414139.56225417776</c:v>
                </c:pt>
                <c:pt idx="39">
                  <c:v>586343.07075000007</c:v>
                </c:pt>
                <c:pt idx="40">
                  <c:v>375079.82574999996</c:v>
                </c:pt>
                <c:pt idx="41">
                  <c:v>308544.75075000001</c:v>
                </c:pt>
                <c:pt idx="42">
                  <c:v>307419.75075000001</c:v>
                </c:pt>
                <c:pt idx="43">
                  <c:v>307419.75075000001</c:v>
                </c:pt>
                <c:pt idx="44">
                  <c:v>307419.75075000001</c:v>
                </c:pt>
                <c:pt idx="45">
                  <c:v>307419.75075000001</c:v>
                </c:pt>
                <c:pt idx="46">
                  <c:v>312054.75075000001</c:v>
                </c:pt>
                <c:pt idx="47">
                  <c:v>307419.75075000001</c:v>
                </c:pt>
                <c:pt idx="48">
                  <c:v>307419.75075000001</c:v>
                </c:pt>
                <c:pt idx="49">
                  <c:v>307419.75075000001</c:v>
                </c:pt>
                <c:pt idx="50">
                  <c:v>473061.32830417767</c:v>
                </c:pt>
                <c:pt idx="52">
                  <c:v>1118642.61275625</c:v>
                </c:pt>
                <c:pt idx="53">
                  <c:v>469034.87653124996</c:v>
                </c:pt>
                <c:pt idx="54">
                  <c:v>310919.65153124998</c:v>
                </c:pt>
                <c:pt idx="55">
                  <c:v>307619.65153124998</c:v>
                </c:pt>
                <c:pt idx="56">
                  <c:v>307619.65153124998</c:v>
                </c:pt>
                <c:pt idx="57">
                  <c:v>307619.65153124998</c:v>
                </c:pt>
                <c:pt idx="58">
                  <c:v>573644.72653125005</c:v>
                </c:pt>
                <c:pt idx="59">
                  <c:v>375279.72653124994</c:v>
                </c:pt>
                <c:pt idx="60">
                  <c:v>308744.65153124998</c:v>
                </c:pt>
                <c:pt idx="61">
                  <c:v>307619.65153124998</c:v>
                </c:pt>
                <c:pt idx="62">
                  <c:v>307619.65153124998</c:v>
                </c:pt>
                <c:pt idx="63">
                  <c:v>406595.31651942781</c:v>
                </c:pt>
                <c:pt idx="65">
                  <c:v>320818.02672253118</c:v>
                </c:pt>
                <c:pt idx="66">
                  <c:v>307820.55181640619</c:v>
                </c:pt>
                <c:pt idx="67">
                  <c:v>312455.55181640619</c:v>
                </c:pt>
                <c:pt idx="68">
                  <c:v>307820.55181640619</c:v>
                </c:pt>
                <c:pt idx="69">
                  <c:v>307820.55181640619</c:v>
                </c:pt>
                <c:pt idx="70">
                  <c:v>307820.55181640619</c:v>
                </c:pt>
                <c:pt idx="71">
                  <c:v>1105895.7768164061</c:v>
                </c:pt>
                <c:pt idx="72">
                  <c:v>469235.77681640617</c:v>
                </c:pt>
                <c:pt idx="73">
                  <c:v>311120.55181640619</c:v>
                </c:pt>
                <c:pt idx="74">
                  <c:v>307820.55181640619</c:v>
                </c:pt>
                <c:pt idx="75">
                  <c:v>307820.55181640619</c:v>
                </c:pt>
                <c:pt idx="76">
                  <c:v>437801.323673254</c:v>
                </c:pt>
                <c:pt idx="78">
                  <c:v>587094.993883644</c:v>
                </c:pt>
                <c:pt idx="79">
                  <c:v>361827.53160298819</c:v>
                </c:pt>
                <c:pt idx="80">
                  <c:v>323002.45660298824</c:v>
                </c:pt>
                <c:pt idx="81">
                  <c:v>308022.45660298824</c:v>
                </c:pt>
                <c:pt idx="82">
                  <c:v>308022.45660298824</c:v>
                </c:pt>
                <c:pt idx="83">
                  <c:v>308022.45660298824</c:v>
                </c:pt>
                <c:pt idx="84">
                  <c:v>308022.45660298824</c:v>
                </c:pt>
                <c:pt idx="85">
                  <c:v>312657.45660298824</c:v>
                </c:pt>
                <c:pt idx="86">
                  <c:v>308022.45660298824</c:v>
                </c:pt>
                <c:pt idx="87">
                  <c:v>308022.45660298824</c:v>
                </c:pt>
                <c:pt idx="88">
                  <c:v>308022.45660298824</c:v>
                </c:pt>
                <c:pt idx="89">
                  <c:v>488701.72853034938</c:v>
                </c:pt>
                <c:pt idx="91">
                  <c:v>1119398.2955055621</c:v>
                </c:pt>
                <c:pt idx="92">
                  <c:v>469640.5959135032</c:v>
                </c:pt>
                <c:pt idx="93">
                  <c:v>311525.37091350323</c:v>
                </c:pt>
                <c:pt idx="94">
                  <c:v>308225.37091350323</c:v>
                </c:pt>
                <c:pt idx="95">
                  <c:v>308225.37091350323</c:v>
                </c:pt>
                <c:pt idx="96">
                  <c:v>308225.37091350323</c:v>
                </c:pt>
                <c:pt idx="97">
                  <c:v>574250.44591350318</c:v>
                </c:pt>
                <c:pt idx="98">
                  <c:v>375885.44591350318</c:v>
                </c:pt>
                <c:pt idx="99">
                  <c:v>309350.37091350323</c:v>
                </c:pt>
                <c:pt idx="100">
                  <c:v>308225.37091350323</c:v>
                </c:pt>
                <c:pt idx="101">
                  <c:v>308225.37091350323</c:v>
                </c:pt>
                <c:pt idx="102">
                  <c:v>412686.67034673027</c:v>
                </c:pt>
                <c:pt idx="104">
                  <c:v>321577.48788558983</c:v>
                </c:pt>
                <c:pt idx="105">
                  <c:v>313064.29979557067</c:v>
                </c:pt>
                <c:pt idx="106">
                  <c:v>308429.29979557067</c:v>
                </c:pt>
                <c:pt idx="107">
                  <c:v>308429.29979557067</c:v>
                </c:pt>
                <c:pt idx="108">
                  <c:v>308429.29979557067</c:v>
                </c:pt>
                <c:pt idx="109">
                  <c:v>308429.29979557067</c:v>
                </c:pt>
                <c:pt idx="110">
                  <c:v>1106504.5247955709</c:v>
                </c:pt>
                <c:pt idx="111">
                  <c:v>469844.52479557064</c:v>
                </c:pt>
                <c:pt idx="112">
                  <c:v>311729.29979557067</c:v>
                </c:pt>
                <c:pt idx="113">
                  <c:v>308429.29979557067</c:v>
                </c:pt>
                <c:pt idx="114">
                  <c:v>308429.29979557067</c:v>
                </c:pt>
                <c:pt idx="115">
                  <c:v>439117.625869693</c:v>
                </c:pt>
                <c:pt idx="117">
                  <c:v>587858.25235251791</c:v>
                </c:pt>
                <c:pt idx="118">
                  <c:v>376294.32332204847</c:v>
                </c:pt>
                <c:pt idx="119">
                  <c:v>309759.24832204852</c:v>
                </c:pt>
                <c:pt idx="120">
                  <c:v>308634.24832204852</c:v>
                </c:pt>
                <c:pt idx="121">
                  <c:v>308634.24832204852</c:v>
                </c:pt>
                <c:pt idx="122">
                  <c:v>308634.24832204852</c:v>
                </c:pt>
                <c:pt idx="123">
                  <c:v>308634.24832204852</c:v>
                </c:pt>
                <c:pt idx="124">
                  <c:v>313269.24832204852</c:v>
                </c:pt>
                <c:pt idx="125">
                  <c:v>308634.24832204852</c:v>
                </c:pt>
                <c:pt idx="126">
                  <c:v>308634.24832204852</c:v>
                </c:pt>
                <c:pt idx="127">
                  <c:v>308634.24832204852</c:v>
                </c:pt>
                <c:pt idx="128">
                  <c:v>527759.29383777047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4-4D64-9655-9CEB0445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626879"/>
        <c:axId val="1970412351"/>
      </c:lineChart>
      <c:catAx>
        <c:axId val="196362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Tahun</a:t>
                </a:r>
              </a:p>
            </c:rich>
          </c:tx>
          <c:layout>
            <c:manualLayout>
              <c:xMode val="edge"/>
              <c:yMode val="edge"/>
              <c:x val="0.5135369641294838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12351"/>
        <c:crosses val="autoZero"/>
        <c:auto val="1"/>
        <c:lblAlgn val="ctr"/>
        <c:lblOffset val="100"/>
        <c:noMultiLvlLbl val="0"/>
      </c:catAx>
      <c:valAx>
        <c:axId val="1970412351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uang, Rp (jutaan)</a:t>
                </a:r>
              </a:p>
            </c:rich>
          </c:tx>
          <c:layout>
            <c:manualLayout>
              <c:xMode val="edge"/>
              <c:yMode val="edge"/>
              <c:x val="3.8680664916885397E-2"/>
              <c:y val="0.21800925925925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2687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349912510936133"/>
          <c:y val="0.14430482648002332"/>
          <c:w val="0.6715008748906387"/>
          <c:h val="5.4399241761446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Besaran Total Dividen 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(Rp, ribu)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708333333333333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Dividen!$F$11:$F$20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Dividen!#REF!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7CC-95E5-78FB6C7E5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Besaran Dividen PEMA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(Rp, ribu)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72772276791E-2"/>
          <c:y val="0.25332484194053578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Dividen!$S$9</c:f>
              <c:strCache>
                <c:ptCount val="1"/>
                <c:pt idx="0">
                  <c:v>PEMA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Dividen!$S$11:$S$20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572743.01974142471</c:v>
                </c:pt>
                <c:pt idx="6">
                  <c:v>818861.19281100761</c:v>
                </c:pt>
                <c:pt idx="7">
                  <c:v>448857.58088493865</c:v>
                </c:pt>
                <c:pt idx="8">
                  <c:v>576177.87385073921</c:v>
                </c:pt>
                <c:pt idx="9">
                  <c:v>1005497.9482308686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3-4162-BA3C-178A71EFA1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Besaran Dividen Mitra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(Rp, ribu)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708333333333333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Dividen!$T$9</c:f>
              <c:strCache>
                <c:ptCount val="1"/>
                <c:pt idx="0">
                  <c:v>Mitra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Dividen!$T$11:$T$20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381828.67982761655</c:v>
                </c:pt>
                <c:pt idx="6">
                  <c:v>545907.46187400515</c:v>
                </c:pt>
                <c:pt idx="7">
                  <c:v>299238.38725662575</c:v>
                </c:pt>
                <c:pt idx="8">
                  <c:v>384118.58256715955</c:v>
                </c:pt>
                <c:pt idx="9">
                  <c:v>670331.96548724582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C-4537-BAE5-A8D96B5543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Perubahan Nilai Perusahaan 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(Rp, ribu)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708333333333333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EquityChange!$Q$8</c:f>
              <c:strCache>
                <c:ptCount val="1"/>
                <c:pt idx="0">
                  <c:v>Nilai Perusahaan (Rp, ribu)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EquityChange!$P$9:$P$18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EquityChange!$Q$9:$Q$18</c:f>
              <c:numCache>
                <c:formatCode>#,##0_ ;[Red]\-#,##0\ </c:formatCode>
                <c:ptCount val="10"/>
                <c:pt idx="0">
                  <c:v>1290467.1088599998</c:v>
                </c:pt>
                <c:pt idx="1">
                  <c:v>3915915.784738889</c:v>
                </c:pt>
                <c:pt idx="2">
                  <c:v>4683894.5011136001</c:v>
                </c:pt>
                <c:pt idx="3">
                  <c:v>5926994.5376883103</c:v>
                </c:pt>
                <c:pt idx="4">
                  <c:v>6630706.7362290211</c:v>
                </c:pt>
                <c:pt idx="5">
                  <c:v>6630706.7362290211</c:v>
                </c:pt>
                <c:pt idx="6">
                  <c:v>6630706.7362290211</c:v>
                </c:pt>
                <c:pt idx="7">
                  <c:v>6630706.7362290211</c:v>
                </c:pt>
                <c:pt idx="8">
                  <c:v>6630706.7362290211</c:v>
                </c:pt>
                <c:pt idx="9">
                  <c:v>6630706.7362290211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D-4679-A25F-E5766AE8E1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#,##0_ ;[Red]\-#,##0\ 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Perubahan Nilai Perusahaan </a:t>
            </a:r>
          </a:p>
          <a:p>
            <a:pPr algn="l">
              <a:defRPr sz="1400" b="0" cap="none">
                <a:solidFill>
                  <a:schemeClr val="tx1"/>
                </a:solidFill>
              </a:defRPr>
            </a:pPr>
            <a:r>
              <a:rPr lang="en-US" sz="1200" b="0" cap="none" baseline="0">
                <a:solidFill>
                  <a:schemeClr val="tx1"/>
                </a:solidFill>
              </a:rPr>
              <a:t> (%)</a:t>
            </a:r>
          </a:p>
        </c:rich>
      </c:tx>
      <c:layout>
        <c:manualLayout>
          <c:xMode val="edge"/>
          <c:yMode val="edge"/>
          <c:x val="2.3915435228130732E-2"/>
          <c:y val="2.342606149341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120" normalizeH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708333333333333"/>
          <c:w val="0.93888888888888888"/>
          <c:h val="0.574667906095071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EquityChange!$R$8</c:f>
              <c:strCache>
                <c:ptCount val="1"/>
                <c:pt idx="0">
                  <c:v>Persen perubahan,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EquityChange!$P$9:$P$18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EquityChange!$R$9:$R$18</c:f>
              <c:numCache>
                <c:formatCode>#,##0.0_ ;[Red]\-#,##0.0\ </c:formatCode>
                <c:ptCount val="10"/>
                <c:pt idx="1">
                  <c:v>203.44948413278146</c:v>
                </c:pt>
                <c:pt idx="2">
                  <c:v>19.611727079721135</c:v>
                </c:pt>
                <c:pt idx="3">
                  <c:v>26.53988120951832</c:v>
                </c:pt>
                <c:pt idx="4">
                  <c:v>11.873002312824431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4-48D0-A2D8-67D20001F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9096080"/>
        <c:axId val="658838384"/>
      </c:barChart>
      <c:catAx>
        <c:axId val="6590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cap="none" baseline="0">
                    <a:solidFill>
                      <a:schemeClr val="tx1"/>
                    </a:solidFill>
                  </a:rPr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658838384"/>
        <c:crosses val="autoZero"/>
        <c:auto val="1"/>
        <c:lblAlgn val="ctr"/>
        <c:lblOffset val="100"/>
        <c:noMultiLvlLbl val="0"/>
      </c:catAx>
      <c:valAx>
        <c:axId val="658838384"/>
        <c:scaling>
          <c:orientation val="minMax"/>
        </c:scaling>
        <c:delete val="1"/>
        <c:axPos val="l"/>
        <c:numFmt formatCode="#,##0_ ;[Red]\-#,##0\ " sourceLinked="1"/>
        <c:majorTickMark val="none"/>
        <c:minorTickMark val="none"/>
        <c:tickLblPos val="nextTo"/>
        <c:crossAx val="659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642054</xdr:colOff>
      <xdr:row>36</xdr:row>
      <xdr:rowOff>128587</xdr:rowOff>
    </xdr:from>
    <xdr:to>
      <xdr:col>10</xdr:col>
      <xdr:colOff>626179</xdr:colOff>
      <xdr:row>57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B5262-437F-2F25-A84C-EEDF44BC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0.62524</cdr:x>
      <cdr:y>0.6161</cdr:y>
    </cdr:from>
    <cdr:to>
      <cdr:x>0.66745</cdr:x>
      <cdr:y>0.69477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135C25-7E0D-AAC4-504A-F4A0CD3A99A4}"/>
            </a:ext>
          </a:extLst>
        </cdr:cNvPr>
        <cdr:cNvCxnSpPr/>
      </cdr:nvCxnSpPr>
      <cdr:spPr>
        <a:xfrm xmlns:a="http://schemas.openxmlformats.org/drawingml/2006/main" flipH="1" flipV="1">
          <a:off x="2822223" y="1712913"/>
          <a:ext cx="190500" cy="21872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0.67219</cdr:x>
      <cdr:y>0.68126</cdr:y>
    </cdr:from>
    <cdr:to>
      <cdr:x>0.91525</cdr:x>
      <cdr:y>0.74684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7934F30-D1F6-FFB2-981C-46FAC6EDEBB1}"/>
            </a:ext>
          </a:extLst>
        </cdr:cNvPr>
        <cdr:cNvSpPr txBox="1"/>
      </cdr:nvSpPr>
      <cdr:spPr>
        <a:xfrm xmlns:a="http://schemas.openxmlformats.org/drawingml/2006/main">
          <a:off x="3034119" y="1894066"/>
          <a:ext cx="1097122" cy="182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ID" sz="800"/>
            <a:t>Titik Balik Modal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423863</xdr:colOff>
      <xdr:row>36</xdr:row>
      <xdr:rowOff>71438</xdr:rowOff>
    </xdr:from>
    <xdr:to>
      <xdr:col>9</xdr:col>
      <xdr:colOff>425450</xdr:colOff>
      <xdr:row>59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ACF89-2B92-41BE-BED9-15BE186F9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82550</xdr:colOff>
      <xdr:row>39</xdr:row>
      <xdr:rowOff>62063</xdr:rowOff>
    </xdr:from>
    <xdr:to>
      <xdr:col>27</xdr:col>
      <xdr:colOff>485776</xdr:colOff>
      <xdr:row>60</xdr:row>
      <xdr:rowOff>4047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67AD-1BB4-1CBE-4DEF-36EF42559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525780</xdr:colOff>
      <xdr:row>10</xdr:row>
      <xdr:rowOff>57150</xdr:rowOff>
    </xdr:from>
    <xdr:to>
      <xdr:col>30</xdr:col>
      <xdr:colOff>620486</xdr:colOff>
      <xdr:row>35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1C80E-38BB-4057-8C5B-05CB8F98E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10</xdr:row>
      <xdr:rowOff>63499</xdr:rowOff>
    </xdr:from>
    <xdr:to>
      <xdr:col>37</xdr:col>
      <xdr:colOff>402772</xdr:colOff>
      <xdr:row>35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E47D8-EBF6-4CA9-843B-E57EB4C08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566056</xdr:colOff>
      <xdr:row>10</xdr:row>
      <xdr:rowOff>32657</xdr:rowOff>
    </xdr:from>
    <xdr:to>
      <xdr:col>44</xdr:col>
      <xdr:colOff>304799</xdr:colOff>
      <xdr:row>35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FB42A-5C25-432B-A8E8-0CBA9555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624840</xdr:colOff>
      <xdr:row>9</xdr:row>
      <xdr:rowOff>0</xdr:rowOff>
    </xdr:from>
    <xdr:to>
      <xdr:col>23</xdr:col>
      <xdr:colOff>38100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9D464-5203-471A-919E-1C658B786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8</xdr:row>
      <xdr:rowOff>106680</xdr:rowOff>
    </xdr:from>
    <xdr:to>
      <xdr:col>29</xdr:col>
      <xdr:colOff>121920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2ACB5-2B77-4C74-873A-2FDA7ABAD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8</xdr:row>
      <xdr:rowOff>142875</xdr:rowOff>
    </xdr:from>
    <xdr:to>
      <xdr:col>12</xdr:col>
      <xdr:colOff>152400</xdr:colOff>
      <xdr:row>14</xdr:row>
      <xdr:rowOff>38100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7D498ABE-2B56-4281-A7AB-FAE56D1AFA54}"/>
            </a:ext>
          </a:extLst>
        </xdr:cNvPr>
        <xdr:cNvSpPr/>
      </xdr:nvSpPr>
      <xdr:spPr>
        <a:xfrm>
          <a:off x="9852025" y="1616075"/>
          <a:ext cx="1895475" cy="1000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/>
            <a:t>Hitungan di samping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m/PEMA/INDAG/Truck%20Thermo%20King/2023%2011%2023%20PFS%20Truk%20Thermoking%20%20(inflasi%202%25)%20Bank%20Ace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6.%20PEMA\05.%20Various%20Project\19.%20Minyak%20goreng\FFS\2022%2007%2027%20FFS%20Cooking%20Oil%20plant_rev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m\PEMA\FS%20FIX%20ALL%20PROJECT\TRUCK%20THERMOKING\2024%2001%2010%20PFS%20Truk%20Skema%20Pembiayaan%20Eksternal%209%25%20BPRS.xlsx" TargetMode="External"/><Relationship Id="rId1" Type="http://schemas.openxmlformats.org/officeDocument/2006/relationships/externalLinkPath" Target="/pm/PEMA/FS%20FIX%20ALL%20PROJECT/TRUCK%20THERMOKING/2024%2001%2010%20PFS%20Truk%20Skema%20Pembiayaan%20Eksternal%209%25%20BP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"/>
      <sheetName val="Rincian Tarif Toll"/>
      <sheetName val="ProjectValuation"/>
      <sheetName val="Sensitivity"/>
      <sheetName val="IncomeStatement"/>
      <sheetName val="Variable Cost"/>
      <sheetName val="Revenue"/>
      <sheetName val="OVH Expenses"/>
      <sheetName val="CashFlow"/>
      <sheetName val="EquityChange"/>
      <sheetName val="Dividen"/>
      <sheetName val="CapitalInvestment"/>
      <sheetName val="WorkingCapital"/>
      <sheetName val="CostofCapital"/>
      <sheetName val="SG&amp;A"/>
      <sheetName val="FreightCost"/>
      <sheetName val="Salary"/>
      <sheetName val="LoanInterest"/>
      <sheetName val="Depreciation"/>
      <sheetName val="TransportReference"/>
      <sheetName val="Lamp P&amp;L"/>
      <sheetName val="Lamp CF"/>
      <sheetName val="Theory"/>
      <sheetName val="FullCosting"/>
      <sheetName val="Costs&amp;Expenses"/>
      <sheetName val="CostChecking"/>
      <sheetName val="Cost"/>
      <sheetName val="Supply schedule"/>
    </sheetNames>
    <sheetDataSet>
      <sheetData sheetId="0"/>
      <sheetData sheetId="1"/>
      <sheetData sheetId="2">
        <row r="2">
          <cell r="A2" t="str">
            <v>Financial Pre-Feasibility Study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J15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"/>
      <sheetName val="ProjectValuation"/>
      <sheetName val="Sensitivity"/>
      <sheetName val="IncomeStatement"/>
      <sheetName val="CashFlow"/>
      <sheetName val="CapitalInvestment"/>
      <sheetName val="WorkingCapital"/>
      <sheetName val="BEP"/>
      <sheetName val="Prod.&amp;SalesRevenue"/>
      <sheetName val="COGS"/>
      <sheetName val="VarProdCost"/>
      <sheetName val="PlantOVH"/>
      <sheetName val="SG&amp;A"/>
      <sheetName val="Salary"/>
      <sheetName val="LoanInterest"/>
      <sheetName val="Amortization"/>
      <sheetName val="Referensi"/>
      <sheetName val="Lamp P&amp;L"/>
      <sheetName val="Lamp CF"/>
      <sheetName val="Theory"/>
      <sheetName val="FullCosting"/>
      <sheetName val="Costs&amp;Expenses"/>
      <sheetName val="CostChecking"/>
      <sheetName val="Sheet1"/>
      <sheetName val="Cost"/>
    </sheetNames>
    <sheetDataSet>
      <sheetData sheetId="0">
        <row r="2">
          <cell r="A2" t="str">
            <v>Financial Pre-Feasibility Study</v>
          </cell>
        </row>
      </sheetData>
      <sheetData sheetId="1"/>
      <sheetData sheetId="2"/>
      <sheetData sheetId="3"/>
      <sheetData sheetId="4">
        <row r="25">
          <cell r="E25">
            <v>-1026701727.335744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4">
          <cell r="D34">
            <v>1517017273.35744</v>
          </cell>
        </row>
      </sheetData>
      <sheetData sheetId="15">
        <row r="12">
          <cell r="B12">
            <v>646701727.33574402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umption"/>
      <sheetName val="Rincian Tarif Toll"/>
      <sheetName val="ProjectValuation"/>
      <sheetName val="Variable Cost"/>
      <sheetName val="Fixed Cost"/>
      <sheetName val="Revenue"/>
      <sheetName val="IncomeStatement"/>
      <sheetName val="WorkingCapital"/>
      <sheetName val="CashFlow"/>
      <sheetName val="Revenue Thermoking"/>
      <sheetName val="Dividen"/>
      <sheetName val="EquityChange"/>
      <sheetName val="CapitalInvestment"/>
      <sheetName val="CostofCapital"/>
      <sheetName val="FreightCost"/>
      <sheetName val="SG&amp;A Truck Thermoking"/>
      <sheetName val="Salary"/>
      <sheetName val="LoanInterest"/>
      <sheetName val="Anuitas Loan"/>
      <sheetName val="Loan Flat"/>
      <sheetName val="Depreciation"/>
      <sheetName val="Sensitivity"/>
      <sheetName val="TransportReference"/>
      <sheetName val="Lamp P&amp;L"/>
      <sheetName val="Lamp CF"/>
      <sheetName val="Theory"/>
      <sheetName val="FullCosting"/>
      <sheetName val="Costs&amp;Expenses"/>
      <sheetName val="CostChecking"/>
      <sheetName val="Cost"/>
      <sheetName val="Supply schedule"/>
    </sheetNames>
    <sheetDataSet>
      <sheetData sheetId="0">
        <row r="1">
          <cell r="A1" t="str">
            <v>Bisnis Truk Thermoking</v>
          </cell>
        </row>
        <row r="2">
          <cell r="A2" t="str">
            <v>Financial Pre-Feasibility Study</v>
          </cell>
        </row>
        <row r="20">
          <cell r="E20">
            <v>15000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showGridLines="0" zoomScale="90" zoomScaleNormal="90" workbookViewId="0">
      <pane ySplit="4" topLeftCell="A14" activePane="bottomLeft" state="frozen"/>
      <selection pane="bottomLeft" activeCell="D38" sqref="D38"/>
    </sheetView>
  </sheetViews>
  <sheetFormatPr defaultColWidth="8.81640625" defaultRowHeight="10.5" x14ac:dyDescent="0.35"/>
  <cols>
    <col min="1" max="1" width="2.453125" style="4" customWidth="1"/>
    <col min="2" max="2" width="31" style="4" customWidth="1"/>
    <col min="3" max="3" width="14.453125" style="4" customWidth="1"/>
    <col min="4" max="4" width="15.1796875" style="4" customWidth="1"/>
    <col min="5" max="5" width="12.81640625" style="4" customWidth="1"/>
    <col min="6" max="6" width="10.81640625" style="4" bestFit="1" customWidth="1"/>
    <col min="7" max="7" width="8.81640625" style="4" customWidth="1"/>
    <col min="8" max="8" width="11.81640625" style="4" bestFit="1" customWidth="1"/>
    <col min="9" max="9" width="10.1796875" style="4" bestFit="1" customWidth="1"/>
    <col min="10" max="10" width="10.453125" style="4" bestFit="1" customWidth="1"/>
    <col min="11" max="14" width="8.81640625" style="4"/>
    <col min="15" max="15" width="24" style="4" bestFit="1" customWidth="1"/>
    <col min="16" max="16384" width="8.81640625" style="4"/>
  </cols>
  <sheetData>
    <row r="1" spans="1:7" x14ac:dyDescent="0.35">
      <c r="A1" s="1" t="s">
        <v>0</v>
      </c>
      <c r="B1" s="3"/>
      <c r="F1" s="3"/>
      <c r="G1" s="3"/>
    </row>
    <row r="2" spans="1:7" x14ac:dyDescent="0.35">
      <c r="A2" s="1" t="s">
        <v>73</v>
      </c>
      <c r="B2" s="3"/>
      <c r="F2" s="148"/>
      <c r="G2" s="148"/>
    </row>
    <row r="3" spans="1:7" x14ac:dyDescent="0.35">
      <c r="A3" s="7" t="s">
        <v>428</v>
      </c>
      <c r="B3" s="3"/>
      <c r="F3" s="147"/>
      <c r="G3" s="147"/>
    </row>
    <row r="4" spans="1:7" x14ac:dyDescent="0.35">
      <c r="A4" s="10" t="s">
        <v>1133</v>
      </c>
      <c r="D4" s="134"/>
      <c r="E4" s="134"/>
      <c r="F4" s="147"/>
      <c r="G4" s="147"/>
    </row>
    <row r="5" spans="1:7" x14ac:dyDescent="0.35">
      <c r="A5" s="124"/>
      <c r="D5" s="134"/>
      <c r="E5" s="134"/>
      <c r="F5" s="147"/>
      <c r="G5" s="147"/>
    </row>
    <row r="6" spans="1:7" x14ac:dyDescent="0.35">
      <c r="F6" s="147"/>
      <c r="G6" s="147"/>
    </row>
    <row r="7" spans="1:7" x14ac:dyDescent="0.35">
      <c r="A7" s="104" t="s">
        <v>2</v>
      </c>
      <c r="B7" s="105"/>
      <c r="C7" s="3"/>
      <c r="D7" s="3"/>
      <c r="E7" s="3"/>
      <c r="F7" s="147"/>
      <c r="G7" s="147"/>
    </row>
    <row r="8" spans="1:7" x14ac:dyDescent="0.35">
      <c r="A8" s="2"/>
      <c r="B8" s="5" t="s">
        <v>1104</v>
      </c>
      <c r="E8" s="5"/>
      <c r="F8" s="147"/>
      <c r="G8" s="147"/>
    </row>
    <row r="9" spans="1:7" x14ac:dyDescent="0.35">
      <c r="A9" s="2"/>
      <c r="B9" s="493" t="s">
        <v>1105</v>
      </c>
      <c r="C9" s="180">
        <v>3000</v>
      </c>
      <c r="D9" s="5" t="s">
        <v>3</v>
      </c>
      <c r="E9" s="5"/>
      <c r="F9" s="147"/>
      <c r="G9" s="147"/>
    </row>
    <row r="10" spans="1:7" x14ac:dyDescent="0.35">
      <c r="A10" s="2"/>
      <c r="B10" s="493" t="s">
        <v>1106</v>
      </c>
      <c r="C10" s="180">
        <v>9000</v>
      </c>
      <c r="D10" s="5" t="s">
        <v>3</v>
      </c>
      <c r="E10" s="5"/>
      <c r="F10" s="147"/>
      <c r="G10" s="147"/>
    </row>
    <row r="11" spans="1:7" x14ac:dyDescent="0.35">
      <c r="A11" s="2"/>
      <c r="B11" s="5" t="s">
        <v>449</v>
      </c>
      <c r="C11" s="6"/>
      <c r="D11" s="5"/>
      <c r="E11" s="5"/>
      <c r="F11" s="147"/>
      <c r="G11" s="147"/>
    </row>
    <row r="12" spans="1:7" x14ac:dyDescent="0.35">
      <c r="A12" s="2"/>
      <c r="B12" s="5" t="s">
        <v>450</v>
      </c>
      <c r="C12" s="323">
        <v>2.5</v>
      </c>
      <c r="D12" s="150" t="s">
        <v>443</v>
      </c>
      <c r="E12" s="150"/>
      <c r="F12" s="147"/>
      <c r="G12" s="147"/>
    </row>
    <row r="13" spans="1:7" x14ac:dyDescent="0.35">
      <c r="A13" s="2"/>
      <c r="B13" s="5" t="s">
        <v>451</v>
      </c>
      <c r="C13" s="324">
        <v>4.5</v>
      </c>
      <c r="D13" s="150" t="s">
        <v>443</v>
      </c>
      <c r="E13" s="150"/>
      <c r="F13" s="147"/>
      <c r="G13" s="147"/>
    </row>
    <row r="14" spans="1:7" x14ac:dyDescent="0.35">
      <c r="A14" s="2"/>
      <c r="B14" s="5" t="s">
        <v>452</v>
      </c>
      <c r="C14" s="324">
        <v>22</v>
      </c>
      <c r="D14" s="150" t="s">
        <v>443</v>
      </c>
      <c r="E14" s="150"/>
      <c r="F14" s="147"/>
      <c r="G14" s="147"/>
    </row>
    <row r="15" spans="1:7" x14ac:dyDescent="0.35">
      <c r="A15" s="2"/>
      <c r="B15" s="5" t="s">
        <v>446</v>
      </c>
      <c r="F15" s="147"/>
      <c r="G15" s="147"/>
    </row>
    <row r="16" spans="1:7" x14ac:dyDescent="0.35">
      <c r="A16" s="2"/>
      <c r="B16" s="5" t="s">
        <v>46</v>
      </c>
      <c r="C16" s="325">
        <f>C13-C12</f>
        <v>2</v>
      </c>
      <c r="D16" s="217" t="s">
        <v>471</v>
      </c>
      <c r="E16" s="150"/>
      <c r="F16" s="150"/>
      <c r="G16" s="150"/>
    </row>
    <row r="17" spans="1:8" x14ac:dyDescent="0.35">
      <c r="A17" s="2"/>
      <c r="B17" s="5" t="s">
        <v>47</v>
      </c>
      <c r="C17" s="326">
        <f>C14-C13</f>
        <v>17.5</v>
      </c>
      <c r="D17" s="217" t="s">
        <v>471</v>
      </c>
      <c r="E17" s="150"/>
      <c r="F17" s="150"/>
      <c r="G17" s="150"/>
    </row>
    <row r="18" spans="1:8" x14ac:dyDescent="0.35">
      <c r="A18" s="2"/>
      <c r="B18" s="5" t="s">
        <v>453</v>
      </c>
      <c r="C18" s="326">
        <f>C17</f>
        <v>17.5</v>
      </c>
      <c r="D18" s="217" t="s">
        <v>471</v>
      </c>
      <c r="E18" s="150"/>
      <c r="F18" s="150"/>
      <c r="G18" s="150"/>
    </row>
    <row r="19" spans="1:8" x14ac:dyDescent="0.35">
      <c r="A19" s="2"/>
      <c r="B19" s="5" t="s">
        <v>442</v>
      </c>
    </row>
    <row r="20" spans="1:8" x14ac:dyDescent="0.35">
      <c r="A20" s="2"/>
      <c r="B20" s="5" t="s">
        <v>46</v>
      </c>
      <c r="C20" s="343">
        <v>1.5</v>
      </c>
      <c r="D20" s="4" t="s">
        <v>657</v>
      </c>
      <c r="G20" s="341"/>
      <c r="H20" s="341"/>
    </row>
    <row r="21" spans="1:8" x14ac:dyDescent="0.35">
      <c r="A21" s="2"/>
      <c r="B21" s="5" t="s">
        <v>47</v>
      </c>
      <c r="C21" s="344">
        <v>13.5</v>
      </c>
      <c r="D21" s="150" t="s">
        <v>205</v>
      </c>
      <c r="E21" s="150"/>
      <c r="F21" s="150"/>
      <c r="G21" s="342"/>
      <c r="H21" s="341"/>
    </row>
    <row r="22" spans="1:8" x14ac:dyDescent="0.35">
      <c r="A22" s="2"/>
      <c r="B22" s="5" t="s">
        <v>531</v>
      </c>
      <c r="C22" s="160">
        <v>85</v>
      </c>
      <c r="D22" s="4" t="s">
        <v>458</v>
      </c>
    </row>
    <row r="23" spans="1:8" x14ac:dyDescent="0.35">
      <c r="A23" s="2"/>
      <c r="B23" s="5" t="s">
        <v>535</v>
      </c>
      <c r="C23" s="181">
        <v>70000</v>
      </c>
      <c r="D23" s="5" t="s">
        <v>7</v>
      </c>
    </row>
    <row r="24" spans="1:8" x14ac:dyDescent="0.35">
      <c r="A24" s="2"/>
      <c r="B24" s="5" t="s">
        <v>6</v>
      </c>
      <c r="C24" s="181">
        <v>35000</v>
      </c>
      <c r="D24" s="5" t="s">
        <v>7</v>
      </c>
    </row>
    <row r="25" spans="1:8" x14ac:dyDescent="0.35">
      <c r="A25" s="2"/>
      <c r="B25" s="5" t="s">
        <v>4</v>
      </c>
      <c r="C25" s="181">
        <v>1600</v>
      </c>
      <c r="D25" s="5" t="s">
        <v>5</v>
      </c>
      <c r="E25" s="5"/>
      <c r="F25" s="5"/>
      <c r="G25" s="5"/>
    </row>
    <row r="26" spans="1:8" x14ac:dyDescent="0.35">
      <c r="A26" s="2"/>
      <c r="B26" s="5"/>
      <c r="C26" s="158">
        <f>C25*30</f>
        <v>48000</v>
      </c>
      <c r="D26" s="5" t="s">
        <v>149</v>
      </c>
      <c r="E26" s="5"/>
      <c r="F26" s="5"/>
      <c r="G26" s="5"/>
    </row>
    <row r="27" spans="1:8" x14ac:dyDescent="0.35">
      <c r="A27" s="2"/>
      <c r="B27" s="5"/>
      <c r="C27" s="6"/>
      <c r="D27" s="5"/>
      <c r="E27" s="5"/>
      <c r="F27" s="5"/>
      <c r="G27" s="5"/>
    </row>
    <row r="28" spans="1:8" x14ac:dyDescent="0.35">
      <c r="A28" s="106" t="s">
        <v>8</v>
      </c>
      <c r="B28" s="107"/>
      <c r="C28" s="443" t="s">
        <v>1091</v>
      </c>
      <c r="D28" s="509" t="s">
        <v>1092</v>
      </c>
      <c r="E28" s="15"/>
      <c r="F28" s="15"/>
      <c r="G28" s="15"/>
    </row>
    <row r="29" spans="1:8" x14ac:dyDescent="0.35">
      <c r="B29" s="101" t="s">
        <v>367</v>
      </c>
      <c r="C29" s="183">
        <f>C30+C31</f>
        <v>1340300000</v>
      </c>
      <c r="D29" s="183">
        <f>D30+D31</f>
        <v>2690000000</v>
      </c>
      <c r="E29" s="4" t="s">
        <v>368</v>
      </c>
    </row>
    <row r="30" spans="1:8" x14ac:dyDescent="0.35">
      <c r="B30" s="101" t="s">
        <v>146</v>
      </c>
      <c r="C30" s="184">
        <f>CapitalInvestment!E21</f>
        <v>840300000</v>
      </c>
      <c r="D30" s="184">
        <f>CapitalInvestment!AB12</f>
        <v>2170000000</v>
      </c>
      <c r="E30" s="4" t="s">
        <v>24</v>
      </c>
    </row>
    <row r="31" spans="1:8" x14ac:dyDescent="0.35">
      <c r="B31" s="101" t="s">
        <v>369</v>
      </c>
      <c r="C31" s="184">
        <f>CapitalInvestment!E22</f>
        <v>500000000</v>
      </c>
      <c r="D31" s="184">
        <f>CapitalInvestment!AB13</f>
        <v>520000000</v>
      </c>
      <c r="E31" s="4" t="s">
        <v>370</v>
      </c>
    </row>
    <row r="32" spans="1:8" x14ac:dyDescent="0.35">
      <c r="B32" s="101" t="s">
        <v>141</v>
      </c>
      <c r="C32" s="184"/>
      <c r="D32" s="184"/>
      <c r="E32" s="4" t="s">
        <v>422</v>
      </c>
    </row>
    <row r="33" spans="1:7" x14ac:dyDescent="0.35">
      <c r="B33" s="101" t="s">
        <v>371</v>
      </c>
      <c r="C33" s="185">
        <v>0</v>
      </c>
      <c r="D33" s="185">
        <v>100</v>
      </c>
      <c r="E33" s="4" t="s">
        <v>205</v>
      </c>
    </row>
    <row r="34" spans="1:7" x14ac:dyDescent="0.35">
      <c r="B34" s="101" t="s">
        <v>372</v>
      </c>
      <c r="C34" s="184">
        <f>100-C33</f>
        <v>100</v>
      </c>
      <c r="D34" s="184">
        <f>100-D33</f>
        <v>0</v>
      </c>
      <c r="E34" s="4" t="s">
        <v>205</v>
      </c>
    </row>
    <row r="35" spans="1:7" x14ac:dyDescent="0.35">
      <c r="B35" s="101" t="s">
        <v>373</v>
      </c>
      <c r="C35" s="186">
        <v>8</v>
      </c>
      <c r="D35" s="186">
        <v>8</v>
      </c>
      <c r="E35" s="4" t="s">
        <v>148</v>
      </c>
    </row>
    <row r="36" spans="1:7" x14ac:dyDescent="0.35">
      <c r="B36" s="101" t="s">
        <v>374</v>
      </c>
      <c r="C36" s="187">
        <v>0</v>
      </c>
      <c r="D36" s="187">
        <v>4</v>
      </c>
      <c r="E36" s="4" t="s">
        <v>147</v>
      </c>
    </row>
    <row r="37" spans="1:7" x14ac:dyDescent="0.35">
      <c r="B37" s="101" t="s">
        <v>375</v>
      </c>
      <c r="C37" s="187">
        <v>0</v>
      </c>
      <c r="D37" s="187">
        <v>18</v>
      </c>
      <c r="E37" s="4" t="s">
        <v>418</v>
      </c>
    </row>
    <row r="38" spans="1:7" x14ac:dyDescent="0.35">
      <c r="B38" s="101" t="s">
        <v>532</v>
      </c>
      <c r="C38" s="188">
        <f>CostOfCapital!D47*100</f>
        <v>9</v>
      </c>
      <c r="D38" s="188">
        <f>C38</f>
        <v>9</v>
      </c>
      <c r="E38" s="4" t="s">
        <v>423</v>
      </c>
    </row>
    <row r="39" spans="1:7" x14ac:dyDescent="0.35">
      <c r="B39" s="101" t="s">
        <v>376</v>
      </c>
      <c r="C39" s="189">
        <v>2</v>
      </c>
      <c r="D39" s="189">
        <v>2</v>
      </c>
      <c r="E39" s="4" t="s">
        <v>148</v>
      </c>
    </row>
    <row r="40" spans="1:7" x14ac:dyDescent="0.35">
      <c r="B40" s="101" t="s">
        <v>377</v>
      </c>
      <c r="E40" s="161" t="s">
        <v>533</v>
      </c>
      <c r="F40" s="161"/>
      <c r="G40" s="161"/>
    </row>
    <row r="41" spans="1:7" x14ac:dyDescent="0.35">
      <c r="B41" s="102" t="s">
        <v>408</v>
      </c>
      <c r="C41" s="189">
        <v>22</v>
      </c>
      <c r="D41" s="189">
        <v>22</v>
      </c>
      <c r="E41" s="4" t="s">
        <v>1028</v>
      </c>
    </row>
    <row r="42" spans="1:7" ht="11.65" x14ac:dyDescent="0.35">
      <c r="B42" s="102" t="s">
        <v>378</v>
      </c>
      <c r="C42" s="189">
        <v>0</v>
      </c>
      <c r="D42" s="189">
        <v>0</v>
      </c>
      <c r="E42" s="4" t="s">
        <v>424</v>
      </c>
    </row>
    <row r="44" spans="1:7" x14ac:dyDescent="0.35">
      <c r="A44" s="103" t="s">
        <v>379</v>
      </c>
      <c r="B44" s="107"/>
      <c r="D44" s="182" t="s">
        <v>380</v>
      </c>
      <c r="E44" s="182"/>
      <c r="F44" s="182"/>
      <c r="G44" s="182"/>
    </row>
    <row r="45" spans="1:7" x14ac:dyDescent="0.35">
      <c r="A45" s="103" t="s">
        <v>381</v>
      </c>
      <c r="B45" s="107"/>
      <c r="D45" s="182" t="s">
        <v>382</v>
      </c>
      <c r="E45" s="182"/>
      <c r="F45" s="182"/>
      <c r="G45" s="182"/>
    </row>
    <row r="46" spans="1:7" x14ac:dyDescent="0.35">
      <c r="A46" s="3"/>
    </row>
    <row r="47" spans="1:7" x14ac:dyDescent="0.35">
      <c r="A47" s="106" t="s">
        <v>534</v>
      </c>
      <c r="B47" s="107"/>
      <c r="C47" s="7"/>
      <c r="D47" s="3"/>
      <c r="E47" s="3"/>
      <c r="F47" s="3"/>
      <c r="G47" s="3"/>
    </row>
    <row r="48" spans="1:7" x14ac:dyDescent="0.35">
      <c r="B48" s="151"/>
      <c r="C48" s="636" t="s">
        <v>53</v>
      </c>
      <c r="D48" s="636"/>
      <c r="E48" s="636"/>
      <c r="F48" s="636" t="s">
        <v>50</v>
      </c>
      <c r="G48" s="636"/>
    </row>
    <row r="49" spans="2:13" x14ac:dyDescent="0.35">
      <c r="B49" s="151" t="s">
        <v>45</v>
      </c>
      <c r="C49" s="13"/>
      <c r="D49" s="13"/>
      <c r="E49" s="13"/>
      <c r="F49" s="13"/>
      <c r="G49" s="13"/>
    </row>
    <row r="50" spans="2:13" x14ac:dyDescent="0.35">
      <c r="B50" s="152" t="s">
        <v>46</v>
      </c>
      <c r="C50" s="190">
        <f>90/1000</f>
        <v>0.09</v>
      </c>
      <c r="D50" s="15" t="s">
        <v>11</v>
      </c>
    </row>
    <row r="51" spans="2:13" x14ac:dyDescent="0.35">
      <c r="B51" s="152" t="s">
        <v>47</v>
      </c>
      <c r="C51" s="191">
        <f>110/1000</f>
        <v>0.11</v>
      </c>
      <c r="D51" s="15" t="s">
        <v>11</v>
      </c>
    </row>
    <row r="52" spans="2:13" x14ac:dyDescent="0.35">
      <c r="B52" s="4" t="s">
        <v>667</v>
      </c>
      <c r="H52" s="4" t="s">
        <v>671</v>
      </c>
      <c r="J52" s="379">
        <f>(C53*F53)+(C54*F54)+(C55*F55)+(C56*F56)+(C57*F57)+(C58*F58)+(C59*F59)+(C60*F60)+(C61*F61)</f>
        <v>6390.75</v>
      </c>
      <c r="K52" s="4" t="s">
        <v>12</v>
      </c>
      <c r="L52" s="4" t="s">
        <v>1007</v>
      </c>
      <c r="M52" s="441" t="s">
        <v>1008</v>
      </c>
    </row>
    <row r="53" spans="2:13" x14ac:dyDescent="0.35">
      <c r="B53" s="152" t="s">
        <v>664</v>
      </c>
      <c r="C53" s="190">
        <v>0.47</v>
      </c>
      <c r="D53" s="15" t="s">
        <v>663</v>
      </c>
      <c r="F53" s="192">
        <v>4700</v>
      </c>
      <c r="G53" s="15" t="s">
        <v>12</v>
      </c>
      <c r="L53" s="4">
        <v>4700</v>
      </c>
      <c r="M53" s="4">
        <v>100</v>
      </c>
    </row>
    <row r="54" spans="2:13" x14ac:dyDescent="0.35">
      <c r="B54" s="152" t="s">
        <v>661</v>
      </c>
      <c r="C54" s="191">
        <v>0.13500000000000001</v>
      </c>
      <c r="D54" s="15" t="s">
        <v>663</v>
      </c>
      <c r="F54" s="192">
        <v>3750</v>
      </c>
      <c r="G54" s="15" t="s">
        <v>12</v>
      </c>
      <c r="L54" s="4">
        <v>3750</v>
      </c>
      <c r="M54" s="4">
        <v>50</v>
      </c>
    </row>
    <row r="55" spans="2:13" x14ac:dyDescent="0.35">
      <c r="B55" s="12" t="s">
        <v>662</v>
      </c>
      <c r="C55" s="191">
        <v>0.32</v>
      </c>
      <c r="D55" s="15" t="s">
        <v>663</v>
      </c>
      <c r="F55" s="192">
        <v>10900</v>
      </c>
      <c r="G55" s="15" t="s">
        <v>12</v>
      </c>
      <c r="H55" s="444"/>
      <c r="L55" s="4">
        <v>10900</v>
      </c>
      <c r="M55" s="4">
        <v>100</v>
      </c>
    </row>
    <row r="56" spans="2:13" x14ac:dyDescent="0.35">
      <c r="B56" s="12" t="s">
        <v>895</v>
      </c>
      <c r="C56" s="191">
        <f>10/1000</f>
        <v>0.01</v>
      </c>
      <c r="D56" s="15" t="s">
        <v>663</v>
      </c>
      <c r="F56" s="192">
        <v>400</v>
      </c>
      <c r="G56" s="15" t="s">
        <v>12</v>
      </c>
      <c r="K56" s="637" t="s">
        <v>1024</v>
      </c>
      <c r="L56" s="637"/>
      <c r="M56" s="637"/>
    </row>
    <row r="57" spans="2:13" x14ac:dyDescent="0.35">
      <c r="B57" s="12" t="s">
        <v>907</v>
      </c>
      <c r="C57" s="191">
        <f>1/1000</f>
        <v>1E-3</v>
      </c>
      <c r="D57" s="15" t="s">
        <v>663</v>
      </c>
      <c r="F57" s="192">
        <v>40000</v>
      </c>
      <c r="G57" s="15" t="s">
        <v>12</v>
      </c>
      <c r="K57" s="3" t="s">
        <v>665</v>
      </c>
      <c r="L57" s="134">
        <f>C53/(C$53+C$54+C$55)</f>
        <v>0.50810810810810803</v>
      </c>
      <c r="M57" s="146">
        <v>0.5</v>
      </c>
    </row>
    <row r="58" spans="2:13" x14ac:dyDescent="0.35">
      <c r="B58" s="12" t="s">
        <v>896</v>
      </c>
      <c r="C58" s="191">
        <f>0.2/1000</f>
        <v>2.0000000000000001E-4</v>
      </c>
      <c r="D58" s="15" t="s">
        <v>663</v>
      </c>
      <c r="F58" s="192">
        <v>45000</v>
      </c>
      <c r="G58" s="15" t="s">
        <v>12</v>
      </c>
      <c r="K58" s="146" t="s">
        <v>1022</v>
      </c>
      <c r="L58" s="134">
        <f>C54/(C$53+C$54+C$55)</f>
        <v>0.14594594594594595</v>
      </c>
      <c r="M58" s="134">
        <v>0.15</v>
      </c>
    </row>
    <row r="59" spans="2:13" x14ac:dyDescent="0.35">
      <c r="B59" s="12" t="s">
        <v>897</v>
      </c>
      <c r="C59" s="191">
        <f>0.5/1000</f>
        <v>5.0000000000000001E-4</v>
      </c>
      <c r="D59" s="15" t="s">
        <v>663</v>
      </c>
      <c r="F59" s="192">
        <v>65000</v>
      </c>
      <c r="G59" s="15" t="s">
        <v>12</v>
      </c>
      <c r="K59" s="3" t="s">
        <v>1023</v>
      </c>
      <c r="L59" s="134">
        <f>C55/(C$53+C$54+C$55)</f>
        <v>0.34594594594594591</v>
      </c>
      <c r="M59" s="146">
        <v>0.35</v>
      </c>
    </row>
    <row r="60" spans="2:13" x14ac:dyDescent="0.35">
      <c r="B60" s="12" t="s">
        <v>898</v>
      </c>
      <c r="C60" s="191">
        <f>0.7/1000</f>
        <v>6.9999999999999999E-4</v>
      </c>
      <c r="D60" s="15" t="s">
        <v>663</v>
      </c>
      <c r="F60" s="192">
        <v>60000</v>
      </c>
      <c r="G60" s="15" t="s">
        <v>12</v>
      </c>
    </row>
    <row r="61" spans="2:13" x14ac:dyDescent="0.35">
      <c r="B61" s="12" t="s">
        <v>899</v>
      </c>
      <c r="C61" s="191">
        <f>2/1000</f>
        <v>2E-3</v>
      </c>
      <c r="D61" s="15" t="s">
        <v>663</v>
      </c>
      <c r="F61" s="192">
        <v>30000</v>
      </c>
      <c r="G61" s="15" t="s">
        <v>12</v>
      </c>
    </row>
    <row r="62" spans="2:13" x14ac:dyDescent="0.35">
      <c r="B62" s="151" t="s">
        <v>43</v>
      </c>
      <c r="C62" s="166"/>
      <c r="D62" s="15"/>
      <c r="F62" s="44"/>
      <c r="G62" s="15"/>
    </row>
    <row r="63" spans="2:13" x14ac:dyDescent="0.35">
      <c r="B63" s="152" t="s">
        <v>463</v>
      </c>
      <c r="C63" s="190">
        <f>1/1000</f>
        <v>1E-3</v>
      </c>
      <c r="D63" s="15" t="s">
        <v>478</v>
      </c>
      <c r="E63" s="151" t="s">
        <v>444</v>
      </c>
      <c r="F63" s="192">
        <v>700000</v>
      </c>
      <c r="G63" s="15" t="s">
        <v>473</v>
      </c>
    </row>
    <row r="64" spans="2:13" x14ac:dyDescent="0.35">
      <c r="B64" s="152" t="s">
        <v>465</v>
      </c>
      <c r="C64" s="191">
        <f>1/1000</f>
        <v>1E-3</v>
      </c>
      <c r="D64" s="15" t="s">
        <v>477</v>
      </c>
      <c r="E64" s="151" t="s">
        <v>444</v>
      </c>
      <c r="F64" s="193">
        <v>680000</v>
      </c>
      <c r="G64" s="15" t="s">
        <v>473</v>
      </c>
    </row>
    <row r="65" spans="2:7" x14ac:dyDescent="0.35">
      <c r="B65" s="152" t="s">
        <v>464</v>
      </c>
      <c r="C65" s="191">
        <f>10/1000</f>
        <v>0.01</v>
      </c>
      <c r="D65" s="15" t="s">
        <v>476</v>
      </c>
      <c r="E65" s="151" t="s">
        <v>445</v>
      </c>
      <c r="F65" s="193">
        <v>50000</v>
      </c>
      <c r="G65" s="15" t="s">
        <v>479</v>
      </c>
    </row>
    <row r="66" spans="2:7" x14ac:dyDescent="0.35">
      <c r="B66" s="151" t="s">
        <v>51</v>
      </c>
      <c r="C66" s="165"/>
      <c r="D66" s="15"/>
      <c r="E66" s="151"/>
      <c r="F66" s="44"/>
      <c r="G66" s="15"/>
    </row>
    <row r="67" spans="2:7" x14ac:dyDescent="0.35">
      <c r="B67" s="152" t="s">
        <v>466</v>
      </c>
      <c r="C67" s="190">
        <f>2/1000</f>
        <v>2E-3</v>
      </c>
      <c r="D67" s="15" t="s">
        <v>483</v>
      </c>
      <c r="E67" s="151" t="s">
        <v>482</v>
      </c>
      <c r="F67" s="192">
        <v>60000</v>
      </c>
      <c r="G67" s="15" t="s">
        <v>254</v>
      </c>
    </row>
    <row r="68" spans="2:7" x14ac:dyDescent="0.35">
      <c r="B68" s="12" t="s">
        <v>467</v>
      </c>
      <c r="C68" s="191">
        <f>ROUND(5/1000,5)</f>
        <v>5.0000000000000001E-3</v>
      </c>
      <c r="D68" s="15" t="s">
        <v>483</v>
      </c>
      <c r="E68" s="151" t="s">
        <v>445</v>
      </c>
      <c r="F68" s="193">
        <v>75000</v>
      </c>
      <c r="G68" s="15" t="s">
        <v>254</v>
      </c>
    </row>
    <row r="69" spans="2:7" x14ac:dyDescent="0.35">
      <c r="B69" s="4" t="s">
        <v>484</v>
      </c>
      <c r="C69" s="191">
        <f>ROUND(1/1000,5)</f>
        <v>1E-3</v>
      </c>
      <c r="D69" s="15" t="s">
        <v>488</v>
      </c>
      <c r="E69" s="151" t="s">
        <v>445</v>
      </c>
      <c r="F69" s="193">
        <v>325000</v>
      </c>
      <c r="G69" s="15" t="s">
        <v>485</v>
      </c>
    </row>
    <row r="70" spans="2:7" x14ac:dyDescent="0.35">
      <c r="B70" s="4" t="s">
        <v>469</v>
      </c>
      <c r="C70" s="191">
        <f>ROUND(3/1000,5)</f>
        <v>3.0000000000000001E-3</v>
      </c>
      <c r="D70" s="15" t="s">
        <v>489</v>
      </c>
      <c r="E70" s="151" t="s">
        <v>482</v>
      </c>
      <c r="F70" s="193">
        <v>200000</v>
      </c>
      <c r="G70" s="15" t="s">
        <v>12</v>
      </c>
    </row>
    <row r="71" spans="2:7" x14ac:dyDescent="0.35">
      <c r="B71" s="4" t="s">
        <v>34</v>
      </c>
      <c r="C71" s="194">
        <v>30</v>
      </c>
      <c r="D71" s="15" t="s">
        <v>495</v>
      </c>
      <c r="F71" s="193">
        <v>1000</v>
      </c>
      <c r="G71" s="4" t="s">
        <v>496</v>
      </c>
    </row>
    <row r="72" spans="2:7" x14ac:dyDescent="0.35">
      <c r="B72" s="4" t="s">
        <v>507</v>
      </c>
      <c r="C72" s="191">
        <f>5/1000</f>
        <v>5.0000000000000001E-3</v>
      </c>
      <c r="D72" s="15" t="s">
        <v>470</v>
      </c>
      <c r="F72" s="193">
        <v>50000</v>
      </c>
      <c r="G72" s="4" t="s">
        <v>250</v>
      </c>
    </row>
    <row r="73" spans="2:7" x14ac:dyDescent="0.35">
      <c r="B73" s="4" t="s">
        <v>33</v>
      </c>
      <c r="C73" s="191">
        <v>5.0000000000000001E-4</v>
      </c>
      <c r="D73" s="4" t="s">
        <v>503</v>
      </c>
      <c r="F73" s="193">
        <v>1500</v>
      </c>
      <c r="G73" s="4" t="s">
        <v>16</v>
      </c>
    </row>
    <row r="74" spans="2:7" x14ac:dyDescent="0.35">
      <c r="B74" s="4" t="s">
        <v>508</v>
      </c>
    </row>
    <row r="75" spans="2:7" x14ac:dyDescent="0.35">
      <c r="B75" s="27" t="s">
        <v>546</v>
      </c>
      <c r="C75" s="220">
        <f>2/1000</f>
        <v>2E-3</v>
      </c>
      <c r="D75" s="4" t="s">
        <v>545</v>
      </c>
      <c r="E75" s="4" t="s">
        <v>444</v>
      </c>
      <c r="F75" s="47">
        <v>30000</v>
      </c>
      <c r="G75" s="4" t="s">
        <v>20</v>
      </c>
    </row>
    <row r="76" spans="2:7" x14ac:dyDescent="0.35">
      <c r="B76" s="27" t="s">
        <v>547</v>
      </c>
      <c r="C76" s="221">
        <f>2/1000</f>
        <v>2E-3</v>
      </c>
      <c r="D76" s="4" t="s">
        <v>545</v>
      </c>
      <c r="E76" s="4" t="s">
        <v>444</v>
      </c>
      <c r="F76" s="218">
        <v>100000</v>
      </c>
      <c r="G76" s="4" t="s">
        <v>20</v>
      </c>
    </row>
    <row r="77" spans="2:7" x14ac:dyDescent="0.35">
      <c r="B77" s="27" t="s">
        <v>548</v>
      </c>
      <c r="C77" s="221">
        <v>3</v>
      </c>
      <c r="D77" s="4" t="s">
        <v>656</v>
      </c>
      <c r="F77" s="218">
        <v>50000</v>
      </c>
      <c r="G77" s="4" t="s">
        <v>20</v>
      </c>
    </row>
    <row r="78" spans="2:7" x14ac:dyDescent="0.35">
      <c r="B78" s="27" t="s">
        <v>549</v>
      </c>
      <c r="C78" s="221">
        <v>3</v>
      </c>
      <c r="D78" s="4" t="s">
        <v>656</v>
      </c>
      <c r="F78" s="218">
        <v>15000</v>
      </c>
      <c r="G78" s="4" t="s">
        <v>20</v>
      </c>
    </row>
    <row r="79" spans="2:7" x14ac:dyDescent="0.35">
      <c r="B79" s="27" t="s">
        <v>550</v>
      </c>
      <c r="C79" s="221">
        <v>3</v>
      </c>
      <c r="D79" s="4" t="s">
        <v>656</v>
      </c>
      <c r="F79" s="218">
        <v>15000</v>
      </c>
      <c r="G79" s="4" t="s">
        <v>20</v>
      </c>
    </row>
    <row r="80" spans="2:7" x14ac:dyDescent="0.35">
      <c r="B80" s="4" t="s">
        <v>259</v>
      </c>
    </row>
    <row r="81" spans="1:7" x14ac:dyDescent="0.35">
      <c r="B81" s="268" t="s">
        <v>509</v>
      </c>
    </row>
    <row r="83" spans="1:7" x14ac:dyDescent="0.35">
      <c r="A83" s="174" t="s">
        <v>544</v>
      </c>
      <c r="B83" s="17"/>
    </row>
    <row r="84" spans="1:7" x14ac:dyDescent="0.35">
      <c r="A84" s="4" t="s">
        <v>419</v>
      </c>
    </row>
    <row r="85" spans="1:7" x14ac:dyDescent="0.35">
      <c r="A85" s="215" t="s">
        <v>354</v>
      </c>
      <c r="B85" s="215"/>
      <c r="C85" s="179" t="s">
        <v>355</v>
      </c>
      <c r="D85" s="215"/>
      <c r="E85" s="215"/>
      <c r="F85" s="215"/>
    </row>
    <row r="86" spans="1:7" x14ac:dyDescent="0.35">
      <c r="A86" s="4" t="s">
        <v>359</v>
      </c>
      <c r="C86" s="216" t="s">
        <v>420</v>
      </c>
      <c r="D86" s="214" t="s">
        <v>356</v>
      </c>
    </row>
    <row r="87" spans="1:7" x14ac:dyDescent="0.35">
      <c r="A87" s="4" t="s">
        <v>360</v>
      </c>
      <c r="C87" s="216" t="s">
        <v>421</v>
      </c>
      <c r="D87" s="214" t="s">
        <v>357</v>
      </c>
    </row>
    <row r="88" spans="1:7" x14ac:dyDescent="0.35">
      <c r="A88" s="4" t="s">
        <v>361</v>
      </c>
      <c r="C88" s="216">
        <v>800</v>
      </c>
      <c r="D88" s="214" t="s">
        <v>358</v>
      </c>
    </row>
    <row r="89" spans="1:7" x14ac:dyDescent="0.35">
      <c r="A89" s="4" t="s">
        <v>362</v>
      </c>
    </row>
    <row r="90" spans="1:7" x14ac:dyDescent="0.35">
      <c r="A90" s="4" t="s">
        <v>363</v>
      </c>
      <c r="C90" s="61">
        <v>48000</v>
      </c>
      <c r="D90" s="4" t="s">
        <v>364</v>
      </c>
    </row>
    <row r="91" spans="1:7" x14ac:dyDescent="0.35">
      <c r="C91" s="44">
        <f>C90/30</f>
        <v>1600</v>
      </c>
      <c r="D91" s="4" t="s">
        <v>365</v>
      </c>
    </row>
    <row r="92" spans="1:7" x14ac:dyDescent="0.35">
      <c r="C92" s="44">
        <f>95%*C91</f>
        <v>1520</v>
      </c>
      <c r="D92" s="4" t="s">
        <v>437</v>
      </c>
    </row>
    <row r="93" spans="1:7" x14ac:dyDescent="0.35">
      <c r="A93" s="4" t="s">
        <v>366</v>
      </c>
      <c r="C93" s="61">
        <v>48000</v>
      </c>
      <c r="D93" s="4" t="s">
        <v>7</v>
      </c>
    </row>
    <row r="94" spans="1:7" x14ac:dyDescent="0.35">
      <c r="A94" s="156"/>
      <c r="B94" s="156"/>
      <c r="C94" s="168">
        <f>60%*C93</f>
        <v>28800</v>
      </c>
      <c r="D94" s="156" t="s">
        <v>438</v>
      </c>
      <c r="E94" s="156"/>
      <c r="F94" s="156"/>
      <c r="G94" s="12"/>
    </row>
    <row r="95" spans="1:7" x14ac:dyDescent="0.35">
      <c r="A95" s="174" t="s">
        <v>116</v>
      </c>
      <c r="B95" s="17"/>
      <c r="G95" s="12"/>
    </row>
    <row r="96" spans="1:7" x14ac:dyDescent="0.35">
      <c r="A96" s="4" t="s">
        <v>975</v>
      </c>
    </row>
    <row r="97" spans="1:12" x14ac:dyDescent="0.35">
      <c r="A97" s="4" t="s">
        <v>9</v>
      </c>
      <c r="B97" s="4" t="s">
        <v>978</v>
      </c>
      <c r="C97" s="61">
        <v>2</v>
      </c>
      <c r="D97" s="4" t="s">
        <v>979</v>
      </c>
    </row>
    <row r="98" spans="1:12" x14ac:dyDescent="0.35">
      <c r="A98" s="4" t="s">
        <v>10</v>
      </c>
      <c r="B98" s="4" t="s">
        <v>980</v>
      </c>
      <c r="C98" s="487">
        <v>350000</v>
      </c>
      <c r="D98" s="4" t="s">
        <v>902</v>
      </c>
    </row>
    <row r="99" spans="1:12" x14ac:dyDescent="0.35">
      <c r="G99" s="3"/>
    </row>
    <row r="100" spans="1:12" x14ac:dyDescent="0.35">
      <c r="B100" s="44"/>
      <c r="G100" s="377"/>
      <c r="I100" s="377"/>
    </row>
    <row r="101" spans="1:12" x14ac:dyDescent="0.35">
      <c r="D101" s="386"/>
    </row>
    <row r="106" spans="1:12" x14ac:dyDescent="0.35">
      <c r="G106" s="3"/>
    </row>
    <row r="107" spans="1:12" x14ac:dyDescent="0.35">
      <c r="G107" s="3"/>
    </row>
    <row r="108" spans="1:12" x14ac:dyDescent="0.35">
      <c r="G108" s="3"/>
    </row>
    <row r="109" spans="1:12" x14ac:dyDescent="0.35">
      <c r="G109" s="3"/>
    </row>
    <row r="110" spans="1:12" x14ac:dyDescent="0.35">
      <c r="G110" s="3"/>
      <c r="J110" s="10"/>
      <c r="K110" s="10"/>
      <c r="L110" s="10"/>
    </row>
    <row r="111" spans="1:12" x14ac:dyDescent="0.35">
      <c r="G111" s="3"/>
    </row>
    <row r="115" spans="1:7" x14ac:dyDescent="0.35">
      <c r="G115" s="10"/>
    </row>
    <row r="116" spans="1:7" x14ac:dyDescent="0.35">
      <c r="G116" s="10"/>
    </row>
    <row r="117" spans="1:7" x14ac:dyDescent="0.35">
      <c r="G117" s="10"/>
    </row>
    <row r="118" spans="1:7" x14ac:dyDescent="0.35">
      <c r="G118" s="10"/>
    </row>
    <row r="119" spans="1:7" x14ac:dyDescent="0.35">
      <c r="G119" s="10"/>
    </row>
    <row r="120" spans="1:7" x14ac:dyDescent="0.35">
      <c r="A120" s="10"/>
      <c r="B120" s="10"/>
      <c r="C120" s="10"/>
      <c r="D120" s="10"/>
      <c r="E120" s="10"/>
      <c r="F120" s="10"/>
      <c r="G120" s="10"/>
    </row>
    <row r="121" spans="1:7" x14ac:dyDescent="0.35">
      <c r="A121" s="10"/>
      <c r="B121" s="10"/>
      <c r="C121" s="10"/>
      <c r="D121" s="10"/>
      <c r="E121" s="10"/>
      <c r="F121" s="10"/>
      <c r="G121" s="10"/>
    </row>
    <row r="122" spans="1:7" x14ac:dyDescent="0.35">
      <c r="A122" s="10"/>
      <c r="B122" s="10"/>
      <c r="C122" s="10"/>
      <c r="D122" s="10"/>
      <c r="E122" s="10"/>
      <c r="F122" s="10"/>
      <c r="G122" s="10"/>
    </row>
    <row r="123" spans="1:7" x14ac:dyDescent="0.35">
      <c r="A123" s="10"/>
      <c r="B123" s="10"/>
      <c r="C123" s="10"/>
      <c r="D123" s="10"/>
      <c r="E123" s="10"/>
      <c r="F123" s="10"/>
      <c r="G123" s="10"/>
    </row>
    <row r="124" spans="1:7" x14ac:dyDescent="0.35">
      <c r="A124" s="10"/>
      <c r="B124" s="10"/>
      <c r="C124" s="10"/>
      <c r="D124" s="10"/>
      <c r="E124" s="10"/>
      <c r="F124" s="10"/>
      <c r="G124" s="10"/>
    </row>
    <row r="125" spans="1:7" x14ac:dyDescent="0.35">
      <c r="A125" s="10"/>
      <c r="B125" s="10"/>
      <c r="C125" s="10"/>
      <c r="D125" s="10"/>
      <c r="E125" s="10"/>
      <c r="F125" s="10"/>
      <c r="G125" s="10"/>
    </row>
    <row r="126" spans="1:7" x14ac:dyDescent="0.35">
      <c r="A126" s="10"/>
      <c r="B126" s="10"/>
      <c r="C126" s="10"/>
      <c r="D126" s="10"/>
      <c r="E126" s="10"/>
      <c r="F126" s="10"/>
      <c r="G126" s="10"/>
    </row>
    <row r="127" spans="1:7" x14ac:dyDescent="0.35">
      <c r="A127" s="10"/>
      <c r="B127" s="10"/>
      <c r="C127" s="10"/>
      <c r="D127" s="10"/>
      <c r="E127" s="10"/>
      <c r="F127" s="10"/>
      <c r="G127" s="10"/>
    </row>
    <row r="128" spans="1:7" x14ac:dyDescent="0.35">
      <c r="A128" s="10"/>
      <c r="B128" s="10"/>
      <c r="C128" s="10"/>
      <c r="D128" s="10"/>
      <c r="E128" s="10"/>
      <c r="F128" s="10"/>
      <c r="G128" s="10"/>
    </row>
    <row r="129" spans="1:8" x14ac:dyDescent="0.35">
      <c r="A129" s="10"/>
      <c r="B129" s="10"/>
      <c r="C129" s="10"/>
      <c r="D129" s="10"/>
      <c r="E129" s="10"/>
      <c r="F129" s="10"/>
      <c r="G129" s="10"/>
    </row>
    <row r="130" spans="1:8" x14ac:dyDescent="0.35">
      <c r="A130" s="10"/>
      <c r="B130" s="10"/>
      <c r="C130" s="10"/>
      <c r="D130" s="10"/>
      <c r="E130" s="10"/>
      <c r="F130" s="10"/>
      <c r="G130" s="10"/>
    </row>
    <row r="131" spans="1:8" x14ac:dyDescent="0.35">
      <c r="A131" s="10"/>
      <c r="B131" s="10"/>
      <c r="C131" s="10"/>
      <c r="D131" s="10"/>
      <c r="E131" s="10"/>
      <c r="F131" s="10"/>
      <c r="G131" s="10"/>
    </row>
    <row r="132" spans="1:8" x14ac:dyDescent="0.35">
      <c r="A132" s="10"/>
      <c r="B132" s="10"/>
      <c r="C132" s="10"/>
      <c r="D132" s="10"/>
      <c r="E132" s="10"/>
      <c r="F132" s="10"/>
      <c r="G132" s="10"/>
      <c r="H132" s="9"/>
    </row>
    <row r="133" spans="1:8" x14ac:dyDescent="0.35">
      <c r="A133" s="10"/>
      <c r="B133" s="10"/>
      <c r="C133" s="10"/>
      <c r="D133" s="10"/>
      <c r="E133" s="10"/>
      <c r="F133" s="10"/>
      <c r="G133" s="10"/>
      <c r="H133" s="14"/>
    </row>
    <row r="134" spans="1:8" x14ac:dyDescent="0.35">
      <c r="A134" s="10"/>
      <c r="B134" s="10"/>
      <c r="C134" s="10"/>
      <c r="D134" s="10"/>
      <c r="E134" s="10"/>
      <c r="F134" s="10"/>
      <c r="G134" s="10"/>
      <c r="H134" s="14"/>
    </row>
    <row r="135" spans="1:8" x14ac:dyDescent="0.35">
      <c r="A135" s="10"/>
      <c r="B135" s="10"/>
      <c r="C135" s="10"/>
      <c r="D135" s="10"/>
      <c r="E135" s="10"/>
      <c r="F135" s="10"/>
      <c r="G135" s="10"/>
    </row>
    <row r="136" spans="1:8" x14ac:dyDescent="0.35">
      <c r="A136" s="10"/>
      <c r="B136" s="10"/>
      <c r="C136" s="10"/>
      <c r="D136" s="10"/>
      <c r="E136" s="10"/>
      <c r="F136" s="10"/>
      <c r="G136" s="10"/>
    </row>
    <row r="137" spans="1:8" x14ac:dyDescent="0.35">
      <c r="A137" s="10"/>
      <c r="B137" s="10"/>
      <c r="C137" s="10"/>
      <c r="D137" s="10"/>
      <c r="E137" s="10"/>
      <c r="F137" s="10"/>
      <c r="G137" s="10"/>
    </row>
    <row r="138" spans="1:8" x14ac:dyDescent="0.35">
      <c r="A138" s="10"/>
      <c r="B138" s="10"/>
      <c r="C138" s="10"/>
      <c r="D138" s="10"/>
      <c r="E138" s="10"/>
      <c r="F138" s="10"/>
      <c r="G138" s="10"/>
    </row>
    <row r="139" spans="1:8" x14ac:dyDescent="0.35">
      <c r="A139" s="10"/>
      <c r="B139" s="10"/>
      <c r="C139" s="10"/>
      <c r="D139" s="10"/>
      <c r="E139" s="10"/>
      <c r="F139" s="10"/>
      <c r="G139" s="10"/>
    </row>
    <row r="140" spans="1:8" x14ac:dyDescent="0.35">
      <c r="A140" s="10"/>
      <c r="B140" s="10"/>
      <c r="C140" s="10"/>
      <c r="D140" s="10"/>
      <c r="E140" s="10"/>
      <c r="F140" s="10"/>
      <c r="G140" s="10"/>
    </row>
    <row r="141" spans="1:8" x14ac:dyDescent="0.35">
      <c r="A141" s="10"/>
      <c r="B141" s="10"/>
      <c r="C141" s="10"/>
      <c r="D141" s="10"/>
      <c r="E141" s="10"/>
      <c r="F141" s="10"/>
      <c r="G141" s="10"/>
    </row>
    <row r="142" spans="1:8" x14ac:dyDescent="0.35">
      <c r="A142" s="10"/>
      <c r="B142" s="10"/>
      <c r="C142" s="10"/>
      <c r="D142" s="10"/>
      <c r="E142" s="10"/>
      <c r="F142" s="10"/>
      <c r="G142" s="10"/>
    </row>
    <row r="143" spans="1:8" x14ac:dyDescent="0.35">
      <c r="A143" s="10"/>
      <c r="B143" s="10"/>
      <c r="C143" s="10"/>
      <c r="D143" s="10"/>
      <c r="E143" s="10"/>
      <c r="F143" s="10"/>
      <c r="G143" s="10"/>
    </row>
    <row r="144" spans="1:8" x14ac:dyDescent="0.35">
      <c r="A144" s="10"/>
      <c r="B144" s="10"/>
      <c r="C144" s="10"/>
      <c r="D144" s="10"/>
      <c r="E144" s="10"/>
      <c r="F144" s="10"/>
      <c r="G144" s="10"/>
    </row>
    <row r="146" spans="1:7" x14ac:dyDescent="0.35">
      <c r="A146" s="10"/>
      <c r="B146" s="10"/>
      <c r="C146" s="10"/>
      <c r="D146" s="10"/>
      <c r="E146" s="10"/>
      <c r="F146" s="10"/>
      <c r="G146" s="10"/>
    </row>
    <row r="147" spans="1:7" x14ac:dyDescent="0.35">
      <c r="A147" s="10"/>
      <c r="B147" s="10"/>
      <c r="C147" s="10"/>
      <c r="D147" s="10"/>
      <c r="E147" s="10"/>
      <c r="F147" s="10"/>
      <c r="G147" s="10"/>
    </row>
    <row r="148" spans="1:7" x14ac:dyDescent="0.35">
      <c r="A148" s="10"/>
      <c r="B148" s="10"/>
      <c r="C148" s="10"/>
      <c r="D148" s="10"/>
      <c r="E148" s="10"/>
      <c r="F148" s="10"/>
      <c r="G148" s="10"/>
    </row>
    <row r="149" spans="1:7" x14ac:dyDescent="0.35">
      <c r="A149" s="10"/>
      <c r="B149" s="10"/>
      <c r="C149" s="10"/>
      <c r="D149" s="10"/>
      <c r="E149" s="10"/>
      <c r="F149" s="10"/>
      <c r="G149" s="10"/>
    </row>
    <row r="150" spans="1:7" x14ac:dyDescent="0.35">
      <c r="A150" s="10"/>
      <c r="B150" s="10"/>
      <c r="C150" s="10"/>
      <c r="D150" s="10"/>
      <c r="E150" s="10"/>
      <c r="F150" s="10"/>
      <c r="G150" s="10"/>
    </row>
    <row r="151" spans="1:7" x14ac:dyDescent="0.35">
      <c r="A151" s="10"/>
      <c r="B151" s="10"/>
      <c r="C151" s="10"/>
      <c r="D151" s="10"/>
      <c r="E151" s="10"/>
      <c r="F151" s="10"/>
      <c r="G151" s="10"/>
    </row>
  </sheetData>
  <mergeCells count="3">
    <mergeCell ref="C48:E48"/>
    <mergeCell ref="F48:G48"/>
    <mergeCell ref="K56:M56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44"/>
  <sheetViews>
    <sheetView showGridLines="0" zoomScale="90" zoomScaleNormal="90" workbookViewId="0">
      <pane ySplit="9" topLeftCell="A10" activePane="bottomLeft" state="frozen"/>
      <selection pane="bottomLeft" activeCell="A3" sqref="A3:A4"/>
    </sheetView>
  </sheetViews>
  <sheetFormatPr defaultColWidth="8.81640625" defaultRowHeight="10.5" x14ac:dyDescent="0.35"/>
  <cols>
    <col min="1" max="1" width="19.81640625" style="4" customWidth="1"/>
    <col min="2" max="2" width="11.453125" style="4" bestFit="1" customWidth="1"/>
    <col min="3" max="3" width="21.453125" style="4" bestFit="1" customWidth="1"/>
    <col min="4" max="4" width="8.81640625" style="4"/>
    <col min="5" max="5" width="14" style="4" bestFit="1" customWidth="1"/>
    <col min="6" max="7" width="8.81640625" style="4"/>
    <col min="8" max="13" width="10.453125" style="4" customWidth="1"/>
    <col min="14" max="14" width="8.81640625" style="4"/>
    <col min="15" max="15" width="18.81640625" style="4" bestFit="1" customWidth="1"/>
    <col min="16" max="18" width="10.1796875" style="4" bestFit="1" customWidth="1"/>
    <col min="19" max="16384" width="8.81640625" style="4"/>
  </cols>
  <sheetData>
    <row r="1" spans="1:18" x14ac:dyDescent="0.35">
      <c r="A1" s="73" t="str">
        <f>CostOfCapital!A1</f>
        <v>Peternakan Ayam Petelur</v>
      </c>
    </row>
    <row r="2" spans="1:18" x14ac:dyDescent="0.35">
      <c r="A2" s="73" t="str">
        <f>CostOfCapital!A2</f>
        <v>Financial Pre-Feasibility Study</v>
      </c>
    </row>
    <row r="3" spans="1:18" x14ac:dyDescent="0.35">
      <c r="A3" s="528" t="s">
        <v>272</v>
      </c>
    </row>
    <row r="4" spans="1:18" x14ac:dyDescent="0.35">
      <c r="A4" s="10" t="str">
        <f>Asumsi!A4</f>
        <v>Case-3: pakan diproduksi, Jumlah peliharaan di naikkan dari 3.000 menjadi 12.000 ekor</v>
      </c>
    </row>
    <row r="5" spans="1:18" x14ac:dyDescent="0.35">
      <c r="A5" s="124"/>
    </row>
    <row r="6" spans="1:18" x14ac:dyDescent="0.35">
      <c r="A6" s="124"/>
    </row>
    <row r="8" spans="1:18" ht="22.5" customHeight="1" x14ac:dyDescent="0.35">
      <c r="A8" s="649" t="s">
        <v>1</v>
      </c>
      <c r="B8" s="649"/>
      <c r="C8" s="649"/>
      <c r="E8" s="116"/>
      <c r="F8" s="641" t="s">
        <v>297</v>
      </c>
      <c r="G8" s="641"/>
      <c r="H8" s="641" t="s">
        <v>341</v>
      </c>
      <c r="I8" s="641"/>
      <c r="J8" s="641" t="s">
        <v>343</v>
      </c>
      <c r="K8" s="641"/>
      <c r="L8" s="641" t="s">
        <v>344</v>
      </c>
      <c r="M8" s="641"/>
      <c r="O8" s="646" t="s">
        <v>268</v>
      </c>
      <c r="P8" s="646"/>
      <c r="Q8" s="646"/>
      <c r="R8" s="646"/>
    </row>
    <row r="9" spans="1:18" x14ac:dyDescent="0.35">
      <c r="A9" s="72"/>
      <c r="B9" s="72"/>
      <c r="C9" s="72"/>
      <c r="E9" s="17" t="s">
        <v>269</v>
      </c>
      <c r="F9" s="17">
        <v>2020</v>
      </c>
      <c r="G9" s="17">
        <v>2021</v>
      </c>
      <c r="H9" s="17">
        <v>2020</v>
      </c>
      <c r="I9" s="17">
        <v>2021</v>
      </c>
      <c r="J9" s="17">
        <v>2020</v>
      </c>
      <c r="K9" s="17">
        <v>2021</v>
      </c>
      <c r="L9" s="17">
        <v>2020</v>
      </c>
      <c r="M9" s="17">
        <v>2021</v>
      </c>
      <c r="O9" s="17" t="s">
        <v>269</v>
      </c>
      <c r="P9" s="17">
        <v>2019</v>
      </c>
      <c r="Q9" s="17">
        <v>2020</v>
      </c>
      <c r="R9" s="17">
        <v>2021</v>
      </c>
    </row>
    <row r="10" spans="1:18" x14ac:dyDescent="0.35">
      <c r="A10" s="11" t="s">
        <v>274</v>
      </c>
      <c r="B10" s="10"/>
      <c r="C10" s="15"/>
      <c r="E10" s="88" t="s">
        <v>275</v>
      </c>
      <c r="F10" s="89">
        <v>94173</v>
      </c>
      <c r="G10" s="89">
        <v>95304</v>
      </c>
      <c r="H10" s="96">
        <v>1.4810000000000001</v>
      </c>
      <c r="I10" s="96">
        <v>1.3089999999999999</v>
      </c>
      <c r="J10" s="96">
        <f>H10*F10*$B$22/10^6</f>
        <v>7.272375392142858</v>
      </c>
      <c r="K10" s="96">
        <f>I10*G10*$B$22/10^6</f>
        <v>6.5049745200000002</v>
      </c>
      <c r="L10" s="89">
        <f>J10*10^6/16/1000</f>
        <v>454.52346200892868</v>
      </c>
      <c r="M10" s="89">
        <f>K10*10^6/16/1000</f>
        <v>406.56090750000004</v>
      </c>
      <c r="O10" s="4" t="s">
        <v>298</v>
      </c>
      <c r="P10" s="44">
        <v>12312.1</v>
      </c>
      <c r="Q10" s="44">
        <v>3824.54</v>
      </c>
      <c r="R10" s="44">
        <v>8173.91</v>
      </c>
    </row>
    <row r="11" spans="1:18" x14ac:dyDescent="0.35">
      <c r="A11" s="4" t="s">
        <v>332</v>
      </c>
      <c r="E11" s="88" t="s">
        <v>276</v>
      </c>
      <c r="F11" s="89">
        <v>122100</v>
      </c>
      <c r="G11" s="89">
        <v>123842</v>
      </c>
      <c r="H11" s="96">
        <v>1.897</v>
      </c>
      <c r="I11" s="96">
        <v>1.7949999999999999</v>
      </c>
      <c r="J11" s="96">
        <f t="shared" ref="J11:J32" si="0">H11*F11*$B$22/10^6</f>
        <v>12.077521500000001</v>
      </c>
      <c r="K11" s="96">
        <f t="shared" ref="K11:K32" si="1">I11*G11*$B$22/10^6</f>
        <v>11.591168907142857</v>
      </c>
      <c r="L11" s="89">
        <f t="shared" ref="L11:L32" si="2">J11*10^6/16/1000</f>
        <v>754.84509375000016</v>
      </c>
      <c r="M11" s="89">
        <f t="shared" ref="M11:M32" si="3">K11*10^6/16/1000</f>
        <v>724.44805669642858</v>
      </c>
      <c r="O11" s="4" t="s">
        <v>299</v>
      </c>
      <c r="P11" s="44">
        <v>512431.77</v>
      </c>
      <c r="Q11" s="44">
        <v>452308.8</v>
      </c>
      <c r="R11" s="44">
        <v>480975.91</v>
      </c>
    </row>
    <row r="12" spans="1:18" x14ac:dyDescent="0.35">
      <c r="A12" s="12" t="s">
        <v>333</v>
      </c>
      <c r="B12" s="86">
        <v>18.440000000000001</v>
      </c>
      <c r="C12" s="15" t="s">
        <v>186</v>
      </c>
      <c r="E12" s="88" t="s">
        <v>277</v>
      </c>
      <c r="F12" s="89">
        <v>238997</v>
      </c>
      <c r="G12" s="89">
        <v>242196</v>
      </c>
      <c r="H12" s="96">
        <v>1.8049999999999999</v>
      </c>
      <c r="I12" s="96">
        <v>1.7290000000000001</v>
      </c>
      <c r="J12" s="96">
        <f t="shared" si="0"/>
        <v>22.493885503571427</v>
      </c>
      <c r="K12" s="96">
        <f t="shared" si="1"/>
        <v>21.835180380000004</v>
      </c>
      <c r="L12" s="89">
        <f t="shared" si="2"/>
        <v>1405.8678439732143</v>
      </c>
      <c r="M12" s="89">
        <f t="shared" si="3"/>
        <v>1364.6987737500001</v>
      </c>
      <c r="O12" s="4" t="s">
        <v>300</v>
      </c>
      <c r="P12" s="44">
        <v>284134.53999999998</v>
      </c>
      <c r="Q12" s="44">
        <v>321917.73</v>
      </c>
      <c r="R12" s="44">
        <v>289152.19</v>
      </c>
    </row>
    <row r="13" spans="1:18" x14ac:dyDescent="0.35">
      <c r="A13" s="12" t="s">
        <v>334</v>
      </c>
      <c r="B13" s="86">
        <v>17.73</v>
      </c>
      <c r="C13" s="15" t="s">
        <v>186</v>
      </c>
      <c r="E13" s="88" t="s">
        <v>278</v>
      </c>
      <c r="F13" s="89">
        <v>213221</v>
      </c>
      <c r="G13" s="89">
        <v>216264</v>
      </c>
      <c r="H13" s="96">
        <v>1.839</v>
      </c>
      <c r="I13" s="96">
        <v>1.7669999999999999</v>
      </c>
      <c r="J13" s="96">
        <f t="shared" si="0"/>
        <v>20.445913990714285</v>
      </c>
      <c r="K13" s="96">
        <f t="shared" si="1"/>
        <v>19.925792588571426</v>
      </c>
      <c r="L13" s="89">
        <f t="shared" si="2"/>
        <v>1277.8696244196428</v>
      </c>
      <c r="M13" s="89">
        <f t="shared" si="3"/>
        <v>1245.3620367857141</v>
      </c>
      <c r="O13" s="4" t="s">
        <v>301</v>
      </c>
      <c r="P13" s="44">
        <v>12224.04</v>
      </c>
      <c r="Q13" s="44">
        <v>7000.82</v>
      </c>
      <c r="R13" s="44">
        <v>4132.63</v>
      </c>
    </row>
    <row r="14" spans="1:18" x14ac:dyDescent="0.35">
      <c r="A14" s="12" t="s">
        <v>335</v>
      </c>
      <c r="B14" s="87">
        <v>17.77</v>
      </c>
      <c r="C14" s="15" t="s">
        <v>186</v>
      </c>
      <c r="E14" s="88" t="s">
        <v>279</v>
      </c>
      <c r="F14" s="89">
        <v>429895</v>
      </c>
      <c r="G14" s="89">
        <v>436086</v>
      </c>
      <c r="H14" s="96">
        <v>1.641</v>
      </c>
      <c r="I14" s="96">
        <v>1.681</v>
      </c>
      <c r="J14" s="96">
        <f t="shared" si="0"/>
        <v>36.784579810714284</v>
      </c>
      <c r="K14" s="96">
        <f t="shared" si="1"/>
        <v>38.223872370000002</v>
      </c>
      <c r="L14" s="89">
        <f t="shared" si="2"/>
        <v>2299.0362381696427</v>
      </c>
      <c r="M14" s="89">
        <f t="shared" si="3"/>
        <v>2388.9920231250003</v>
      </c>
      <c r="O14" s="4" t="s">
        <v>302</v>
      </c>
      <c r="P14" s="44">
        <v>22702.11</v>
      </c>
      <c r="Q14" s="44">
        <v>30341.74</v>
      </c>
      <c r="R14" s="44">
        <v>30951.279999999999</v>
      </c>
    </row>
    <row r="15" spans="1:18" x14ac:dyDescent="0.35">
      <c r="A15" s="12" t="s">
        <v>336</v>
      </c>
      <c r="B15" s="87">
        <v>28.16</v>
      </c>
      <c r="C15" s="15" t="s">
        <v>186</v>
      </c>
      <c r="E15" s="88" t="s">
        <v>280</v>
      </c>
      <c r="F15" s="89">
        <v>209131</v>
      </c>
      <c r="G15" s="89">
        <v>212120</v>
      </c>
      <c r="H15" s="96">
        <v>2.6709999999999998</v>
      </c>
      <c r="I15" s="96">
        <v>2.29</v>
      </c>
      <c r="J15" s="96">
        <f t="shared" si="0"/>
        <v>29.126421266428572</v>
      </c>
      <c r="K15" s="96">
        <f t="shared" si="1"/>
        <v>25.328643142857146</v>
      </c>
      <c r="L15" s="89">
        <f t="shared" si="2"/>
        <v>1820.4013291517856</v>
      </c>
      <c r="M15" s="89">
        <f t="shared" si="3"/>
        <v>1583.0401964285716</v>
      </c>
      <c r="O15" s="4" t="s">
        <v>303</v>
      </c>
      <c r="P15" s="44">
        <v>136806.64000000001</v>
      </c>
      <c r="Q15" s="44">
        <v>183084.08</v>
      </c>
      <c r="R15" s="44">
        <v>185402.13</v>
      </c>
    </row>
    <row r="16" spans="1:18" x14ac:dyDescent="0.35">
      <c r="A16" s="4" t="s">
        <v>337</v>
      </c>
      <c r="E16" s="88" t="s">
        <v>281</v>
      </c>
      <c r="F16" s="89">
        <v>206571</v>
      </c>
      <c r="G16" s="89">
        <v>209500</v>
      </c>
      <c r="H16" s="96">
        <v>1.994</v>
      </c>
      <c r="I16" s="96">
        <v>1.925</v>
      </c>
      <c r="J16" s="96">
        <f t="shared" si="0"/>
        <v>21.477777072857144</v>
      </c>
      <c r="K16" s="96">
        <f t="shared" si="1"/>
        <v>21.0285625</v>
      </c>
      <c r="L16" s="89">
        <f t="shared" si="2"/>
        <v>1342.3610670535716</v>
      </c>
      <c r="M16" s="89">
        <f t="shared" si="3"/>
        <v>1314.28515625</v>
      </c>
      <c r="O16" s="4" t="s">
        <v>304</v>
      </c>
      <c r="P16" s="44">
        <v>10841.65</v>
      </c>
      <c r="Q16" s="44">
        <v>6739.02</v>
      </c>
      <c r="R16" s="44">
        <v>6352.45</v>
      </c>
    </row>
    <row r="17" spans="1:18" x14ac:dyDescent="0.35">
      <c r="A17" s="12" t="s">
        <v>333</v>
      </c>
      <c r="B17" s="86"/>
      <c r="C17" s="15"/>
      <c r="E17" s="98" t="s">
        <v>282</v>
      </c>
      <c r="F17" s="89">
        <v>418477</v>
      </c>
      <c r="G17" s="89">
        <v>424433</v>
      </c>
      <c r="H17" s="96">
        <v>2.4060000000000001</v>
      </c>
      <c r="I17" s="96">
        <v>2.3660000000000001</v>
      </c>
      <c r="J17" s="96">
        <f t="shared" si="0"/>
        <v>52.500330947142864</v>
      </c>
      <c r="K17" s="99">
        <f t="shared" si="1"/>
        <v>52.362299210000003</v>
      </c>
      <c r="L17" s="89">
        <f t="shared" si="2"/>
        <v>3281.2706841964286</v>
      </c>
      <c r="M17" s="100">
        <f t="shared" si="3"/>
        <v>3272.6437006249998</v>
      </c>
      <c r="O17" s="4" t="s">
        <v>305</v>
      </c>
      <c r="P17" s="44">
        <v>130824.31</v>
      </c>
      <c r="Q17" s="44">
        <v>193270.51</v>
      </c>
      <c r="R17" s="44">
        <v>185269.19</v>
      </c>
    </row>
    <row r="18" spans="1:18" x14ac:dyDescent="0.35">
      <c r="A18" s="12" t="s">
        <v>334</v>
      </c>
      <c r="B18" s="92">
        <v>2.3650000000000002</v>
      </c>
      <c r="C18" s="15" t="s">
        <v>186</v>
      </c>
      <c r="E18" s="98" t="s">
        <v>283</v>
      </c>
      <c r="F18" s="89">
        <v>442551</v>
      </c>
      <c r="G18" s="89">
        <v>447875</v>
      </c>
      <c r="H18" s="96">
        <v>2.3570000000000002</v>
      </c>
      <c r="I18" s="96">
        <v>1.954</v>
      </c>
      <c r="J18" s="96">
        <f t="shared" si="0"/>
        <v>54.389834007857154</v>
      </c>
      <c r="K18" s="99">
        <f t="shared" si="1"/>
        <v>45.632704107142857</v>
      </c>
      <c r="L18" s="89">
        <f t="shared" si="2"/>
        <v>3399.3646254910718</v>
      </c>
      <c r="M18" s="100">
        <f t="shared" si="3"/>
        <v>2852.0440066964288</v>
      </c>
      <c r="O18" s="4" t="s">
        <v>306</v>
      </c>
      <c r="P18" s="44">
        <v>10579.74</v>
      </c>
      <c r="Q18" s="44">
        <v>8436.25</v>
      </c>
      <c r="R18" s="44">
        <v>5500.62</v>
      </c>
    </row>
    <row r="19" spans="1:18" x14ac:dyDescent="0.35">
      <c r="A19" s="12" t="s">
        <v>335</v>
      </c>
      <c r="B19" s="93">
        <v>2.3140000000000001</v>
      </c>
      <c r="C19" s="15" t="s">
        <v>186</v>
      </c>
      <c r="E19" s="88" t="s">
        <v>284</v>
      </c>
      <c r="F19" s="89">
        <v>463911</v>
      </c>
      <c r="G19" s="89">
        <v>470554</v>
      </c>
      <c r="H19" s="96">
        <v>2.016</v>
      </c>
      <c r="I19" s="96">
        <v>1.9079999999999999</v>
      </c>
      <c r="J19" s="96">
        <f t="shared" si="0"/>
        <v>48.766324320000003</v>
      </c>
      <c r="K19" s="96">
        <f t="shared" si="1"/>
        <v>46.814745240000001</v>
      </c>
      <c r="L19" s="89">
        <f t="shared" si="2"/>
        <v>3047.89527</v>
      </c>
      <c r="M19" s="89">
        <f t="shared" si="3"/>
        <v>2925.9215775000002</v>
      </c>
      <c r="O19" s="4" t="s">
        <v>307</v>
      </c>
      <c r="P19" s="44">
        <v>13987.16</v>
      </c>
      <c r="Q19" s="44">
        <v>16111.78</v>
      </c>
      <c r="R19" s="44">
        <v>15388.15</v>
      </c>
    </row>
    <row r="20" spans="1:18" x14ac:dyDescent="0.35">
      <c r="A20" s="12" t="s">
        <v>336</v>
      </c>
      <c r="B20" s="93">
        <v>2.3380000000000001</v>
      </c>
      <c r="C20" s="15" t="s">
        <v>186</v>
      </c>
      <c r="E20" s="88" t="s">
        <v>285</v>
      </c>
      <c r="F20" s="89">
        <v>615663</v>
      </c>
      <c r="G20" s="89">
        <v>622765</v>
      </c>
      <c r="H20" s="96">
        <v>1.611</v>
      </c>
      <c r="I20" s="96">
        <v>1.7450000000000001</v>
      </c>
      <c r="J20" s="96">
        <f t="shared" si="0"/>
        <v>51.717011277857146</v>
      </c>
      <c r="K20" s="96">
        <f t="shared" si="1"/>
        <v>56.664942517857149</v>
      </c>
      <c r="L20" s="89">
        <f t="shared" si="2"/>
        <v>3232.3132048660718</v>
      </c>
      <c r="M20" s="89">
        <f t="shared" si="3"/>
        <v>3541.5589073660717</v>
      </c>
      <c r="O20" s="4" t="s">
        <v>308</v>
      </c>
      <c r="P20" s="44">
        <v>0</v>
      </c>
      <c r="Q20" s="44">
        <v>0</v>
      </c>
      <c r="R20" s="44">
        <v>0</v>
      </c>
    </row>
    <row r="21" spans="1:18" x14ac:dyDescent="0.35">
      <c r="A21" s="12" t="s">
        <v>338</v>
      </c>
      <c r="B21" s="93">
        <v>2.448</v>
      </c>
      <c r="C21" s="15" t="s">
        <v>186</v>
      </c>
      <c r="E21" s="88" t="s">
        <v>281</v>
      </c>
      <c r="F21" s="89">
        <v>149733</v>
      </c>
      <c r="G21" s="89">
        <v>151826</v>
      </c>
      <c r="H21" s="96">
        <v>1.663</v>
      </c>
      <c r="I21" s="96">
        <v>1.575</v>
      </c>
      <c r="J21" s="96">
        <f t="shared" si="0"/>
        <v>12.983883190714286</v>
      </c>
      <c r="K21" s="96">
        <f t="shared" si="1"/>
        <v>12.468710250000001</v>
      </c>
      <c r="L21" s="89">
        <f t="shared" si="2"/>
        <v>811.49269941964292</v>
      </c>
      <c r="M21" s="89">
        <f t="shared" si="3"/>
        <v>779.29439062500001</v>
      </c>
      <c r="O21" s="4" t="s">
        <v>309</v>
      </c>
      <c r="P21" s="44">
        <v>468872.04</v>
      </c>
      <c r="Q21" s="44">
        <v>587201.77</v>
      </c>
      <c r="R21" s="44">
        <v>573012</v>
      </c>
    </row>
    <row r="22" spans="1:18" x14ac:dyDescent="0.35">
      <c r="A22" s="4" t="s">
        <v>339</v>
      </c>
      <c r="B22" s="94">
        <f>365/7</f>
        <v>52.142857142857146</v>
      </c>
      <c r="C22" s="95" t="s">
        <v>340</v>
      </c>
      <c r="E22" s="88" t="s">
        <v>286</v>
      </c>
      <c r="F22" s="89">
        <v>92833</v>
      </c>
      <c r="G22" s="89">
        <v>93945</v>
      </c>
      <c r="H22" s="96">
        <v>2.3410000000000002</v>
      </c>
      <c r="I22" s="96">
        <v>1.9650000000000001</v>
      </c>
      <c r="J22" s="96">
        <f t="shared" si="0"/>
        <v>11.33179276357143</v>
      </c>
      <c r="K22" s="96">
        <f t="shared" si="1"/>
        <v>9.6256718035714304</v>
      </c>
      <c r="L22" s="89">
        <f t="shared" si="2"/>
        <v>708.23704772321435</v>
      </c>
      <c r="M22" s="89">
        <f t="shared" si="3"/>
        <v>601.60448772321445</v>
      </c>
      <c r="O22" s="4" t="s">
        <v>310</v>
      </c>
      <c r="P22" s="44">
        <v>499631.62</v>
      </c>
      <c r="Q22" s="44">
        <v>659387.54</v>
      </c>
      <c r="R22" s="44">
        <v>668670.98</v>
      </c>
    </row>
    <row r="23" spans="1:18" x14ac:dyDescent="0.35">
      <c r="A23" s="4" t="s">
        <v>342</v>
      </c>
      <c r="B23" s="94">
        <v>16</v>
      </c>
      <c r="C23" s="95" t="s">
        <v>23</v>
      </c>
      <c r="E23" s="88" t="s">
        <v>287</v>
      </c>
      <c r="F23" s="89">
        <v>293877</v>
      </c>
      <c r="G23" s="89">
        <v>297389</v>
      </c>
      <c r="H23" s="96">
        <v>2.3450000000000002</v>
      </c>
      <c r="I23" s="96">
        <v>2.3450000000000002</v>
      </c>
      <c r="J23" s="96">
        <f t="shared" si="0"/>
        <v>35.933810175000005</v>
      </c>
      <c r="K23" s="96">
        <f t="shared" si="1"/>
        <v>36.363239975000006</v>
      </c>
      <c r="L23" s="89">
        <f t="shared" si="2"/>
        <v>2245.8631359375004</v>
      </c>
      <c r="M23" s="89">
        <f t="shared" si="3"/>
        <v>2272.7024984375007</v>
      </c>
      <c r="O23" s="4" t="s">
        <v>311</v>
      </c>
      <c r="P23" s="44">
        <v>62845.279999999999</v>
      </c>
      <c r="Q23" s="44">
        <v>107288.18</v>
      </c>
      <c r="R23" s="44">
        <v>87049.65</v>
      </c>
    </row>
    <row r="24" spans="1:18" x14ac:dyDescent="0.35">
      <c r="E24" s="88" t="s">
        <v>288</v>
      </c>
      <c r="F24" s="89">
        <v>164637</v>
      </c>
      <c r="G24" s="89">
        <v>166795</v>
      </c>
      <c r="H24" s="96">
        <v>2.044</v>
      </c>
      <c r="I24" s="96">
        <v>2.1440000000000001</v>
      </c>
      <c r="J24" s="96">
        <f t="shared" si="0"/>
        <v>17.54701146</v>
      </c>
      <c r="K24" s="96">
        <f t="shared" si="1"/>
        <v>18.646727885714288</v>
      </c>
      <c r="L24" s="89">
        <f t="shared" si="2"/>
        <v>1096.6882162500001</v>
      </c>
      <c r="M24" s="89">
        <f t="shared" si="3"/>
        <v>1165.420492857143</v>
      </c>
      <c r="O24" s="4" t="s">
        <v>312</v>
      </c>
      <c r="P24" s="44">
        <v>1632492.46</v>
      </c>
      <c r="Q24" s="44">
        <v>1622995.39</v>
      </c>
      <c r="R24" s="44">
        <v>1674356.27</v>
      </c>
    </row>
    <row r="25" spans="1:18" x14ac:dyDescent="0.35">
      <c r="A25" s="11" t="s">
        <v>345</v>
      </c>
      <c r="E25" s="98" t="s">
        <v>289</v>
      </c>
      <c r="F25" s="89">
        <v>92897</v>
      </c>
      <c r="G25" s="89">
        <v>94382</v>
      </c>
      <c r="H25" s="96">
        <v>2.0710000000000002</v>
      </c>
      <c r="I25" s="96">
        <v>1.93</v>
      </c>
      <c r="J25" s="96">
        <f t="shared" si="0"/>
        <v>10.031747965000001</v>
      </c>
      <c r="K25" s="99">
        <f t="shared" si="1"/>
        <v>9.4981999857142849</v>
      </c>
      <c r="L25" s="89">
        <f t="shared" si="2"/>
        <v>626.98424781250014</v>
      </c>
      <c r="M25" s="100">
        <f t="shared" si="3"/>
        <v>593.63749910714284</v>
      </c>
      <c r="O25" s="4" t="s">
        <v>313</v>
      </c>
      <c r="P25" s="44">
        <v>204375.87</v>
      </c>
      <c r="Q25" s="44">
        <v>244612.91</v>
      </c>
      <c r="R25" s="44">
        <v>258022.48</v>
      </c>
    </row>
    <row r="26" spans="1:18" x14ac:dyDescent="0.35">
      <c r="A26" s="4" t="s">
        <v>349</v>
      </c>
      <c r="B26" s="85">
        <f>M33</f>
        <v>35472.305305848226</v>
      </c>
      <c r="C26" s="4" t="s">
        <v>346</v>
      </c>
      <c r="E26" s="88" t="s">
        <v>290</v>
      </c>
      <c r="F26" s="89">
        <v>146032</v>
      </c>
      <c r="G26" s="89">
        <v>148157</v>
      </c>
      <c r="H26" s="96">
        <v>2.637</v>
      </c>
      <c r="I26" s="96">
        <v>2.2930000000000001</v>
      </c>
      <c r="J26" s="96">
        <f t="shared" si="0"/>
        <v>20.079504308571433</v>
      </c>
      <c r="K26" s="96">
        <f t="shared" si="1"/>
        <v>17.714180052142861</v>
      </c>
      <c r="L26" s="89">
        <f t="shared" si="2"/>
        <v>1254.9690192857145</v>
      </c>
      <c r="M26" s="89">
        <f t="shared" si="3"/>
        <v>1107.1362532589289</v>
      </c>
      <c r="O26" s="4" t="s">
        <v>314</v>
      </c>
      <c r="P26" s="44">
        <v>186310.54</v>
      </c>
      <c r="Q26" s="44">
        <v>193926.71</v>
      </c>
      <c r="R26" s="44">
        <v>189504.12</v>
      </c>
    </row>
    <row r="27" spans="1:18" x14ac:dyDescent="0.35">
      <c r="B27" s="85">
        <f>K33</f>
        <v>567.55688489357146</v>
      </c>
      <c r="C27" s="4" t="s">
        <v>58</v>
      </c>
      <c r="E27" s="98" t="s">
        <v>291</v>
      </c>
      <c r="F27" s="89">
        <v>158579</v>
      </c>
      <c r="G27" s="89">
        <v>160866</v>
      </c>
      <c r="H27" s="96">
        <v>2.347</v>
      </c>
      <c r="I27" s="96">
        <v>2.0739999999999998</v>
      </c>
      <c r="J27" s="96">
        <f t="shared" si="0"/>
        <v>19.406784749285716</v>
      </c>
      <c r="K27" s="99">
        <f t="shared" si="1"/>
        <v>17.396738665714285</v>
      </c>
      <c r="L27" s="89">
        <f t="shared" si="2"/>
        <v>1212.9240468303574</v>
      </c>
      <c r="M27" s="100">
        <f t="shared" si="3"/>
        <v>1087.2961666071428</v>
      </c>
      <c r="O27" s="4" t="s">
        <v>315</v>
      </c>
      <c r="P27" s="44">
        <v>33946.61</v>
      </c>
      <c r="Q27" s="44">
        <v>42451.199999999997</v>
      </c>
      <c r="R27" s="44">
        <v>34952.06</v>
      </c>
    </row>
    <row r="28" spans="1:18" x14ac:dyDescent="0.35">
      <c r="A28" s="4" t="s">
        <v>348</v>
      </c>
      <c r="B28" s="85">
        <f>R10</f>
        <v>8173.91</v>
      </c>
      <c r="C28" s="4" t="s">
        <v>346</v>
      </c>
      <c r="E28" s="98" t="s">
        <v>292</v>
      </c>
      <c r="F28" s="89">
        <v>268156</v>
      </c>
      <c r="G28" s="89">
        <v>272202</v>
      </c>
      <c r="H28" s="96">
        <v>2.4750000000000001</v>
      </c>
      <c r="I28" s="96">
        <v>2.766</v>
      </c>
      <c r="J28" s="96">
        <f t="shared" si="0"/>
        <v>34.606489500000002</v>
      </c>
      <c r="K28" s="99">
        <f t="shared" si="1"/>
        <v>39.258916740000004</v>
      </c>
      <c r="L28" s="89">
        <f t="shared" si="2"/>
        <v>2162.9055937500002</v>
      </c>
      <c r="M28" s="100">
        <f t="shared" si="3"/>
        <v>2453.68229625</v>
      </c>
      <c r="O28" s="4" t="s">
        <v>316</v>
      </c>
      <c r="P28" s="44">
        <v>9186.98</v>
      </c>
      <c r="Q28" s="44">
        <v>3885.97</v>
      </c>
      <c r="R28" s="44">
        <v>3343.87</v>
      </c>
    </row>
    <row r="29" spans="1:18" x14ac:dyDescent="0.35">
      <c r="B29" s="85">
        <f>B28*1000*16/10^6</f>
        <v>130.78255999999999</v>
      </c>
      <c r="C29" s="4" t="s">
        <v>58</v>
      </c>
      <c r="E29" s="98" t="s">
        <v>293</v>
      </c>
      <c r="F29" s="89">
        <v>34333</v>
      </c>
      <c r="G29" s="89">
        <v>34589</v>
      </c>
      <c r="H29" s="96">
        <v>2.5950000000000002</v>
      </c>
      <c r="I29" s="96">
        <v>2.6419999999999999</v>
      </c>
      <c r="J29" s="96">
        <f t="shared" si="0"/>
        <v>4.6456227535714296</v>
      </c>
      <c r="K29" s="99">
        <f t="shared" si="1"/>
        <v>4.765030052857143</v>
      </c>
      <c r="L29" s="89">
        <f t="shared" si="2"/>
        <v>290.35142209821436</v>
      </c>
      <c r="M29" s="100">
        <f t="shared" si="3"/>
        <v>297.8143783035714</v>
      </c>
      <c r="O29" s="4" t="s">
        <v>317</v>
      </c>
      <c r="P29" s="44">
        <v>115402.45</v>
      </c>
      <c r="Q29" s="44">
        <v>70496.3</v>
      </c>
      <c r="R29" s="44">
        <v>79556.479999999996</v>
      </c>
    </row>
    <row r="30" spans="1:18" x14ac:dyDescent="0.35">
      <c r="B30" s="85">
        <f>B28/B26*100</f>
        <v>23.043075237211575</v>
      </c>
      <c r="C30" s="4" t="s">
        <v>350</v>
      </c>
      <c r="E30" s="88" t="s">
        <v>294</v>
      </c>
      <c r="F30" s="89">
        <v>176279</v>
      </c>
      <c r="G30" s="89">
        <v>178667</v>
      </c>
      <c r="H30" s="96">
        <v>2.6509999999999998</v>
      </c>
      <c r="I30" s="96">
        <v>2.6429999999999998</v>
      </c>
      <c r="J30" s="96">
        <f t="shared" si="0"/>
        <v>24.367172083571425</v>
      </c>
      <c r="K30" s="96">
        <f t="shared" si="1"/>
        <v>24.62273736642857</v>
      </c>
      <c r="L30" s="89">
        <f t="shared" si="2"/>
        <v>1522.9482552232141</v>
      </c>
      <c r="M30" s="89">
        <f t="shared" si="3"/>
        <v>1538.9210854017856</v>
      </c>
      <c r="O30" s="4" t="s">
        <v>318</v>
      </c>
      <c r="P30" s="44">
        <v>7390.76</v>
      </c>
      <c r="Q30" s="44">
        <v>7338.04</v>
      </c>
      <c r="R30" s="44">
        <v>3706.35</v>
      </c>
    </row>
    <row r="31" spans="1:18" x14ac:dyDescent="0.35">
      <c r="A31" s="4" t="s">
        <v>347</v>
      </c>
      <c r="B31" s="85">
        <f>B26-B28</f>
        <v>27298.395305848226</v>
      </c>
      <c r="C31" s="4" t="s">
        <v>346</v>
      </c>
      <c r="E31" s="88" t="s">
        <v>295</v>
      </c>
      <c r="F31" s="89">
        <v>204283</v>
      </c>
      <c r="G31" s="89">
        <v>207242</v>
      </c>
      <c r="H31" s="96">
        <v>1.855</v>
      </c>
      <c r="I31" s="96">
        <v>2.1030000000000002</v>
      </c>
      <c r="J31" s="96">
        <f t="shared" si="0"/>
        <v>19.759273175000001</v>
      </c>
      <c r="K31" s="96">
        <f t="shared" si="1"/>
        <v>22.725417570000005</v>
      </c>
      <c r="L31" s="89">
        <f t="shared" si="2"/>
        <v>1234.9545734375001</v>
      </c>
      <c r="M31" s="89">
        <f t="shared" si="3"/>
        <v>1420.3385981250003</v>
      </c>
      <c r="O31" s="4" t="s">
        <v>319</v>
      </c>
      <c r="P31" s="44">
        <v>86776.77</v>
      </c>
      <c r="Q31" s="44">
        <v>87548.47</v>
      </c>
      <c r="R31" s="44">
        <v>96615.75</v>
      </c>
    </row>
    <row r="32" spans="1:18" x14ac:dyDescent="0.35">
      <c r="B32" s="85">
        <f>B27-B29</f>
        <v>436.77432489357147</v>
      </c>
      <c r="C32" s="4" t="s">
        <v>58</v>
      </c>
      <c r="E32" s="88" t="s">
        <v>296</v>
      </c>
      <c r="F32" s="89">
        <v>79991</v>
      </c>
      <c r="G32" s="89">
        <v>81094</v>
      </c>
      <c r="H32" s="96">
        <v>1.901</v>
      </c>
      <c r="I32" s="96">
        <v>2.024</v>
      </c>
      <c r="J32" s="96">
        <f t="shared" si="0"/>
        <v>7.9289936021428575</v>
      </c>
      <c r="K32" s="96">
        <f t="shared" si="1"/>
        <v>8.5584290628571438</v>
      </c>
      <c r="L32" s="89">
        <f t="shared" si="2"/>
        <v>495.5621001339286</v>
      </c>
      <c r="M32" s="89">
        <f t="shared" si="3"/>
        <v>534.90181642857146</v>
      </c>
      <c r="O32" s="4" t="s">
        <v>320</v>
      </c>
      <c r="P32" s="44">
        <v>33346.33</v>
      </c>
      <c r="Q32" s="44">
        <v>26867.21</v>
      </c>
      <c r="R32" s="44">
        <v>27303.200000000001</v>
      </c>
    </row>
    <row r="33" spans="1:18" x14ac:dyDescent="0.35">
      <c r="E33" s="90" t="s">
        <v>270</v>
      </c>
      <c r="F33" s="91">
        <f>SUM(F10:F32)</f>
        <v>5316320</v>
      </c>
      <c r="G33" s="91">
        <f t="shared" ref="G33" si="4">SUM(G10:G32)</f>
        <v>5388093</v>
      </c>
      <c r="H33" s="97">
        <f t="shared" ref="H33" si="5">SUM(H10:H32)</f>
        <v>48.643000000000001</v>
      </c>
      <c r="I33" s="97">
        <f t="shared" ref="I33" si="6">SUM(I10:I32)</f>
        <v>46.972999999999999</v>
      </c>
      <c r="J33" s="97">
        <f t="shared" ref="J33" si="7">SUM(J10:J32)</f>
        <v>575.67406081571426</v>
      </c>
      <c r="K33" s="97">
        <f t="shared" ref="K33" si="8">SUM(K10:K32)</f>
        <v>567.55688489357146</v>
      </c>
      <c r="L33" s="91">
        <f t="shared" ref="L33" si="9">SUM(L10:L32)</f>
        <v>35979.628800982151</v>
      </c>
      <c r="M33" s="91">
        <f t="shared" ref="M33" si="10">SUM(M10:M32)</f>
        <v>35472.305305848226</v>
      </c>
      <c r="O33" s="4" t="s">
        <v>321</v>
      </c>
      <c r="P33" s="44">
        <v>607.05999999999995</v>
      </c>
      <c r="Q33" s="44">
        <v>1405.4</v>
      </c>
      <c r="R33" s="44">
        <v>1087.44</v>
      </c>
    </row>
    <row r="34" spans="1:18" x14ac:dyDescent="0.35">
      <c r="A34" s="11" t="s">
        <v>351</v>
      </c>
      <c r="O34" s="4" t="s">
        <v>322</v>
      </c>
      <c r="P34" s="44">
        <v>26587.86</v>
      </c>
      <c r="Q34" s="44">
        <v>32996.22</v>
      </c>
      <c r="R34" s="44">
        <v>28608.67</v>
      </c>
    </row>
    <row r="35" spans="1:18" x14ac:dyDescent="0.35">
      <c r="A35" s="4" t="s">
        <v>352</v>
      </c>
      <c r="B35" s="320">
        <f>Revenue!J11/10^6</f>
        <v>3.1648049999999999</v>
      </c>
      <c r="C35" s="4" t="s">
        <v>353</v>
      </c>
      <c r="O35" s="4" t="s">
        <v>323</v>
      </c>
      <c r="P35" s="44">
        <v>13834.73</v>
      </c>
      <c r="Q35" s="44">
        <v>19360.75</v>
      </c>
      <c r="R35" s="44">
        <v>19845.740000000002</v>
      </c>
    </row>
    <row r="36" spans="1:18" x14ac:dyDescent="0.35">
      <c r="B36" s="320">
        <f>B35*10^6/B23/1000</f>
        <v>197.80031249999999</v>
      </c>
      <c r="C36" s="4" t="s">
        <v>273</v>
      </c>
      <c r="O36" s="4" t="s">
        <v>324</v>
      </c>
      <c r="P36" s="44">
        <v>194650.44</v>
      </c>
      <c r="Q36" s="44">
        <v>180414.43</v>
      </c>
      <c r="R36" s="44">
        <v>174388.74</v>
      </c>
    </row>
    <row r="37" spans="1:18" x14ac:dyDescent="0.35">
      <c r="A37" s="4" t="s">
        <v>642</v>
      </c>
      <c r="O37" s="4" t="s">
        <v>325</v>
      </c>
      <c r="P37" s="44">
        <v>2831.72</v>
      </c>
      <c r="Q37" s="44">
        <v>3014.32</v>
      </c>
      <c r="R37" s="44">
        <v>2745.78</v>
      </c>
    </row>
    <row r="38" spans="1:18" x14ac:dyDescent="0.35">
      <c r="A38" s="4" t="s">
        <v>637</v>
      </c>
      <c r="B38" s="320">
        <f>M25</f>
        <v>593.63749910714284</v>
      </c>
      <c r="C38" s="4" t="s">
        <v>346</v>
      </c>
      <c r="O38" s="4" t="s">
        <v>326</v>
      </c>
      <c r="P38" s="44">
        <v>3819.14</v>
      </c>
      <c r="Q38" s="44">
        <v>4177.8100000000004</v>
      </c>
      <c r="R38" s="44">
        <v>6089.65</v>
      </c>
    </row>
    <row r="39" spans="1:18" x14ac:dyDescent="0.35">
      <c r="A39" s="4" t="s">
        <v>638</v>
      </c>
      <c r="B39" s="320">
        <f>B36</f>
        <v>197.80031249999999</v>
      </c>
      <c r="C39" s="4" t="s">
        <v>346</v>
      </c>
      <c r="O39" s="4" t="s">
        <v>327</v>
      </c>
      <c r="P39" s="44">
        <v>2482.08</v>
      </c>
      <c r="Q39" s="44">
        <v>948.45100000000002</v>
      </c>
      <c r="R39" s="44">
        <v>449.92</v>
      </c>
    </row>
    <row r="40" spans="1:18" x14ac:dyDescent="0.35">
      <c r="B40" s="319">
        <f>B39/B36*100</f>
        <v>100</v>
      </c>
      <c r="C40" s="4" t="s">
        <v>639</v>
      </c>
      <c r="O40" s="4" t="s">
        <v>328</v>
      </c>
      <c r="P40" s="44">
        <v>619.19000000000005</v>
      </c>
      <c r="Q40" s="44">
        <v>1048.29</v>
      </c>
      <c r="R40" s="44">
        <v>1350.23</v>
      </c>
    </row>
    <row r="41" spans="1:18" x14ac:dyDescent="0.35">
      <c r="A41" s="4" t="s">
        <v>640</v>
      </c>
      <c r="B41" s="319">
        <f>100*B39/B38</f>
        <v>33.320050164873422</v>
      </c>
      <c r="C41" s="4" t="s">
        <v>641</v>
      </c>
      <c r="O41" s="4" t="s">
        <v>329</v>
      </c>
      <c r="P41" s="44">
        <v>88.4</v>
      </c>
      <c r="Q41" s="44">
        <v>159.63</v>
      </c>
      <c r="R41" s="44">
        <v>103.55</v>
      </c>
    </row>
    <row r="42" spans="1:18" x14ac:dyDescent="0.35">
      <c r="O42" s="4" t="s">
        <v>330</v>
      </c>
      <c r="P42" s="44">
        <v>8225.65</v>
      </c>
      <c r="Q42" s="44">
        <v>6160.84</v>
      </c>
      <c r="R42" s="44">
        <v>3303.75</v>
      </c>
    </row>
    <row r="43" spans="1:18" x14ac:dyDescent="0.35">
      <c r="A43" s="17"/>
      <c r="B43" s="17"/>
      <c r="C43" s="17"/>
      <c r="O43" s="4" t="s">
        <v>331</v>
      </c>
      <c r="P43" s="44">
        <v>12214.19</v>
      </c>
      <c r="Q43" s="44">
        <v>14848.88</v>
      </c>
      <c r="R43" s="44">
        <v>9632.8799999999992</v>
      </c>
    </row>
    <row r="44" spans="1:18" x14ac:dyDescent="0.35">
      <c r="O44" s="4" t="s">
        <v>271</v>
      </c>
      <c r="P44" s="44">
        <v>4753382.2300000004</v>
      </c>
      <c r="Q44" s="44">
        <v>5141570</v>
      </c>
      <c r="R44" s="44">
        <v>5155998</v>
      </c>
    </row>
  </sheetData>
  <mergeCells count="6">
    <mergeCell ref="A8:C8"/>
    <mergeCell ref="F8:G8"/>
    <mergeCell ref="O8:R8"/>
    <mergeCell ref="H8:I8"/>
    <mergeCell ref="J8:K8"/>
    <mergeCell ref="L8:M8"/>
  </mergeCells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1"/>
  <sheetViews>
    <sheetView showGridLines="0" zoomScale="90" zoomScaleNormal="90" workbookViewId="0">
      <pane ySplit="8" topLeftCell="A9" activePane="bottomLeft" state="frozen"/>
      <selection pane="bottomLeft" activeCell="A3" sqref="A3:XFD4"/>
    </sheetView>
  </sheetViews>
  <sheetFormatPr defaultColWidth="8.81640625" defaultRowHeight="10.5" x14ac:dyDescent="0.35"/>
  <cols>
    <col min="1" max="1" width="10" style="4" customWidth="1"/>
    <col min="2" max="5" width="10.1796875" style="4" customWidth="1"/>
    <col min="6" max="6" width="8.81640625" style="4"/>
    <col min="7" max="7" width="10.453125" style="4" customWidth="1"/>
    <col min="8" max="11" width="10.1796875" style="4" customWidth="1"/>
    <col min="12" max="16384" width="8.81640625" style="4"/>
  </cols>
  <sheetData>
    <row r="1" spans="1:11" x14ac:dyDescent="0.35">
      <c r="A1" s="18" t="str">
        <f>Revenue!A1</f>
        <v>Peternakan Ayam Petelur</v>
      </c>
    </row>
    <row r="2" spans="1:11" x14ac:dyDescent="0.35">
      <c r="A2" s="18" t="str">
        <f>Revenue!A2</f>
        <v>Financial Pre-Feasibility Study</v>
      </c>
    </row>
    <row r="3" spans="1:11" x14ac:dyDescent="0.35">
      <c r="A3" s="10" t="s">
        <v>429</v>
      </c>
    </row>
    <row r="4" spans="1:11" x14ac:dyDescent="0.35">
      <c r="A4" s="10" t="str">
        <f>Asumsi!A4</f>
        <v>Case-3: pakan diproduksi, Jumlah peliharaan di naikkan dari 3.000 menjadi 12.000 ekor</v>
      </c>
    </row>
    <row r="5" spans="1:11" x14ac:dyDescent="0.35">
      <c r="A5" s="124"/>
    </row>
    <row r="6" spans="1:11" x14ac:dyDescent="0.35">
      <c r="A6" s="124"/>
    </row>
    <row r="7" spans="1:11" x14ac:dyDescent="0.35">
      <c r="A7" s="368" t="s">
        <v>910</v>
      </c>
      <c r="E7" s="71"/>
      <c r="K7" s="71" t="s">
        <v>430</v>
      </c>
    </row>
    <row r="8" spans="1:11" ht="31.5" x14ac:dyDescent="0.35">
      <c r="A8" s="24" t="s">
        <v>61</v>
      </c>
      <c r="B8" s="25" t="s">
        <v>128</v>
      </c>
      <c r="C8" s="25" t="s">
        <v>112</v>
      </c>
      <c r="D8" s="25" t="s">
        <v>431</v>
      </c>
      <c r="E8" s="25" t="s">
        <v>432</v>
      </c>
      <c r="G8" s="24" t="s">
        <v>61</v>
      </c>
      <c r="H8" s="24" t="s">
        <v>128</v>
      </c>
      <c r="I8" s="24" t="s">
        <v>112</v>
      </c>
      <c r="J8" s="24" t="s">
        <v>431</v>
      </c>
      <c r="K8" s="24" t="s">
        <v>29</v>
      </c>
    </row>
    <row r="9" spans="1:11" x14ac:dyDescent="0.35">
      <c r="A9" s="137">
        <v>1</v>
      </c>
      <c r="B9" s="256">
        <f>COGS!J9/10^3</f>
        <v>1170.4728911400002</v>
      </c>
      <c r="C9" s="256">
        <f>'SG&amp;A'!K10/10^3</f>
        <v>26</v>
      </c>
      <c r="D9" s="256">
        <f>'SG&amp;A'!Q10/10^3</f>
        <v>59</v>
      </c>
      <c r="E9" s="256">
        <f t="shared" ref="E9:E18" si="0">SUM(B9:D9)</f>
        <v>1255.4728911400002</v>
      </c>
      <c r="G9" s="137">
        <v>1</v>
      </c>
      <c r="H9" s="138">
        <f>B9/E9*100</f>
        <v>93.229642742598926</v>
      </c>
      <c r="I9" s="138">
        <f t="shared" ref="I9:I18" si="1">C9/E9*100</f>
        <v>2.0709328081462086</v>
      </c>
      <c r="J9" s="138">
        <f>D9/E9*100</f>
        <v>4.6994244492548587</v>
      </c>
      <c r="K9" s="138">
        <f>SUM(H9:J9)</f>
        <v>100</v>
      </c>
    </row>
    <row r="10" spans="1:11" x14ac:dyDescent="0.35">
      <c r="A10" s="132">
        <v>2</v>
      </c>
      <c r="B10" s="256">
        <f>COGS!J10/10^3</f>
        <v>4772.5013241211109</v>
      </c>
      <c r="C10" s="256">
        <f>'SG&amp;A'!K11/10^3</f>
        <v>52</v>
      </c>
      <c r="D10" s="256">
        <f>'SG&amp;A'!Q11/10^3</f>
        <v>75.3</v>
      </c>
      <c r="E10" s="257">
        <f t="shared" si="0"/>
        <v>4899.8013241211111</v>
      </c>
      <c r="G10" s="132">
        <v>2</v>
      </c>
      <c r="H10" s="133">
        <f t="shared" ref="H10:H18" si="2">B10/E10*100</f>
        <v>97.401935474948374</v>
      </c>
      <c r="I10" s="133">
        <f t="shared" si="1"/>
        <v>1.0612675200525068</v>
      </c>
      <c r="J10" s="133">
        <f t="shared" ref="J10:J18" si="3">D10/E10*100</f>
        <v>1.5367970049991104</v>
      </c>
      <c r="K10" s="133">
        <f t="shared" ref="K10:K18" si="4">SUM(H10:J10)</f>
        <v>100</v>
      </c>
    </row>
    <row r="11" spans="1:11" x14ac:dyDescent="0.35">
      <c r="A11" s="132">
        <v>3</v>
      </c>
      <c r="B11" s="256">
        <f>COGS!J11/10^3</f>
        <v>4833.1000658711109</v>
      </c>
      <c r="C11" s="256">
        <f>'SG&amp;A'!K12/10^3</f>
        <v>52.259999999999991</v>
      </c>
      <c r="D11" s="256">
        <f>'SG&amp;A'!Q12/10^3</f>
        <v>75.67649999999999</v>
      </c>
      <c r="E11" s="257">
        <f t="shared" si="0"/>
        <v>4961.0365658711107</v>
      </c>
      <c r="G11" s="132">
        <v>3</v>
      </c>
      <c r="H11" s="133">
        <f t="shared" si="2"/>
        <v>97.421174016734241</v>
      </c>
      <c r="I11" s="133">
        <f t="shared" si="1"/>
        <v>1.05340888554454</v>
      </c>
      <c r="J11" s="133">
        <f t="shared" si="3"/>
        <v>1.5254170977212282</v>
      </c>
      <c r="K11" s="133">
        <f t="shared" si="4"/>
        <v>100.00000000000001</v>
      </c>
    </row>
    <row r="12" spans="1:11" x14ac:dyDescent="0.35">
      <c r="A12" s="132">
        <v>4</v>
      </c>
      <c r="B12" s="256">
        <f>COGS!J12/10^3</f>
        <v>4206.9162033711118</v>
      </c>
      <c r="C12" s="256">
        <f>'SG&amp;A'!K13/10^3</f>
        <v>52.521299999999989</v>
      </c>
      <c r="D12" s="256">
        <f>'SG&amp;A'!Q13/10^3</f>
        <v>76.054882499999977</v>
      </c>
      <c r="E12" s="257">
        <f t="shared" si="0"/>
        <v>4335.4923858711118</v>
      </c>
      <c r="G12" s="132">
        <v>4</v>
      </c>
      <c r="H12" s="133">
        <f t="shared" si="2"/>
        <v>97.034334948459005</v>
      </c>
      <c r="I12" s="133">
        <f t="shared" si="1"/>
        <v>1.2114264153977312</v>
      </c>
      <c r="J12" s="133">
        <f t="shared" si="3"/>
        <v>1.7542386361432529</v>
      </c>
      <c r="K12" s="133">
        <f t="shared" si="4"/>
        <v>99.999999999999986</v>
      </c>
    </row>
    <row r="13" spans="1:11" x14ac:dyDescent="0.35">
      <c r="A13" s="132">
        <v>5</v>
      </c>
      <c r="B13" s="256">
        <f>COGS!J13/10^3</f>
        <v>5166.8770730586111</v>
      </c>
      <c r="C13" s="256">
        <f>'SG&amp;A'!K14/10^3</f>
        <v>52.783906499999986</v>
      </c>
      <c r="D13" s="256">
        <f>'SG&amp;A'!Q14/10^3</f>
        <v>76.435156912499963</v>
      </c>
      <c r="E13" s="257">
        <f t="shared" si="0"/>
        <v>5296.0961364711111</v>
      </c>
      <c r="G13" s="132">
        <v>5</v>
      </c>
      <c r="H13" s="133">
        <f t="shared" si="2"/>
        <v>97.560107292565107</v>
      </c>
      <c r="I13" s="133">
        <f t="shared" si="1"/>
        <v>0.99665687970632078</v>
      </c>
      <c r="J13" s="133">
        <f t="shared" si="3"/>
        <v>1.4432358277285757</v>
      </c>
      <c r="K13" s="133">
        <f t="shared" si="4"/>
        <v>100</v>
      </c>
    </row>
    <row r="14" spans="1:11" x14ac:dyDescent="0.35">
      <c r="A14" s="132">
        <v>6</v>
      </c>
      <c r="B14" s="256">
        <f>COGS!J14/10^3</f>
        <v>4838.5163698445485</v>
      </c>
      <c r="C14" s="256">
        <f>'SG&amp;A'!K15/10^3</f>
        <v>53.047826032499977</v>
      </c>
      <c r="D14" s="256">
        <f>'SG&amp;A'!Q15/10^3</f>
        <v>76.817332697062469</v>
      </c>
      <c r="E14" s="257">
        <f t="shared" si="0"/>
        <v>4968.3815285741111</v>
      </c>
      <c r="G14" s="132">
        <v>6</v>
      </c>
      <c r="H14" s="133">
        <f t="shared" si="2"/>
        <v>97.38616774934286</v>
      </c>
      <c r="I14" s="133">
        <f t="shared" si="1"/>
        <v>1.0677083820437661</v>
      </c>
      <c r="J14" s="133">
        <f t="shared" si="3"/>
        <v>1.5461238686133767</v>
      </c>
      <c r="K14" s="133">
        <f t="shared" si="4"/>
        <v>100</v>
      </c>
    </row>
    <row r="15" spans="1:11" x14ac:dyDescent="0.35">
      <c r="A15" s="132">
        <v>7</v>
      </c>
      <c r="B15" s="256">
        <f>COGS!J15/10^3</f>
        <v>4212.3595888644159</v>
      </c>
      <c r="C15" s="256">
        <f>'SG&amp;A'!K16/10^3</f>
        <v>53.313065162662475</v>
      </c>
      <c r="D15" s="256">
        <f>'SG&amp;A'!Q16/10^3</f>
        <v>77.20141936054776</v>
      </c>
      <c r="E15" s="257">
        <f t="shared" si="0"/>
        <v>4342.8740733876257</v>
      </c>
      <c r="G15" s="132">
        <v>7</v>
      </c>
      <c r="H15" s="133">
        <f t="shared" si="2"/>
        <v>96.994743980190918</v>
      </c>
      <c r="I15" s="133">
        <f t="shared" si="1"/>
        <v>1.2275986883744945</v>
      </c>
      <c r="J15" s="133">
        <f t="shared" si="3"/>
        <v>1.7776573314346042</v>
      </c>
      <c r="K15" s="133">
        <f t="shared" si="4"/>
        <v>100.00000000000003</v>
      </c>
    </row>
    <row r="16" spans="1:11" x14ac:dyDescent="0.35">
      <c r="A16" s="132">
        <v>8</v>
      </c>
      <c r="B16" s="256">
        <f>COGS!J16/10^3</f>
        <v>5172.3476754793819</v>
      </c>
      <c r="C16" s="256">
        <f>'SG&amp;A'!K17/10^3</f>
        <v>53.579630488475786</v>
      </c>
      <c r="D16" s="256">
        <f>'SG&amp;A'!Q17/10^3</f>
        <v>77.587426457350489</v>
      </c>
      <c r="E16" s="257">
        <f t="shared" si="0"/>
        <v>5303.5147324252084</v>
      </c>
      <c r="G16" s="132">
        <v>8</v>
      </c>
      <c r="H16" s="133">
        <f t="shared" si="2"/>
        <v>97.526789995625293</v>
      </c>
      <c r="I16" s="133">
        <f t="shared" si="1"/>
        <v>1.0102664589747397</v>
      </c>
      <c r="J16" s="133">
        <f t="shared" si="3"/>
        <v>1.4629435453999589</v>
      </c>
      <c r="K16" s="133">
        <f t="shared" si="4"/>
        <v>99.999999999999986</v>
      </c>
    </row>
    <row r="17" spans="1:11" x14ac:dyDescent="0.35">
      <c r="A17" s="132">
        <v>9</v>
      </c>
      <c r="B17" s="256">
        <f>COGS!J17/10^3</f>
        <v>4844.0143252774233</v>
      </c>
      <c r="C17" s="256">
        <f>'SG&amp;A'!K18/10^3</f>
        <v>53.847528640918156</v>
      </c>
      <c r="D17" s="256">
        <f>'SG&amp;A'!Q18/10^3</f>
        <v>77.97536358963724</v>
      </c>
      <c r="E17" s="257">
        <f t="shared" si="0"/>
        <v>4975.8372175079785</v>
      </c>
      <c r="G17" s="132">
        <v>9</v>
      </c>
      <c r="H17" s="133">
        <f t="shared" si="2"/>
        <v>97.35073945412195</v>
      </c>
      <c r="I17" s="133">
        <f t="shared" si="1"/>
        <v>1.0821802701151531</v>
      </c>
      <c r="J17" s="133">
        <f t="shared" si="3"/>
        <v>1.5670802757629041</v>
      </c>
      <c r="K17" s="133">
        <f t="shared" si="4"/>
        <v>100.00000000000001</v>
      </c>
    </row>
    <row r="18" spans="1:11" x14ac:dyDescent="0.35">
      <c r="A18" s="139">
        <v>10</v>
      </c>
      <c r="B18" s="256">
        <f>COGS!J18/10^3</f>
        <v>4217.8850340744557</v>
      </c>
      <c r="C18" s="256">
        <f>'SG&amp;A'!K19/10^3</f>
        <v>54.11676628412274</v>
      </c>
      <c r="D18" s="256">
        <f>'SG&amp;A'!Q19/10^3</f>
        <v>78.365240407585432</v>
      </c>
      <c r="E18" s="258">
        <f t="shared" si="0"/>
        <v>4350.3670407661639</v>
      </c>
      <c r="G18" s="139">
        <v>10</v>
      </c>
      <c r="H18" s="140">
        <f t="shared" si="2"/>
        <v>96.95469358216782</v>
      </c>
      <c r="I18" s="140">
        <f t="shared" si="1"/>
        <v>1.2439586310076489</v>
      </c>
      <c r="J18" s="140">
        <f t="shared" si="3"/>
        <v>1.8013477868245378</v>
      </c>
      <c r="K18" s="140">
        <f t="shared" si="4"/>
        <v>100</v>
      </c>
    </row>
    <row r="19" spans="1:11" x14ac:dyDescent="0.35">
      <c r="A19" s="17"/>
      <c r="B19" s="259"/>
      <c r="C19" s="259"/>
      <c r="D19" s="259"/>
      <c r="E19" s="259"/>
      <c r="G19" s="17"/>
      <c r="H19" s="17"/>
      <c r="I19" s="17"/>
      <c r="J19" s="17"/>
      <c r="K19" s="17"/>
    </row>
    <row r="20" spans="1:11" x14ac:dyDescent="0.35">
      <c r="A20" s="4" t="s">
        <v>426</v>
      </c>
      <c r="B20" s="260">
        <f>AVERAGE(B9:B18)</f>
        <v>4343.4990551102173</v>
      </c>
      <c r="C20" s="260">
        <f t="shared" ref="C20:E20" si="5">AVERAGE(C9:C18)</f>
        <v>50.347002310867914</v>
      </c>
      <c r="D20" s="260">
        <f t="shared" si="5"/>
        <v>75.041332192468332</v>
      </c>
      <c r="E20" s="260">
        <f t="shared" si="5"/>
        <v>4468.8873896135538</v>
      </c>
      <c r="G20" s="4" t="s">
        <v>426</v>
      </c>
      <c r="H20" s="131">
        <f t="shared" ref="H20:K20" si="6">AVERAGE(H9:H18)</f>
        <v>96.886032923675458</v>
      </c>
      <c r="I20" s="131">
        <f t="shared" si="6"/>
        <v>1.2025404939363109</v>
      </c>
      <c r="J20" s="131">
        <f t="shared" si="6"/>
        <v>1.9114265823882406</v>
      </c>
      <c r="K20" s="131">
        <f t="shared" si="6"/>
        <v>100</v>
      </c>
    </row>
    <row r="21" spans="1:11" x14ac:dyDescent="0.35">
      <c r="A21" s="17"/>
      <c r="B21" s="17"/>
      <c r="C21" s="17"/>
      <c r="D21" s="17"/>
      <c r="E21" s="17"/>
      <c r="G21" s="17"/>
      <c r="H21" s="17"/>
      <c r="I21" s="17"/>
      <c r="J21" s="17"/>
      <c r="K21" s="17"/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2"/>
  <sheetViews>
    <sheetView showGridLines="0" zoomScale="90" zoomScaleNormal="90" workbookViewId="0">
      <pane ySplit="8" topLeftCell="A9" activePane="bottomLeft" state="frozen"/>
      <selection pane="bottomLeft" activeCell="G9" sqref="G9"/>
    </sheetView>
  </sheetViews>
  <sheetFormatPr defaultColWidth="12.1796875" defaultRowHeight="10.5" x14ac:dyDescent="0.5"/>
  <cols>
    <col min="1" max="1" width="19" style="20" bestFit="1" customWidth="1"/>
    <col min="2" max="2" width="12.1796875" style="20"/>
    <col min="3" max="3" width="7.81640625" style="20" customWidth="1"/>
    <col min="4" max="4" width="12.1796875" style="20"/>
    <col min="5" max="5" width="10.453125" style="20" customWidth="1"/>
    <col min="6" max="6" width="10.81640625" style="20" customWidth="1"/>
    <col min="7" max="7" width="11.1796875" style="20" customWidth="1"/>
    <col min="8" max="8" width="11.08984375" style="20" customWidth="1"/>
    <col min="9" max="9" width="9.90625" style="20" customWidth="1"/>
    <col min="10" max="10" width="10.08984375" style="20" customWidth="1"/>
    <col min="11" max="11" width="12.1796875" style="20"/>
    <col min="12" max="13" width="10.453125" style="20" customWidth="1"/>
    <col min="14" max="14" width="9.54296875" style="20" customWidth="1"/>
    <col min="15" max="15" width="8.81640625" style="20" customWidth="1"/>
    <col min="16" max="16384" width="12.1796875" style="20"/>
  </cols>
  <sheetData>
    <row r="1" spans="1:15" x14ac:dyDescent="0.35">
      <c r="A1" s="18" t="str">
        <f>Revenue!A1</f>
        <v>Peternakan Ayam Petelur</v>
      </c>
    </row>
    <row r="2" spans="1:15" x14ac:dyDescent="0.35">
      <c r="A2" s="11" t="str">
        <f>[2]Assumption!A2</f>
        <v>Financial Pre-Feasibility Study</v>
      </c>
    </row>
    <row r="3" spans="1:15" x14ac:dyDescent="0.5">
      <c r="A3" s="529" t="s">
        <v>59</v>
      </c>
    </row>
    <row r="4" spans="1:15" x14ac:dyDescent="0.35">
      <c r="A4" s="10" t="str">
        <f>Asumsi!A4</f>
        <v>Case-3: pakan diproduksi, Jumlah peliharaan di naikkan dari 3.000 menjadi 12.000 ekor</v>
      </c>
      <c r="G4" s="21"/>
      <c r="H4" s="21"/>
      <c r="J4" s="21"/>
      <c r="M4" s="21"/>
      <c r="N4" s="21"/>
      <c r="O4" s="21"/>
    </row>
    <row r="5" spans="1:15" x14ac:dyDescent="0.35">
      <c r="A5" s="10"/>
      <c r="G5" s="21"/>
      <c r="H5" s="21"/>
      <c r="J5" s="21"/>
      <c r="M5" s="21"/>
      <c r="N5" s="21"/>
      <c r="O5" s="21"/>
    </row>
    <row r="6" spans="1:15" x14ac:dyDescent="0.35">
      <c r="A6" s="124"/>
      <c r="G6" s="21"/>
      <c r="H6" s="21"/>
      <c r="J6" s="21"/>
      <c r="M6" s="21"/>
      <c r="N6" s="21"/>
      <c r="O6" s="21"/>
    </row>
    <row r="7" spans="1:15" x14ac:dyDescent="0.5">
      <c r="E7" s="368" t="s">
        <v>910</v>
      </c>
      <c r="G7" s="22"/>
      <c r="J7" s="22"/>
      <c r="M7" s="22"/>
      <c r="O7" s="22" t="s">
        <v>435</v>
      </c>
    </row>
    <row r="8" spans="1:15" ht="32" customHeight="1" x14ac:dyDescent="0.5">
      <c r="A8" s="23" t="s">
        <v>1</v>
      </c>
      <c r="B8" s="23"/>
      <c r="C8" s="23"/>
      <c r="E8" s="24" t="s">
        <v>61</v>
      </c>
      <c r="F8" s="25" t="s">
        <v>62</v>
      </c>
      <c r="G8" s="25" t="s">
        <v>63</v>
      </c>
      <c r="H8" s="25" t="s">
        <v>64</v>
      </c>
      <c r="I8" s="25" t="s">
        <v>65</v>
      </c>
      <c r="J8" s="25" t="s">
        <v>66</v>
      </c>
      <c r="L8" s="24" t="s">
        <v>61</v>
      </c>
      <c r="M8" s="24" t="s">
        <v>63</v>
      </c>
      <c r="N8" s="24" t="s">
        <v>64</v>
      </c>
      <c r="O8" s="24" t="s">
        <v>29</v>
      </c>
    </row>
    <row r="9" spans="1:15" x14ac:dyDescent="0.5">
      <c r="A9" s="20" t="s">
        <v>70</v>
      </c>
      <c r="B9" s="32">
        <v>0</v>
      </c>
      <c r="C9" s="20" t="s">
        <v>24</v>
      </c>
      <c r="E9" s="26">
        <v>1</v>
      </c>
      <c r="F9" s="30">
        <f>B9</f>
        <v>0</v>
      </c>
      <c r="G9" s="30">
        <f>VariableCost!EW63</f>
        <v>994094.13625000021</v>
      </c>
      <c r="H9" s="21">
        <f>PlantOVH!P9</f>
        <v>176378.75488999998</v>
      </c>
      <c r="I9" s="21">
        <f>-1*B10</f>
        <v>0</v>
      </c>
      <c r="J9" s="21">
        <f>F9+G9+H9-I9</f>
        <v>1170472.8911400002</v>
      </c>
      <c r="L9" s="26">
        <v>1</v>
      </c>
      <c r="M9" s="141">
        <f>G9/J9*100</f>
        <v>84.930983346550377</v>
      </c>
      <c r="N9" s="142">
        <f>H9/J9*100</f>
        <v>15.06901665344963</v>
      </c>
      <c r="O9" s="142">
        <f>M9+N9</f>
        <v>100</v>
      </c>
    </row>
    <row r="10" spans="1:15" x14ac:dyDescent="0.5">
      <c r="A10" s="20" t="s">
        <v>71</v>
      </c>
      <c r="B10" s="32">
        <v>0</v>
      </c>
      <c r="C10" s="20" t="s">
        <v>24</v>
      </c>
      <c r="E10" s="26">
        <f t="shared" ref="E10:E18" si="0">E9+1</f>
        <v>2</v>
      </c>
      <c r="F10" s="30">
        <f>F9</f>
        <v>0</v>
      </c>
      <c r="G10" s="30">
        <f>VariableCost!EX63</f>
        <v>4101269.3422500002</v>
      </c>
      <c r="H10" s="21">
        <f>PlantOVH!P10</f>
        <v>671231.98187111109</v>
      </c>
      <c r="I10" s="21">
        <f>I9</f>
        <v>0</v>
      </c>
      <c r="J10" s="21">
        <f t="shared" ref="J10:J18" si="1">F10+G10+H10-I10</f>
        <v>4772501.3241211111</v>
      </c>
      <c r="K10" s="31"/>
      <c r="L10" s="26">
        <f t="shared" ref="L10:L18" si="2">L9+1</f>
        <v>2</v>
      </c>
      <c r="M10" s="141">
        <f t="shared" ref="M10:M18" si="3">G10/J10*100</f>
        <v>85.935425968797972</v>
      </c>
      <c r="N10" s="142">
        <f t="shared" ref="N10:N18" si="4">H10/J10*100</f>
        <v>14.064574031202035</v>
      </c>
      <c r="O10" s="142">
        <f t="shared" ref="O10:O18" si="5">M10+N10</f>
        <v>100</v>
      </c>
    </row>
    <row r="11" spans="1:15" x14ac:dyDescent="0.5">
      <c r="E11" s="26">
        <f t="shared" si="0"/>
        <v>3</v>
      </c>
      <c r="F11" s="30">
        <f t="shared" ref="F11:F18" si="6">F10</f>
        <v>0</v>
      </c>
      <c r="G11" s="30">
        <f>VariableCost!EY63</f>
        <v>4160080.5839999998</v>
      </c>
      <c r="H11" s="21">
        <f>PlantOVH!P11</f>
        <v>673019.48187111109</v>
      </c>
      <c r="I11" s="21">
        <f t="shared" ref="I11:I18" si="7">I10</f>
        <v>0</v>
      </c>
      <c r="J11" s="21">
        <f t="shared" si="1"/>
        <v>4833100.0658711111</v>
      </c>
      <c r="L11" s="26">
        <f t="shared" si="2"/>
        <v>3</v>
      </c>
      <c r="M11" s="141">
        <f t="shared" si="3"/>
        <v>86.074786933884695</v>
      </c>
      <c r="N11" s="142">
        <f t="shared" si="4"/>
        <v>13.925213066115299</v>
      </c>
      <c r="O11" s="142">
        <f t="shared" si="5"/>
        <v>100</v>
      </c>
    </row>
    <row r="12" spans="1:15" x14ac:dyDescent="0.5">
      <c r="E12" s="26">
        <f t="shared" si="0"/>
        <v>4</v>
      </c>
      <c r="F12" s="30">
        <f t="shared" si="6"/>
        <v>0</v>
      </c>
      <c r="G12" s="30">
        <f>VariableCost!EZ63</f>
        <v>3532100.2840000009</v>
      </c>
      <c r="H12" s="21">
        <f>PlantOVH!P12</f>
        <v>674815.91937111097</v>
      </c>
      <c r="I12" s="21">
        <f t="shared" si="7"/>
        <v>0</v>
      </c>
      <c r="J12" s="21">
        <f t="shared" si="1"/>
        <v>4206916.2033711122</v>
      </c>
      <c r="L12" s="26">
        <f t="shared" si="2"/>
        <v>4</v>
      </c>
      <c r="M12" s="141">
        <f t="shared" si="3"/>
        <v>83.959368650358101</v>
      </c>
      <c r="N12" s="142">
        <f t="shared" si="4"/>
        <v>16.040631349641892</v>
      </c>
      <c r="O12" s="142">
        <f t="shared" si="5"/>
        <v>100</v>
      </c>
    </row>
    <row r="13" spans="1:15" x14ac:dyDescent="0.5">
      <c r="E13" s="26">
        <f t="shared" si="0"/>
        <v>5</v>
      </c>
      <c r="F13" s="30">
        <f t="shared" si="6"/>
        <v>0</v>
      </c>
      <c r="G13" s="30">
        <f>VariableCost!FA63</f>
        <v>4490255.7340000002</v>
      </c>
      <c r="H13" s="21">
        <f>PlantOVH!P13</f>
        <v>676621.33905861084</v>
      </c>
      <c r="I13" s="21">
        <f t="shared" si="7"/>
        <v>0</v>
      </c>
      <c r="J13" s="21">
        <f t="shared" si="1"/>
        <v>5166877.0730586108</v>
      </c>
      <c r="L13" s="26">
        <f t="shared" si="2"/>
        <v>5</v>
      </c>
      <c r="M13" s="141">
        <f t="shared" si="3"/>
        <v>86.904636408195515</v>
      </c>
      <c r="N13" s="142">
        <f t="shared" si="4"/>
        <v>13.095363591804491</v>
      </c>
      <c r="O13" s="142">
        <f t="shared" si="5"/>
        <v>100</v>
      </c>
    </row>
    <row r="14" spans="1:15" x14ac:dyDescent="0.5">
      <c r="E14" s="26">
        <f t="shared" si="0"/>
        <v>6</v>
      </c>
      <c r="F14" s="30">
        <f t="shared" si="6"/>
        <v>0</v>
      </c>
      <c r="G14" s="30">
        <f>VariableCost!FB63</f>
        <v>4160080.5839999998</v>
      </c>
      <c r="H14" s="21">
        <f>PlantOVH!P14</f>
        <v>678435.78584454837</v>
      </c>
      <c r="I14" s="21">
        <f t="shared" si="7"/>
        <v>0</v>
      </c>
      <c r="J14" s="21">
        <f t="shared" si="1"/>
        <v>4838516.3698445484</v>
      </c>
      <c r="L14" s="26">
        <f t="shared" si="2"/>
        <v>6</v>
      </c>
      <c r="M14" s="141">
        <f t="shared" si="3"/>
        <v>85.978433594379979</v>
      </c>
      <c r="N14" s="142">
        <f t="shared" si="4"/>
        <v>14.021566405620018</v>
      </c>
      <c r="O14" s="142">
        <f t="shared" si="5"/>
        <v>100</v>
      </c>
    </row>
    <row r="15" spans="1:15" x14ac:dyDescent="0.5">
      <c r="E15" s="26">
        <f t="shared" si="0"/>
        <v>7</v>
      </c>
      <c r="F15" s="30">
        <f t="shared" si="6"/>
        <v>0</v>
      </c>
      <c r="G15" s="30">
        <f>VariableCost!FC63</f>
        <v>3532100.2840000009</v>
      </c>
      <c r="H15" s="21">
        <f>PlantOVH!P15</f>
        <v>680259.30486441543</v>
      </c>
      <c r="I15" s="21">
        <f t="shared" si="7"/>
        <v>0</v>
      </c>
      <c r="J15" s="21">
        <f t="shared" si="1"/>
        <v>4212359.5888644159</v>
      </c>
      <c r="L15" s="26">
        <f t="shared" si="2"/>
        <v>7</v>
      </c>
      <c r="M15" s="141">
        <f t="shared" si="3"/>
        <v>83.850872877455316</v>
      </c>
      <c r="N15" s="142">
        <f t="shared" si="4"/>
        <v>16.149127122544691</v>
      </c>
      <c r="O15" s="142">
        <f t="shared" si="5"/>
        <v>100</v>
      </c>
    </row>
    <row r="16" spans="1:15" x14ac:dyDescent="0.5">
      <c r="E16" s="26">
        <f t="shared" si="0"/>
        <v>8</v>
      </c>
      <c r="F16" s="30">
        <f t="shared" si="6"/>
        <v>0</v>
      </c>
      <c r="G16" s="30">
        <f>VariableCost!FD63</f>
        <v>4490255.7340000002</v>
      </c>
      <c r="H16" s="21">
        <f>PlantOVH!P16</f>
        <v>682091.94147938199</v>
      </c>
      <c r="I16" s="21">
        <f t="shared" si="7"/>
        <v>0</v>
      </c>
      <c r="J16" s="21">
        <f t="shared" si="1"/>
        <v>5172347.6754793823</v>
      </c>
      <c r="L16" s="26">
        <f t="shared" si="2"/>
        <v>8</v>
      </c>
      <c r="M16" s="141">
        <f t="shared" si="3"/>
        <v>86.812720561825643</v>
      </c>
      <c r="N16" s="142">
        <f t="shared" si="4"/>
        <v>13.187279438174359</v>
      </c>
      <c r="O16" s="142">
        <f t="shared" si="5"/>
        <v>100</v>
      </c>
    </row>
    <row r="17" spans="1:15" x14ac:dyDescent="0.5">
      <c r="E17" s="26">
        <f t="shared" si="0"/>
        <v>9</v>
      </c>
      <c r="F17" s="30">
        <f t="shared" si="6"/>
        <v>0</v>
      </c>
      <c r="G17" s="30">
        <f>VariableCost!FE63</f>
        <v>4160080.5839999998</v>
      </c>
      <c r="H17" s="21">
        <f>PlantOVH!P17</f>
        <v>683933.74127742322</v>
      </c>
      <c r="I17" s="21">
        <f t="shared" si="7"/>
        <v>0</v>
      </c>
      <c r="J17" s="21">
        <f t="shared" si="1"/>
        <v>4844014.3252774235</v>
      </c>
      <c r="L17" s="26">
        <f t="shared" si="2"/>
        <v>9</v>
      </c>
      <c r="M17" s="141">
        <f t="shared" si="3"/>
        <v>85.880848086916956</v>
      </c>
      <c r="N17" s="142">
        <f t="shared" si="4"/>
        <v>14.119151913083028</v>
      </c>
      <c r="O17" s="142">
        <f t="shared" si="5"/>
        <v>99.999999999999986</v>
      </c>
    </row>
    <row r="18" spans="1:15" x14ac:dyDescent="0.5">
      <c r="E18" s="26">
        <f t="shared" si="0"/>
        <v>10</v>
      </c>
      <c r="F18" s="30">
        <f t="shared" si="6"/>
        <v>0</v>
      </c>
      <c r="G18" s="30">
        <f>VariableCost!FF63</f>
        <v>3532100.2840000009</v>
      </c>
      <c r="H18" s="21">
        <f>PlantOVH!P18</f>
        <v>685784.75007445482</v>
      </c>
      <c r="I18" s="21">
        <f t="shared" si="7"/>
        <v>0</v>
      </c>
      <c r="J18" s="21">
        <f t="shared" si="1"/>
        <v>4217885.0340744555</v>
      </c>
      <c r="L18" s="26">
        <f t="shared" si="2"/>
        <v>10</v>
      </c>
      <c r="M18" s="141">
        <f t="shared" si="3"/>
        <v>83.741027919578215</v>
      </c>
      <c r="N18" s="142">
        <f t="shared" si="4"/>
        <v>16.258972080421792</v>
      </c>
      <c r="O18" s="142">
        <f t="shared" si="5"/>
        <v>100</v>
      </c>
    </row>
    <row r="19" spans="1:15" x14ac:dyDescent="0.5">
      <c r="A19" s="29"/>
      <c r="B19" s="29"/>
      <c r="C19" s="29"/>
      <c r="E19" s="29"/>
      <c r="F19" s="29"/>
      <c r="G19" s="225"/>
      <c r="H19" s="225"/>
      <c r="I19" s="225"/>
      <c r="J19" s="225"/>
      <c r="L19" s="29"/>
      <c r="M19" s="226"/>
      <c r="N19" s="226"/>
      <c r="O19" s="226"/>
    </row>
    <row r="20" spans="1:15" x14ac:dyDescent="0.5">
      <c r="E20" s="33" t="s">
        <v>426</v>
      </c>
      <c r="F20" s="28">
        <f>AVERAGE(F9:F18)</f>
        <v>0</v>
      </c>
      <c r="G20" s="28">
        <f>AVERAGE(G9:G18)</f>
        <v>3715241.7550500007</v>
      </c>
      <c r="H20" s="28">
        <f>AVERAGE(H9:H18)</f>
        <v>628257.3000602168</v>
      </c>
      <c r="I20" s="28">
        <f>AVERAGE(I9:I18)</f>
        <v>0</v>
      </c>
      <c r="J20" s="28">
        <f>AVERAGE(J9:J18)</f>
        <v>4343499.0551102171</v>
      </c>
      <c r="K20" s="21"/>
      <c r="L20" s="33" t="s">
        <v>426</v>
      </c>
      <c r="M20" s="143">
        <f>AVERAGE(M9:M18)</f>
        <v>85.406910434794298</v>
      </c>
      <c r="N20" s="143">
        <f>AVERAGE(N9:N18)</f>
        <v>14.593089565205721</v>
      </c>
      <c r="O20" s="143">
        <f>AVERAGE(O9:O18)</f>
        <v>100</v>
      </c>
    </row>
    <row r="21" spans="1:15" x14ac:dyDescent="0.5">
      <c r="E21" s="29"/>
      <c r="F21" s="29"/>
      <c r="G21" s="225"/>
      <c r="H21" s="225"/>
      <c r="I21" s="225"/>
      <c r="J21" s="225"/>
      <c r="L21" s="29"/>
      <c r="M21" s="226"/>
      <c r="N21" s="226"/>
      <c r="O21" s="226"/>
    </row>
    <row r="22" spans="1:15" x14ac:dyDescent="0.5">
      <c r="E22" s="20" t="s">
        <v>427</v>
      </c>
      <c r="G22" s="127">
        <f>J20/Asumsi!C9</f>
        <v>1447.8330183700723</v>
      </c>
      <c r="H22" s="20" t="s">
        <v>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C537-2320-4CB1-A4DD-B58E36DBF71D}">
  <dimension ref="A1:EU108"/>
  <sheetViews>
    <sheetView showGridLines="0" topLeftCell="I1" zoomScale="90" zoomScaleNormal="90" workbookViewId="0">
      <pane xSplit="3" ySplit="10" topLeftCell="DV77" activePane="bottomRight" state="frozen"/>
      <selection activeCell="I1" sqref="I1"/>
      <selection pane="topRight" activeCell="L1" sqref="L1"/>
      <selection pane="bottomLeft" activeCell="I11" sqref="I11"/>
      <selection pane="bottomRight" activeCell="L11" sqref="L11"/>
    </sheetView>
  </sheetViews>
  <sheetFormatPr defaultColWidth="8.90625" defaultRowHeight="10.5" customHeight="1" x14ac:dyDescent="0.35"/>
  <cols>
    <col min="1" max="1" width="3.453125" style="536" customWidth="1"/>
    <col min="2" max="2" width="23.453125" style="536" customWidth="1"/>
    <col min="3" max="3" width="8.81640625" style="537"/>
    <col min="4" max="4" width="14.453125" style="531" customWidth="1"/>
    <col min="5" max="7" width="11.1796875" style="531" customWidth="1"/>
    <col min="8" max="8" width="8.81640625" style="531"/>
    <col min="9" max="9" width="5.1796875" style="531" customWidth="1"/>
    <col min="10" max="10" width="4.1796875" style="531" customWidth="1"/>
    <col min="11" max="11" width="22.1796875" style="531" bestFit="1" customWidth="1"/>
    <col min="12" max="23" width="6.08984375" style="531" bestFit="1" customWidth="1"/>
    <col min="24" max="24" width="6.54296875" style="531" bestFit="1" customWidth="1"/>
    <col min="25" max="25" width="1.81640625" style="531" customWidth="1"/>
    <col min="26" max="27" width="6.08984375" style="531" bestFit="1" customWidth="1"/>
    <col min="28" max="37" width="6.54296875" style="531" bestFit="1" customWidth="1"/>
    <col min="38" max="38" width="7.90625" style="531" bestFit="1" customWidth="1"/>
    <col min="39" max="39" width="1.81640625" style="531" customWidth="1"/>
    <col min="40" max="51" width="6.54296875" style="531" bestFit="1" customWidth="1"/>
    <col min="52" max="52" width="7.90625" style="531" bestFit="1" customWidth="1"/>
    <col min="53" max="53" width="1.81640625" style="531" customWidth="1"/>
    <col min="54" max="65" width="6.54296875" style="531" bestFit="1" customWidth="1"/>
    <col min="66" max="66" width="7.90625" style="531" bestFit="1" customWidth="1"/>
    <col min="67" max="67" width="1.81640625" style="531" customWidth="1"/>
    <col min="68" max="79" width="6.54296875" style="531" bestFit="1" customWidth="1"/>
    <col min="80" max="80" width="7.90625" style="531" bestFit="1" customWidth="1"/>
    <col min="81" max="81" width="1.81640625" style="531" customWidth="1"/>
    <col min="82" max="93" width="6.54296875" style="531" bestFit="1" customWidth="1"/>
    <col min="94" max="94" width="7.90625" style="531" bestFit="1" customWidth="1"/>
    <col min="95" max="95" width="1.81640625" style="531" customWidth="1"/>
    <col min="96" max="107" width="6.54296875" style="531" bestFit="1" customWidth="1"/>
    <col min="108" max="108" width="7.90625" style="531" bestFit="1" customWidth="1"/>
    <col min="109" max="109" width="1.81640625" style="531" customWidth="1"/>
    <col min="110" max="121" width="6.54296875" style="531" bestFit="1" customWidth="1"/>
    <col min="122" max="122" width="7.90625" style="531" bestFit="1" customWidth="1"/>
    <col min="123" max="123" width="1.81640625" style="531" customWidth="1"/>
    <col min="124" max="135" width="6.54296875" style="531" bestFit="1" customWidth="1"/>
    <col min="136" max="136" width="7.90625" style="531" bestFit="1" customWidth="1"/>
    <col min="137" max="137" width="1.81640625" style="531" customWidth="1"/>
    <col min="138" max="149" width="6.54296875" style="531" bestFit="1" customWidth="1"/>
    <col min="150" max="150" width="7.90625" style="531" bestFit="1" customWidth="1"/>
    <col min="151" max="151" width="1.81640625" style="531" customWidth="1"/>
    <col min="152" max="16384" width="8.90625" style="531"/>
  </cols>
  <sheetData>
    <row r="1" spans="1:151" ht="10.5" customHeight="1" x14ac:dyDescent="0.35">
      <c r="A1" s="530" t="str">
        <f>Asumsi!A1</f>
        <v>Peternakan Ayam Petelur</v>
      </c>
      <c r="B1" s="531"/>
      <c r="C1" s="532"/>
      <c r="D1" s="533"/>
      <c r="E1" s="533"/>
      <c r="F1" s="533"/>
      <c r="G1" s="533"/>
    </row>
    <row r="2" spans="1:151" ht="10.5" customHeight="1" x14ac:dyDescent="0.35">
      <c r="A2" s="530" t="str">
        <f>Asumsi!A2</f>
        <v>Financial Pre-Feasibility Study</v>
      </c>
      <c r="B2" s="531"/>
      <c r="C2" s="532"/>
      <c r="D2" s="533"/>
      <c r="E2" s="533"/>
      <c r="F2" s="533"/>
      <c r="G2" s="533"/>
    </row>
    <row r="3" spans="1:151" ht="10.5" customHeight="1" x14ac:dyDescent="0.35">
      <c r="A3" s="534" t="s">
        <v>1182</v>
      </c>
      <c r="B3" s="531"/>
      <c r="C3" s="532"/>
      <c r="D3" s="533"/>
      <c r="E3" s="533"/>
      <c r="F3" s="533"/>
      <c r="G3" s="533"/>
    </row>
    <row r="4" spans="1:151" ht="10.5" customHeight="1" x14ac:dyDescent="0.35">
      <c r="A4" s="535" t="str">
        <f>Asumsi!A4</f>
        <v>Case-3: pakan diproduksi, Jumlah peliharaan di naikkan dari 3.000 menjadi 12.000 ekor</v>
      </c>
    </row>
    <row r="5" spans="1:151" ht="10.5" customHeight="1" x14ac:dyDescent="0.35">
      <c r="A5" s="538"/>
    </row>
    <row r="6" spans="1:151" ht="10.5" customHeight="1" x14ac:dyDescent="0.35">
      <c r="A6" s="538"/>
    </row>
    <row r="8" spans="1:151" ht="10.5" customHeight="1" x14ac:dyDescent="0.35">
      <c r="A8" s="539" t="s">
        <v>1</v>
      </c>
      <c r="B8" s="539"/>
      <c r="C8" s="540"/>
      <c r="D8" s="541"/>
      <c r="E8" s="541"/>
      <c r="F8" s="541"/>
      <c r="G8" s="541"/>
      <c r="I8" s="539" t="s">
        <v>1076</v>
      </c>
      <c r="J8" s="541"/>
      <c r="K8" s="541"/>
      <c r="L8" s="541"/>
      <c r="M8" s="541"/>
      <c r="N8" s="541"/>
      <c r="O8" s="541"/>
      <c r="P8" s="541"/>
      <c r="Q8" s="541"/>
      <c r="R8" s="541"/>
      <c r="S8" s="541"/>
      <c r="T8" s="541"/>
      <c r="U8" s="541"/>
      <c r="V8" s="541"/>
      <c r="W8" s="541"/>
      <c r="X8" s="541"/>
      <c r="Z8" s="541"/>
      <c r="AA8" s="541"/>
      <c r="AB8" s="541"/>
      <c r="AC8" s="541"/>
      <c r="AD8" s="541"/>
      <c r="AE8" s="541"/>
      <c r="AF8" s="541"/>
      <c r="AG8" s="541"/>
      <c r="AH8" s="541"/>
      <c r="AI8" s="541"/>
      <c r="AJ8" s="541"/>
      <c r="AK8" s="541"/>
      <c r="AL8" s="541"/>
      <c r="AN8" s="541"/>
      <c r="AO8" s="541"/>
      <c r="AP8" s="541"/>
      <c r="AQ8" s="541"/>
      <c r="AR8" s="541"/>
      <c r="AS8" s="541"/>
      <c r="AT8" s="541"/>
      <c r="AU8" s="541"/>
      <c r="AV8" s="541"/>
      <c r="AW8" s="541"/>
      <c r="AX8" s="541"/>
      <c r="AY8" s="541"/>
      <c r="AZ8" s="541"/>
      <c r="BB8" s="541"/>
      <c r="BC8" s="541"/>
      <c r="BD8" s="541"/>
      <c r="BE8" s="541"/>
      <c r="BF8" s="541"/>
      <c r="BG8" s="541"/>
      <c r="BH8" s="541"/>
      <c r="BI8" s="541"/>
      <c r="BJ8" s="541"/>
      <c r="BK8" s="541"/>
      <c r="BL8" s="541"/>
      <c r="BM8" s="541"/>
      <c r="BN8" s="541"/>
      <c r="BP8" s="541"/>
      <c r="BQ8" s="541"/>
      <c r="BR8" s="541"/>
      <c r="BS8" s="541"/>
      <c r="BT8" s="541"/>
      <c r="BU8" s="541"/>
      <c r="BV8" s="541"/>
      <c r="BW8" s="541"/>
      <c r="BX8" s="541"/>
      <c r="BY8" s="541"/>
      <c r="BZ8" s="541"/>
      <c r="CA8" s="541"/>
      <c r="CB8" s="541"/>
      <c r="CD8" s="541"/>
      <c r="CE8" s="541"/>
      <c r="CF8" s="541"/>
      <c r="CG8" s="541"/>
      <c r="CH8" s="541"/>
      <c r="CI8" s="541"/>
      <c r="CJ8" s="541"/>
      <c r="CK8" s="541"/>
      <c r="CL8" s="541"/>
      <c r="CM8" s="541"/>
      <c r="CN8" s="541"/>
      <c r="CO8" s="541"/>
      <c r="CP8" s="541"/>
      <c r="CR8" s="541"/>
      <c r="CS8" s="541"/>
      <c r="CT8" s="541"/>
      <c r="CU8" s="541"/>
      <c r="CV8" s="541"/>
      <c r="CW8" s="541"/>
      <c r="CX8" s="541"/>
      <c r="CY8" s="541"/>
      <c r="CZ8" s="541"/>
      <c r="DA8" s="541"/>
      <c r="DB8" s="541"/>
      <c r="DC8" s="541"/>
      <c r="DD8" s="541"/>
      <c r="DF8" s="541"/>
      <c r="DG8" s="541"/>
      <c r="DH8" s="541"/>
      <c r="DI8" s="541"/>
      <c r="DJ8" s="541"/>
      <c r="DK8" s="541"/>
      <c r="DL8" s="541"/>
      <c r="DM8" s="541"/>
      <c r="DN8" s="541"/>
      <c r="DO8" s="541"/>
      <c r="DP8" s="541"/>
      <c r="DQ8" s="541"/>
      <c r="DR8" s="541"/>
      <c r="DT8" s="541"/>
      <c r="DU8" s="541"/>
      <c r="DV8" s="541"/>
      <c r="DW8" s="541"/>
      <c r="DX8" s="541"/>
      <c r="DY8" s="541"/>
      <c r="DZ8" s="541"/>
      <c r="EA8" s="541"/>
      <c r="EB8" s="541"/>
      <c r="EC8" s="541"/>
      <c r="ED8" s="541"/>
      <c r="EE8" s="541"/>
      <c r="EF8" s="541"/>
      <c r="EH8" s="541"/>
      <c r="EI8" s="541"/>
      <c r="EJ8" s="541"/>
      <c r="EK8" s="541"/>
      <c r="EL8" s="541"/>
      <c r="EM8" s="541"/>
      <c r="EN8" s="541"/>
      <c r="EO8" s="541"/>
      <c r="EP8" s="541"/>
      <c r="EQ8" s="541"/>
      <c r="ER8" s="541"/>
      <c r="ES8" s="541"/>
      <c r="ET8" s="541"/>
    </row>
    <row r="9" spans="1:151" ht="10.5" customHeight="1" x14ac:dyDescent="0.35">
      <c r="A9" s="542"/>
      <c r="B9" s="543"/>
      <c r="C9" s="543"/>
      <c r="D9" s="543"/>
      <c r="E9" s="543"/>
      <c r="F9" s="543"/>
      <c r="G9" s="543"/>
      <c r="I9" s="544" t="s">
        <v>269</v>
      </c>
      <c r="J9" s="545"/>
      <c r="K9" s="546"/>
      <c r="L9" s="546">
        <v>1</v>
      </c>
      <c r="M9" s="546"/>
      <c r="N9" s="546"/>
      <c r="O9" s="546"/>
      <c r="P9" s="546"/>
      <c r="Q9" s="546"/>
      <c r="R9" s="546"/>
      <c r="S9" s="546"/>
      <c r="T9" s="546"/>
      <c r="U9" s="546"/>
      <c r="V9" s="546"/>
      <c r="W9" s="546"/>
      <c r="X9" s="650" t="s">
        <v>29</v>
      </c>
      <c r="Z9" s="546">
        <v>2</v>
      </c>
      <c r="AA9" s="546"/>
      <c r="AB9" s="546"/>
      <c r="AC9" s="546"/>
      <c r="AD9" s="546"/>
      <c r="AE9" s="546"/>
      <c r="AF9" s="546"/>
      <c r="AG9" s="546"/>
      <c r="AH9" s="546"/>
      <c r="AI9" s="546"/>
      <c r="AJ9" s="546"/>
      <c r="AK9" s="546"/>
      <c r="AL9" s="650" t="s">
        <v>29</v>
      </c>
      <c r="AN9" s="546">
        <v>3</v>
      </c>
      <c r="AO9" s="546"/>
      <c r="AP9" s="546"/>
      <c r="AQ9" s="546"/>
      <c r="AR9" s="546"/>
      <c r="AS9" s="546"/>
      <c r="AT9" s="546"/>
      <c r="AU9" s="546"/>
      <c r="AV9" s="546"/>
      <c r="AW9" s="546"/>
      <c r="AX9" s="546"/>
      <c r="AY9" s="546"/>
      <c r="AZ9" s="650" t="s">
        <v>29</v>
      </c>
      <c r="BB9" s="546">
        <v>4</v>
      </c>
      <c r="BC9" s="546"/>
      <c r="BD9" s="546"/>
      <c r="BE9" s="546"/>
      <c r="BF9" s="546"/>
      <c r="BG9" s="546"/>
      <c r="BH9" s="546"/>
      <c r="BI9" s="546"/>
      <c r="BJ9" s="546"/>
      <c r="BK9" s="546"/>
      <c r="BL9" s="546"/>
      <c r="BM9" s="546"/>
      <c r="BN9" s="650" t="s">
        <v>29</v>
      </c>
      <c r="BP9" s="546">
        <v>5</v>
      </c>
      <c r="BQ9" s="546"/>
      <c r="BR9" s="546"/>
      <c r="BS9" s="546"/>
      <c r="BT9" s="546"/>
      <c r="BU9" s="546"/>
      <c r="BV9" s="546"/>
      <c r="BW9" s="546"/>
      <c r="BX9" s="546"/>
      <c r="BY9" s="546"/>
      <c r="BZ9" s="546"/>
      <c r="CA9" s="546"/>
      <c r="CB9" s="650" t="s">
        <v>29</v>
      </c>
      <c r="CD9" s="546">
        <v>6</v>
      </c>
      <c r="CE9" s="546"/>
      <c r="CF9" s="546"/>
      <c r="CG9" s="546"/>
      <c r="CH9" s="546"/>
      <c r="CI9" s="546"/>
      <c r="CJ9" s="546"/>
      <c r="CK9" s="546"/>
      <c r="CL9" s="546"/>
      <c r="CM9" s="546"/>
      <c r="CN9" s="546"/>
      <c r="CO9" s="546"/>
      <c r="CP9" s="650" t="s">
        <v>29</v>
      </c>
      <c r="CR9" s="546">
        <v>7</v>
      </c>
      <c r="CS9" s="546"/>
      <c r="CT9" s="546"/>
      <c r="CU9" s="546"/>
      <c r="CV9" s="546"/>
      <c r="CW9" s="546"/>
      <c r="CX9" s="546"/>
      <c r="CY9" s="546"/>
      <c r="CZ9" s="546"/>
      <c r="DA9" s="546"/>
      <c r="DB9" s="546"/>
      <c r="DC9" s="546"/>
      <c r="DD9" s="650" t="s">
        <v>29</v>
      </c>
      <c r="DF9" s="546">
        <v>8</v>
      </c>
      <c r="DG9" s="546"/>
      <c r="DH9" s="546"/>
      <c r="DI9" s="546"/>
      <c r="DJ9" s="546"/>
      <c r="DK9" s="546"/>
      <c r="DL9" s="546"/>
      <c r="DM9" s="546"/>
      <c r="DN9" s="546"/>
      <c r="DO9" s="546"/>
      <c r="DP9" s="546"/>
      <c r="DQ9" s="546"/>
      <c r="DR9" s="650" t="s">
        <v>29</v>
      </c>
      <c r="DT9" s="546">
        <v>9</v>
      </c>
      <c r="DU9" s="546"/>
      <c r="DV9" s="546"/>
      <c r="DW9" s="546"/>
      <c r="DX9" s="546"/>
      <c r="DY9" s="546"/>
      <c r="DZ9" s="546"/>
      <c r="EA9" s="546"/>
      <c r="EB9" s="546"/>
      <c r="EC9" s="546"/>
      <c r="ED9" s="546"/>
      <c r="EE9" s="546"/>
      <c r="EF9" s="650" t="s">
        <v>29</v>
      </c>
      <c r="EH9" s="546">
        <v>10</v>
      </c>
      <c r="EI9" s="546"/>
      <c r="EJ9" s="546"/>
      <c r="EK9" s="546"/>
      <c r="EL9" s="546"/>
      <c r="EM9" s="546"/>
      <c r="EN9" s="546"/>
      <c r="EO9" s="546"/>
      <c r="EP9" s="546"/>
      <c r="EQ9" s="546"/>
      <c r="ER9" s="546"/>
      <c r="ES9" s="546"/>
      <c r="ET9" s="650" t="s">
        <v>29</v>
      </c>
    </row>
    <row r="10" spans="1:151" ht="10.5" customHeight="1" x14ac:dyDescent="0.35">
      <c r="A10" s="542"/>
      <c r="B10" s="543"/>
      <c r="C10" s="543"/>
      <c r="D10" s="543"/>
      <c r="E10" s="543"/>
      <c r="F10" s="543"/>
      <c r="G10" s="543"/>
      <c r="I10" s="573" t="s">
        <v>443</v>
      </c>
      <c r="J10" s="574"/>
      <c r="K10" s="567"/>
      <c r="L10" s="567">
        <v>1</v>
      </c>
      <c r="M10" s="567">
        <v>2</v>
      </c>
      <c r="N10" s="567">
        <v>3</v>
      </c>
      <c r="O10" s="567">
        <v>4</v>
      </c>
      <c r="P10" s="567">
        <v>5</v>
      </c>
      <c r="Q10" s="567">
        <v>6</v>
      </c>
      <c r="R10" s="567">
        <v>7</v>
      </c>
      <c r="S10" s="567">
        <v>8</v>
      </c>
      <c r="T10" s="567">
        <v>9</v>
      </c>
      <c r="U10" s="567">
        <v>10</v>
      </c>
      <c r="V10" s="567">
        <v>11</v>
      </c>
      <c r="W10" s="567">
        <v>12</v>
      </c>
      <c r="X10" s="650"/>
      <c r="Z10" s="567">
        <v>1</v>
      </c>
      <c r="AA10" s="567">
        <v>2</v>
      </c>
      <c r="AB10" s="567">
        <v>3</v>
      </c>
      <c r="AC10" s="567">
        <v>4</v>
      </c>
      <c r="AD10" s="567">
        <v>5</v>
      </c>
      <c r="AE10" s="567">
        <v>6</v>
      </c>
      <c r="AF10" s="567">
        <v>7</v>
      </c>
      <c r="AG10" s="567">
        <v>8</v>
      </c>
      <c r="AH10" s="567">
        <v>9</v>
      </c>
      <c r="AI10" s="567">
        <v>10</v>
      </c>
      <c r="AJ10" s="567">
        <v>11</v>
      </c>
      <c r="AK10" s="567">
        <v>12</v>
      </c>
      <c r="AL10" s="650"/>
      <c r="AN10" s="567">
        <v>1</v>
      </c>
      <c r="AO10" s="567">
        <v>2</v>
      </c>
      <c r="AP10" s="567">
        <v>3</v>
      </c>
      <c r="AQ10" s="567">
        <v>4</v>
      </c>
      <c r="AR10" s="567">
        <v>5</v>
      </c>
      <c r="AS10" s="567">
        <v>6</v>
      </c>
      <c r="AT10" s="567">
        <v>7</v>
      </c>
      <c r="AU10" s="567">
        <v>8</v>
      </c>
      <c r="AV10" s="567">
        <v>9</v>
      </c>
      <c r="AW10" s="567">
        <v>10</v>
      </c>
      <c r="AX10" s="567">
        <v>11</v>
      </c>
      <c r="AY10" s="567">
        <v>12</v>
      </c>
      <c r="AZ10" s="650"/>
      <c r="BB10" s="567">
        <v>1</v>
      </c>
      <c r="BC10" s="567">
        <v>2</v>
      </c>
      <c r="BD10" s="567">
        <v>3</v>
      </c>
      <c r="BE10" s="567">
        <v>4</v>
      </c>
      <c r="BF10" s="567">
        <v>5</v>
      </c>
      <c r="BG10" s="567">
        <v>6</v>
      </c>
      <c r="BH10" s="567">
        <v>7</v>
      </c>
      <c r="BI10" s="567">
        <v>8</v>
      </c>
      <c r="BJ10" s="567">
        <v>9</v>
      </c>
      <c r="BK10" s="567">
        <v>10</v>
      </c>
      <c r="BL10" s="567">
        <v>11</v>
      </c>
      <c r="BM10" s="567">
        <v>12</v>
      </c>
      <c r="BN10" s="650"/>
      <c r="BP10" s="567">
        <v>1</v>
      </c>
      <c r="BQ10" s="567">
        <v>2</v>
      </c>
      <c r="BR10" s="567">
        <v>3</v>
      </c>
      <c r="BS10" s="567">
        <v>4</v>
      </c>
      <c r="BT10" s="567">
        <v>5</v>
      </c>
      <c r="BU10" s="567">
        <v>6</v>
      </c>
      <c r="BV10" s="567">
        <v>7</v>
      </c>
      <c r="BW10" s="567">
        <v>8</v>
      </c>
      <c r="BX10" s="567">
        <v>9</v>
      </c>
      <c r="BY10" s="567">
        <v>10</v>
      </c>
      <c r="BZ10" s="567">
        <v>11</v>
      </c>
      <c r="CA10" s="567">
        <v>12</v>
      </c>
      <c r="CB10" s="650"/>
      <c r="CD10" s="567">
        <v>1</v>
      </c>
      <c r="CE10" s="567">
        <v>2</v>
      </c>
      <c r="CF10" s="567">
        <v>3</v>
      </c>
      <c r="CG10" s="567">
        <v>4</v>
      </c>
      <c r="CH10" s="567">
        <v>5</v>
      </c>
      <c r="CI10" s="567">
        <v>6</v>
      </c>
      <c r="CJ10" s="567">
        <v>7</v>
      </c>
      <c r="CK10" s="567">
        <v>8</v>
      </c>
      <c r="CL10" s="567">
        <v>9</v>
      </c>
      <c r="CM10" s="567">
        <v>10</v>
      </c>
      <c r="CN10" s="567">
        <v>11</v>
      </c>
      <c r="CO10" s="567">
        <v>12</v>
      </c>
      <c r="CP10" s="650"/>
      <c r="CR10" s="567">
        <v>1</v>
      </c>
      <c r="CS10" s="567">
        <v>2</v>
      </c>
      <c r="CT10" s="567">
        <v>3</v>
      </c>
      <c r="CU10" s="567">
        <v>4</v>
      </c>
      <c r="CV10" s="567">
        <v>5</v>
      </c>
      <c r="CW10" s="567">
        <v>6</v>
      </c>
      <c r="CX10" s="567">
        <v>7</v>
      </c>
      <c r="CY10" s="567">
        <v>8</v>
      </c>
      <c r="CZ10" s="567">
        <v>9</v>
      </c>
      <c r="DA10" s="567">
        <v>10</v>
      </c>
      <c r="DB10" s="567">
        <v>11</v>
      </c>
      <c r="DC10" s="567">
        <v>12</v>
      </c>
      <c r="DD10" s="650"/>
      <c r="DF10" s="567">
        <v>1</v>
      </c>
      <c r="DG10" s="567">
        <v>2</v>
      </c>
      <c r="DH10" s="567">
        <v>3</v>
      </c>
      <c r="DI10" s="567">
        <v>4</v>
      </c>
      <c r="DJ10" s="567">
        <v>5</v>
      </c>
      <c r="DK10" s="567">
        <v>6</v>
      </c>
      <c r="DL10" s="567">
        <v>7</v>
      </c>
      <c r="DM10" s="567">
        <v>8</v>
      </c>
      <c r="DN10" s="567">
        <v>9</v>
      </c>
      <c r="DO10" s="567">
        <v>10</v>
      </c>
      <c r="DP10" s="567">
        <v>11</v>
      </c>
      <c r="DQ10" s="567">
        <v>12</v>
      </c>
      <c r="DR10" s="650"/>
      <c r="DT10" s="567">
        <v>1</v>
      </c>
      <c r="DU10" s="567">
        <v>2</v>
      </c>
      <c r="DV10" s="567">
        <v>3</v>
      </c>
      <c r="DW10" s="567">
        <v>4</v>
      </c>
      <c r="DX10" s="567">
        <v>5</v>
      </c>
      <c r="DY10" s="567">
        <v>6</v>
      </c>
      <c r="DZ10" s="567">
        <v>7</v>
      </c>
      <c r="EA10" s="567">
        <v>8</v>
      </c>
      <c r="EB10" s="567">
        <v>9</v>
      </c>
      <c r="EC10" s="567">
        <v>10</v>
      </c>
      <c r="ED10" s="567">
        <v>11</v>
      </c>
      <c r="EE10" s="567">
        <v>12</v>
      </c>
      <c r="EF10" s="650"/>
      <c r="EH10" s="567">
        <v>1</v>
      </c>
      <c r="EI10" s="567">
        <v>2</v>
      </c>
      <c r="EJ10" s="567">
        <v>3</v>
      </c>
      <c r="EK10" s="567">
        <v>4</v>
      </c>
      <c r="EL10" s="567">
        <v>5</v>
      </c>
      <c r="EM10" s="567">
        <v>6</v>
      </c>
      <c r="EN10" s="567">
        <v>7</v>
      </c>
      <c r="EO10" s="567">
        <v>8</v>
      </c>
      <c r="EP10" s="567">
        <v>9</v>
      </c>
      <c r="EQ10" s="567">
        <v>10</v>
      </c>
      <c r="ER10" s="567">
        <v>11</v>
      </c>
      <c r="ES10" s="567">
        <v>12</v>
      </c>
      <c r="ET10" s="650"/>
    </row>
    <row r="11" spans="1:151" ht="10.5" customHeight="1" x14ac:dyDescent="0.35">
      <c r="A11" s="547" t="s">
        <v>439</v>
      </c>
      <c r="B11" s="548" t="s">
        <v>52</v>
      </c>
      <c r="E11" s="533"/>
      <c r="I11" s="549" t="s">
        <v>439</v>
      </c>
      <c r="J11" s="550" t="s">
        <v>1162</v>
      </c>
      <c r="K11" s="461"/>
      <c r="X11" s="558"/>
      <c r="Y11" s="565"/>
      <c r="AG11" s="561"/>
      <c r="AL11" s="558"/>
      <c r="AM11" s="565"/>
      <c r="AZ11" s="558"/>
      <c r="BA11" s="565"/>
      <c r="BC11" s="561"/>
      <c r="BN11" s="558"/>
      <c r="BO11" s="565"/>
      <c r="BW11" s="561"/>
      <c r="CB11" s="558"/>
      <c r="CC11" s="565"/>
      <c r="CP11" s="558"/>
      <c r="CQ11" s="565"/>
      <c r="CS11" s="561"/>
      <c r="DD11" s="558"/>
      <c r="DE11" s="565"/>
      <c r="DM11" s="561"/>
      <c r="DR11" s="558"/>
      <c r="DS11" s="565"/>
      <c r="EF11" s="558"/>
      <c r="EG11" s="565"/>
      <c r="EI11" s="561"/>
      <c r="ET11" s="558"/>
      <c r="EU11" s="565"/>
    </row>
    <row r="12" spans="1:151" ht="10.5" customHeight="1" x14ac:dyDescent="0.35">
      <c r="B12" s="536" t="s">
        <v>1107</v>
      </c>
      <c r="C12" s="551">
        <f>Asumsi!C9</f>
        <v>3000</v>
      </c>
      <c r="D12" s="552" t="s">
        <v>3</v>
      </c>
      <c r="I12" s="547" t="s">
        <v>1163</v>
      </c>
      <c r="J12" s="531" t="s">
        <v>1072</v>
      </c>
      <c r="X12" s="558"/>
      <c r="Y12" s="565"/>
      <c r="AG12" s="561"/>
      <c r="AL12" s="558"/>
      <c r="AM12" s="565"/>
      <c r="AZ12" s="558"/>
      <c r="BA12" s="565"/>
      <c r="BC12" s="561"/>
      <c r="BN12" s="558"/>
      <c r="BO12" s="565"/>
      <c r="BW12" s="561"/>
      <c r="CB12" s="558"/>
      <c r="CC12" s="565"/>
      <c r="CP12" s="558"/>
      <c r="CQ12" s="565"/>
      <c r="CS12" s="561"/>
      <c r="DD12" s="558"/>
      <c r="DE12" s="565"/>
      <c r="DM12" s="561"/>
      <c r="DR12" s="558"/>
      <c r="DS12" s="565"/>
      <c r="EF12" s="558"/>
      <c r="EG12" s="565"/>
      <c r="EI12" s="561"/>
      <c r="ET12" s="558"/>
      <c r="EU12" s="565"/>
    </row>
    <row r="13" spans="1:151" ht="10.5" customHeight="1" x14ac:dyDescent="0.35">
      <c r="B13" s="536" t="s">
        <v>1108</v>
      </c>
      <c r="C13" s="551">
        <f>Asumsi!C10</f>
        <v>9000</v>
      </c>
      <c r="D13" s="552" t="s">
        <v>3</v>
      </c>
      <c r="I13" s="536"/>
      <c r="J13" s="531" t="s">
        <v>9</v>
      </c>
      <c r="K13" s="531" t="s">
        <v>505</v>
      </c>
      <c r="L13" s="553">
        <f>$C$12</f>
        <v>3000</v>
      </c>
      <c r="M13" s="553">
        <f>L13</f>
        <v>3000</v>
      </c>
      <c r="X13" s="560">
        <f>L13</f>
        <v>3000</v>
      </c>
      <c r="Y13" s="565"/>
      <c r="Z13" s="553"/>
      <c r="AA13" s="553"/>
      <c r="AF13" s="553">
        <f>$C$12</f>
        <v>3000</v>
      </c>
      <c r="AG13" s="562">
        <f>AF13</f>
        <v>3000</v>
      </c>
      <c r="AL13" s="560">
        <f>AF13</f>
        <v>3000</v>
      </c>
      <c r="AM13" s="565"/>
      <c r="AN13" s="553"/>
      <c r="AO13" s="553"/>
      <c r="AT13" s="553"/>
      <c r="AU13" s="553"/>
      <c r="AZ13" s="560">
        <f>AT13</f>
        <v>0</v>
      </c>
      <c r="BA13" s="565"/>
      <c r="BB13" s="553">
        <f>$C$12</f>
        <v>3000</v>
      </c>
      <c r="BC13" s="562">
        <f>BB13</f>
        <v>3000</v>
      </c>
      <c r="BH13" s="553"/>
      <c r="BI13" s="553"/>
      <c r="BN13" s="560">
        <f>BH13</f>
        <v>0</v>
      </c>
      <c r="BO13" s="565"/>
      <c r="BP13" s="553"/>
      <c r="BQ13" s="553"/>
      <c r="BV13" s="553">
        <f>$C$12</f>
        <v>3000</v>
      </c>
      <c r="BW13" s="562">
        <f>BV13</f>
        <v>3000</v>
      </c>
      <c r="CB13" s="560">
        <f>BV13</f>
        <v>3000</v>
      </c>
      <c r="CC13" s="565"/>
      <c r="CD13" s="553"/>
      <c r="CE13" s="553"/>
      <c r="CJ13" s="553"/>
      <c r="CK13" s="553"/>
      <c r="CP13" s="560">
        <f>CJ13</f>
        <v>0</v>
      </c>
      <c r="CQ13" s="565"/>
      <c r="CR13" s="553">
        <f>$C$12</f>
        <v>3000</v>
      </c>
      <c r="CS13" s="562">
        <f>CR13</f>
        <v>3000</v>
      </c>
      <c r="CX13" s="553"/>
      <c r="CY13" s="553"/>
      <c r="DD13" s="560">
        <f>CR13</f>
        <v>3000</v>
      </c>
      <c r="DE13" s="565"/>
      <c r="DF13" s="553"/>
      <c r="DG13" s="553"/>
      <c r="DL13" s="553">
        <f>$C$12</f>
        <v>3000</v>
      </c>
      <c r="DM13" s="562">
        <f>DL13</f>
        <v>3000</v>
      </c>
      <c r="DR13" s="560">
        <f>DL13</f>
        <v>3000</v>
      </c>
      <c r="DS13" s="565"/>
      <c r="DT13" s="553"/>
      <c r="DU13" s="553"/>
      <c r="DZ13" s="553"/>
      <c r="EA13" s="553"/>
      <c r="EF13" s="560">
        <f>DZ13</f>
        <v>0</v>
      </c>
      <c r="EG13" s="565"/>
      <c r="EH13" s="553">
        <f>$C$12</f>
        <v>3000</v>
      </c>
      <c r="EI13" s="562">
        <f>EH13</f>
        <v>3000</v>
      </c>
      <c r="EN13" s="553"/>
      <c r="EO13" s="553"/>
      <c r="ET13" s="560">
        <f>EN13</f>
        <v>0</v>
      </c>
      <c r="EU13" s="565"/>
    </row>
    <row r="14" spans="1:151" ht="10.5" customHeight="1" x14ac:dyDescent="0.35">
      <c r="B14" s="536" t="s">
        <v>1109</v>
      </c>
      <c r="C14" s="553">
        <f>Asumsi!C23</f>
        <v>70000</v>
      </c>
      <c r="D14" s="533" t="s">
        <v>7</v>
      </c>
      <c r="I14" s="536"/>
      <c r="J14" s="531" t="s">
        <v>10</v>
      </c>
      <c r="K14" s="531" t="s">
        <v>1073</v>
      </c>
      <c r="N14" s="553">
        <f>C12*(1-Asumsi!$C$20%)</f>
        <v>2955</v>
      </c>
      <c r="O14" s="553">
        <f>N14</f>
        <v>2955</v>
      </c>
      <c r="P14" s="553">
        <f t="shared" ref="P14:W14" si="0">O14</f>
        <v>2955</v>
      </c>
      <c r="Q14" s="553">
        <f t="shared" si="0"/>
        <v>2955</v>
      </c>
      <c r="R14" s="553">
        <f t="shared" si="0"/>
        <v>2955</v>
      </c>
      <c r="S14" s="553">
        <f t="shared" si="0"/>
        <v>2955</v>
      </c>
      <c r="T14" s="553">
        <f t="shared" si="0"/>
        <v>2955</v>
      </c>
      <c r="U14" s="553">
        <f t="shared" si="0"/>
        <v>2955</v>
      </c>
      <c r="V14" s="553">
        <f t="shared" si="0"/>
        <v>2955</v>
      </c>
      <c r="W14" s="553">
        <f t="shared" si="0"/>
        <v>2955</v>
      </c>
      <c r="X14" s="560">
        <f>N14</f>
        <v>2955</v>
      </c>
      <c r="Y14" s="565"/>
      <c r="Z14" s="553">
        <f>W14</f>
        <v>2955</v>
      </c>
      <c r="AA14" s="553">
        <f>Z14</f>
        <v>2955</v>
      </c>
      <c r="AB14" s="553">
        <f t="shared" ref="AB14:AG14" si="1">AA14</f>
        <v>2955</v>
      </c>
      <c r="AC14" s="553">
        <f t="shared" si="1"/>
        <v>2955</v>
      </c>
      <c r="AD14" s="553">
        <f t="shared" si="1"/>
        <v>2955</v>
      </c>
      <c r="AE14" s="553">
        <f t="shared" si="1"/>
        <v>2955</v>
      </c>
      <c r="AF14" s="553">
        <f t="shared" si="1"/>
        <v>2955</v>
      </c>
      <c r="AG14" s="562">
        <f t="shared" si="1"/>
        <v>2955</v>
      </c>
      <c r="AH14" s="553">
        <f t="shared" ref="AH14:AK14" si="2">AG14</f>
        <v>2955</v>
      </c>
      <c r="AI14" s="553">
        <f t="shared" si="2"/>
        <v>2955</v>
      </c>
      <c r="AJ14" s="553">
        <f t="shared" si="2"/>
        <v>2955</v>
      </c>
      <c r="AK14" s="553">
        <f t="shared" si="2"/>
        <v>2955</v>
      </c>
      <c r="AL14" s="560">
        <f>AB14</f>
        <v>2955</v>
      </c>
      <c r="AM14" s="565"/>
      <c r="AN14" s="553">
        <f>AK14</f>
        <v>2955</v>
      </c>
      <c r="AO14" s="553">
        <f>AN14</f>
        <v>2955</v>
      </c>
      <c r="AP14" s="553">
        <f t="shared" ref="AP14" si="3">AO14</f>
        <v>2955</v>
      </c>
      <c r="AQ14" s="553">
        <f t="shared" ref="AQ14:AY14" si="4">AP14</f>
        <v>2955</v>
      </c>
      <c r="AR14" s="553">
        <f t="shared" si="4"/>
        <v>2955</v>
      </c>
      <c r="AS14" s="553">
        <f t="shared" si="4"/>
        <v>2955</v>
      </c>
      <c r="AT14" s="553">
        <f t="shared" si="4"/>
        <v>2955</v>
      </c>
      <c r="AU14" s="553">
        <f t="shared" si="4"/>
        <v>2955</v>
      </c>
      <c r="AV14" s="553">
        <f t="shared" si="4"/>
        <v>2955</v>
      </c>
      <c r="AW14" s="553">
        <f t="shared" si="4"/>
        <v>2955</v>
      </c>
      <c r="AX14" s="553">
        <f t="shared" si="4"/>
        <v>2955</v>
      </c>
      <c r="AY14" s="553">
        <f t="shared" si="4"/>
        <v>2955</v>
      </c>
      <c r="AZ14" s="560">
        <f>AP14</f>
        <v>2955</v>
      </c>
      <c r="BA14" s="565"/>
      <c r="BB14" s="553">
        <f>AY14</f>
        <v>2955</v>
      </c>
      <c r="BC14" s="562">
        <f>BB14</f>
        <v>2955</v>
      </c>
      <c r="BD14" s="553">
        <f t="shared" ref="BD14:BM14" si="5">BC14</f>
        <v>2955</v>
      </c>
      <c r="BE14" s="553">
        <f t="shared" si="5"/>
        <v>2955</v>
      </c>
      <c r="BF14" s="553">
        <f t="shared" si="5"/>
        <v>2955</v>
      </c>
      <c r="BG14" s="553">
        <f t="shared" si="5"/>
        <v>2955</v>
      </c>
      <c r="BH14" s="553">
        <f t="shared" si="5"/>
        <v>2955</v>
      </c>
      <c r="BI14" s="553">
        <f t="shared" si="5"/>
        <v>2955</v>
      </c>
      <c r="BJ14" s="553">
        <f t="shared" si="5"/>
        <v>2955</v>
      </c>
      <c r="BK14" s="553">
        <f t="shared" si="5"/>
        <v>2955</v>
      </c>
      <c r="BL14" s="553">
        <f t="shared" si="5"/>
        <v>2955</v>
      </c>
      <c r="BM14" s="553">
        <f t="shared" si="5"/>
        <v>2955</v>
      </c>
      <c r="BN14" s="560">
        <f>BD14</f>
        <v>2955</v>
      </c>
      <c r="BO14" s="565"/>
      <c r="BP14" s="553">
        <f>BM14</f>
        <v>2955</v>
      </c>
      <c r="BQ14" s="553">
        <f>BP14</f>
        <v>2955</v>
      </c>
      <c r="BR14" s="553">
        <f t="shared" ref="BR14:CA14" si="6">BQ14</f>
        <v>2955</v>
      </c>
      <c r="BS14" s="553">
        <f t="shared" si="6"/>
        <v>2955</v>
      </c>
      <c r="BT14" s="553">
        <f t="shared" si="6"/>
        <v>2955</v>
      </c>
      <c r="BU14" s="553">
        <f t="shared" si="6"/>
        <v>2955</v>
      </c>
      <c r="BV14" s="553">
        <f t="shared" si="6"/>
        <v>2955</v>
      </c>
      <c r="BW14" s="562">
        <f t="shared" si="6"/>
        <v>2955</v>
      </c>
      <c r="BX14" s="553">
        <f t="shared" si="6"/>
        <v>2955</v>
      </c>
      <c r="BY14" s="553">
        <f t="shared" si="6"/>
        <v>2955</v>
      </c>
      <c r="BZ14" s="553">
        <f t="shared" si="6"/>
        <v>2955</v>
      </c>
      <c r="CA14" s="553">
        <f t="shared" si="6"/>
        <v>2955</v>
      </c>
      <c r="CB14" s="560">
        <f>BR14</f>
        <v>2955</v>
      </c>
      <c r="CC14" s="565"/>
      <c r="CD14" s="553">
        <f>CA14</f>
        <v>2955</v>
      </c>
      <c r="CE14" s="553">
        <f>CD14</f>
        <v>2955</v>
      </c>
      <c r="CF14" s="553">
        <f t="shared" ref="CF14:CO14" si="7">CE14</f>
        <v>2955</v>
      </c>
      <c r="CG14" s="553">
        <f t="shared" si="7"/>
        <v>2955</v>
      </c>
      <c r="CH14" s="553">
        <f t="shared" si="7"/>
        <v>2955</v>
      </c>
      <c r="CI14" s="553">
        <f t="shared" si="7"/>
        <v>2955</v>
      </c>
      <c r="CJ14" s="553">
        <f t="shared" si="7"/>
        <v>2955</v>
      </c>
      <c r="CK14" s="553">
        <f t="shared" si="7"/>
        <v>2955</v>
      </c>
      <c r="CL14" s="553">
        <f t="shared" si="7"/>
        <v>2955</v>
      </c>
      <c r="CM14" s="553">
        <f t="shared" si="7"/>
        <v>2955</v>
      </c>
      <c r="CN14" s="553">
        <f t="shared" si="7"/>
        <v>2955</v>
      </c>
      <c r="CO14" s="553">
        <f t="shared" si="7"/>
        <v>2955</v>
      </c>
      <c r="CP14" s="560">
        <f>CF14</f>
        <v>2955</v>
      </c>
      <c r="CQ14" s="565"/>
      <c r="CR14" s="553">
        <f>CO14</f>
        <v>2955</v>
      </c>
      <c r="CS14" s="562">
        <f t="shared" ref="CS14:CT14" si="8">CR14</f>
        <v>2955</v>
      </c>
      <c r="CT14" s="553">
        <f t="shared" si="8"/>
        <v>2955</v>
      </c>
      <c r="CU14" s="553">
        <f t="shared" ref="CU14:DC14" si="9">CT14</f>
        <v>2955</v>
      </c>
      <c r="CV14" s="553">
        <f t="shared" si="9"/>
        <v>2955</v>
      </c>
      <c r="CW14" s="553">
        <f t="shared" si="9"/>
        <v>2955</v>
      </c>
      <c r="CX14" s="553">
        <f t="shared" si="9"/>
        <v>2955</v>
      </c>
      <c r="CY14" s="553">
        <f t="shared" si="9"/>
        <v>2955</v>
      </c>
      <c r="CZ14" s="553">
        <f t="shared" si="9"/>
        <v>2955</v>
      </c>
      <c r="DA14" s="553">
        <f t="shared" si="9"/>
        <v>2955</v>
      </c>
      <c r="DB14" s="553">
        <f t="shared" si="9"/>
        <v>2955</v>
      </c>
      <c r="DC14" s="553">
        <f t="shared" si="9"/>
        <v>2955</v>
      </c>
      <c r="DD14" s="560">
        <f>CT14</f>
        <v>2955</v>
      </c>
      <c r="DE14" s="565"/>
      <c r="DF14" s="553">
        <f>DC14</f>
        <v>2955</v>
      </c>
      <c r="DG14" s="553">
        <f>DF14</f>
        <v>2955</v>
      </c>
      <c r="DH14" s="553">
        <f t="shared" ref="DH14:DQ14" si="10">DG14</f>
        <v>2955</v>
      </c>
      <c r="DI14" s="553">
        <f t="shared" si="10"/>
        <v>2955</v>
      </c>
      <c r="DJ14" s="553">
        <f t="shared" si="10"/>
        <v>2955</v>
      </c>
      <c r="DK14" s="553">
        <f t="shared" si="10"/>
        <v>2955</v>
      </c>
      <c r="DL14" s="553">
        <f t="shared" si="10"/>
        <v>2955</v>
      </c>
      <c r="DM14" s="562">
        <f t="shared" si="10"/>
        <v>2955</v>
      </c>
      <c r="DN14" s="553">
        <f t="shared" si="10"/>
        <v>2955</v>
      </c>
      <c r="DO14" s="553">
        <f t="shared" si="10"/>
        <v>2955</v>
      </c>
      <c r="DP14" s="553">
        <f t="shared" si="10"/>
        <v>2955</v>
      </c>
      <c r="DQ14" s="553">
        <f t="shared" si="10"/>
        <v>2955</v>
      </c>
      <c r="DR14" s="560">
        <f>DH14</f>
        <v>2955</v>
      </c>
      <c r="DS14" s="565"/>
      <c r="DT14" s="553">
        <f>DQ14</f>
        <v>2955</v>
      </c>
      <c r="DU14" s="553">
        <f>DT14</f>
        <v>2955</v>
      </c>
      <c r="DV14" s="553">
        <f t="shared" ref="DV14:EE14" si="11">DU14</f>
        <v>2955</v>
      </c>
      <c r="DW14" s="553">
        <f t="shared" si="11"/>
        <v>2955</v>
      </c>
      <c r="DX14" s="553">
        <f t="shared" si="11"/>
        <v>2955</v>
      </c>
      <c r="DY14" s="553">
        <f t="shared" si="11"/>
        <v>2955</v>
      </c>
      <c r="DZ14" s="553">
        <f t="shared" si="11"/>
        <v>2955</v>
      </c>
      <c r="EA14" s="553">
        <f t="shared" si="11"/>
        <v>2955</v>
      </c>
      <c r="EB14" s="553">
        <f t="shared" si="11"/>
        <v>2955</v>
      </c>
      <c r="EC14" s="553">
        <f t="shared" si="11"/>
        <v>2955</v>
      </c>
      <c r="ED14" s="553">
        <f t="shared" si="11"/>
        <v>2955</v>
      </c>
      <c r="EE14" s="553">
        <f t="shared" si="11"/>
        <v>2955</v>
      </c>
      <c r="EF14" s="560">
        <f>DV14</f>
        <v>2955</v>
      </c>
      <c r="EG14" s="565"/>
      <c r="EH14" s="553">
        <f>EE14</f>
        <v>2955</v>
      </c>
      <c r="EI14" s="562">
        <f t="shared" ref="EI14:ES14" si="12">EH14</f>
        <v>2955</v>
      </c>
      <c r="EJ14" s="553">
        <f t="shared" si="12"/>
        <v>2955</v>
      </c>
      <c r="EK14" s="553">
        <f t="shared" si="12"/>
        <v>2955</v>
      </c>
      <c r="EL14" s="553">
        <f t="shared" si="12"/>
        <v>2955</v>
      </c>
      <c r="EM14" s="553">
        <f t="shared" si="12"/>
        <v>2955</v>
      </c>
      <c r="EN14" s="553">
        <f t="shared" si="12"/>
        <v>2955</v>
      </c>
      <c r="EO14" s="553">
        <f t="shared" si="12"/>
        <v>2955</v>
      </c>
      <c r="EP14" s="553">
        <f t="shared" si="12"/>
        <v>2955</v>
      </c>
      <c r="EQ14" s="553">
        <f t="shared" si="12"/>
        <v>2955</v>
      </c>
      <c r="ER14" s="553">
        <f t="shared" si="12"/>
        <v>2955</v>
      </c>
      <c r="ES14" s="553">
        <f t="shared" si="12"/>
        <v>2955</v>
      </c>
      <c r="ET14" s="560">
        <f>EJ14</f>
        <v>2955</v>
      </c>
      <c r="EU14" s="565"/>
    </row>
    <row r="15" spans="1:151" ht="10.5" customHeight="1" x14ac:dyDescent="0.35">
      <c r="A15" s="547" t="s">
        <v>492</v>
      </c>
      <c r="B15" s="536" t="s">
        <v>1169</v>
      </c>
      <c r="D15" s="552"/>
      <c r="J15" s="531" t="s">
        <v>13</v>
      </c>
      <c r="K15" s="531" t="s">
        <v>456</v>
      </c>
      <c r="X15" s="560"/>
      <c r="Y15" s="565"/>
      <c r="AG15" s="561"/>
      <c r="AH15" s="553">
        <f>$C$12*(1-(Asumsi!$C$20%+Asumsi!$C$21%))</f>
        <v>2550</v>
      </c>
      <c r="AL15" s="560">
        <f>SUM(Z15:AK15)</f>
        <v>2550</v>
      </c>
      <c r="AM15" s="565"/>
      <c r="AZ15" s="560">
        <f>SUM(AN15:AY15)</f>
        <v>0</v>
      </c>
      <c r="BA15" s="565"/>
      <c r="BC15" s="561"/>
      <c r="BD15" s="553">
        <f>$C$12*(1-(Asumsi!$C$20%+Asumsi!$C$21%))</f>
        <v>2550</v>
      </c>
      <c r="BN15" s="560">
        <f>SUM(BB15:BM15)</f>
        <v>2550</v>
      </c>
      <c r="BO15" s="565"/>
      <c r="BW15" s="561"/>
      <c r="BX15" s="553">
        <f>$C$12*(1-(Asumsi!$C$20%+Asumsi!$C$21%))</f>
        <v>2550</v>
      </c>
      <c r="CB15" s="560">
        <f>SUM(BP15:CA15)</f>
        <v>2550</v>
      </c>
      <c r="CC15" s="565"/>
      <c r="CL15" s="553"/>
      <c r="CP15" s="560">
        <f>SUM(CD15:CO15)</f>
        <v>0</v>
      </c>
      <c r="CQ15" s="565"/>
      <c r="CS15" s="561"/>
      <c r="CT15" s="553">
        <f>$C$12*(1-(Asumsi!$C$20%+Asumsi!$C$21%))</f>
        <v>2550</v>
      </c>
      <c r="DD15" s="560">
        <f>SUM(CR15:DC15)</f>
        <v>2550</v>
      </c>
      <c r="DE15" s="565"/>
      <c r="DM15" s="561"/>
      <c r="DN15" s="553">
        <f>$C$12*(1-(Asumsi!$C$20%+Asumsi!$C$21%))</f>
        <v>2550</v>
      </c>
      <c r="DR15" s="560">
        <f>SUM(DF15:DQ15)</f>
        <v>2550</v>
      </c>
      <c r="DS15" s="565"/>
      <c r="EB15" s="553"/>
      <c r="EF15" s="560">
        <f>SUM(DT15:EE15)</f>
        <v>0</v>
      </c>
      <c r="EG15" s="565"/>
      <c r="EI15" s="561"/>
      <c r="EJ15" s="553">
        <f>$C$12*(1-(Asumsi!$C$20%+Asumsi!$C$21%))</f>
        <v>2550</v>
      </c>
      <c r="ES15" s="553">
        <f>$C$12*(1-(Asumsi!$C$20%+Asumsi!$C$21%))</f>
        <v>2550</v>
      </c>
      <c r="ET15" s="560">
        <f>SUM(EH15:ES15)</f>
        <v>5100</v>
      </c>
      <c r="EU15" s="565"/>
    </row>
    <row r="16" spans="1:151" ht="10.5" customHeight="1" x14ac:dyDescent="0.35">
      <c r="B16" s="536" t="s">
        <v>447</v>
      </c>
      <c r="C16" s="554">
        <f>Asumsi!C16</f>
        <v>2</v>
      </c>
      <c r="D16" s="552" t="s">
        <v>471</v>
      </c>
      <c r="I16" s="547">
        <v>1.2</v>
      </c>
      <c r="J16" s="531" t="s">
        <v>1074</v>
      </c>
      <c r="N16" s="553">
        <f>N14*Asumsi!C22%*30</f>
        <v>75352.5</v>
      </c>
      <c r="O16" s="553">
        <f>N16</f>
        <v>75352.5</v>
      </c>
      <c r="P16" s="553">
        <f t="shared" ref="P16:W16" si="13">O16</f>
        <v>75352.5</v>
      </c>
      <c r="Q16" s="553">
        <f t="shared" si="13"/>
        <v>75352.5</v>
      </c>
      <c r="R16" s="553">
        <f t="shared" si="13"/>
        <v>75352.5</v>
      </c>
      <c r="S16" s="553">
        <f t="shared" si="13"/>
        <v>75352.5</v>
      </c>
      <c r="T16" s="553">
        <f t="shared" si="13"/>
        <v>75352.5</v>
      </c>
      <c r="U16" s="553">
        <f t="shared" si="13"/>
        <v>75352.5</v>
      </c>
      <c r="V16" s="553">
        <f t="shared" si="13"/>
        <v>75352.5</v>
      </c>
      <c r="W16" s="553">
        <f t="shared" si="13"/>
        <v>75352.5</v>
      </c>
      <c r="X16" s="560">
        <f>SUM(L16:W16)</f>
        <v>753525</v>
      </c>
      <c r="Y16" s="565"/>
      <c r="Z16" s="553">
        <f>W16</f>
        <v>75352.5</v>
      </c>
      <c r="AA16" s="553">
        <f>Z16</f>
        <v>75352.5</v>
      </c>
      <c r="AB16" s="553">
        <f t="shared" ref="AB16:AG16" si="14">AA16</f>
        <v>75352.5</v>
      </c>
      <c r="AC16" s="553">
        <f t="shared" si="14"/>
        <v>75352.5</v>
      </c>
      <c r="AD16" s="553">
        <f t="shared" si="14"/>
        <v>75352.5</v>
      </c>
      <c r="AE16" s="553">
        <f t="shared" si="14"/>
        <v>75352.5</v>
      </c>
      <c r="AF16" s="553">
        <f t="shared" si="14"/>
        <v>75352.5</v>
      </c>
      <c r="AG16" s="562">
        <f t="shared" si="14"/>
        <v>75352.5</v>
      </c>
      <c r="AH16" s="553">
        <f t="shared" ref="AH16:AK16" si="15">AG16</f>
        <v>75352.5</v>
      </c>
      <c r="AI16" s="553">
        <f t="shared" si="15"/>
        <v>75352.5</v>
      </c>
      <c r="AJ16" s="553">
        <f t="shared" si="15"/>
        <v>75352.5</v>
      </c>
      <c r="AK16" s="553">
        <f t="shared" si="15"/>
        <v>75352.5</v>
      </c>
      <c r="AL16" s="560">
        <f>SUM(Z16:AK16)</f>
        <v>904230</v>
      </c>
      <c r="AM16" s="565"/>
      <c r="AN16" s="553">
        <f>AK16</f>
        <v>75352.5</v>
      </c>
      <c r="AO16" s="553">
        <f>AN16</f>
        <v>75352.5</v>
      </c>
      <c r="AP16" s="553">
        <f t="shared" ref="AP16" si="16">AO16</f>
        <v>75352.5</v>
      </c>
      <c r="AQ16" s="553">
        <f t="shared" ref="AQ16:AY16" si="17">AP16</f>
        <v>75352.5</v>
      </c>
      <c r="AR16" s="553">
        <f t="shared" si="17"/>
        <v>75352.5</v>
      </c>
      <c r="AS16" s="553">
        <f t="shared" si="17"/>
        <v>75352.5</v>
      </c>
      <c r="AT16" s="553">
        <f t="shared" si="17"/>
        <v>75352.5</v>
      </c>
      <c r="AU16" s="553">
        <f t="shared" si="17"/>
        <v>75352.5</v>
      </c>
      <c r="AV16" s="553">
        <f t="shared" si="17"/>
        <v>75352.5</v>
      </c>
      <c r="AW16" s="553">
        <f t="shared" si="17"/>
        <v>75352.5</v>
      </c>
      <c r="AX16" s="553">
        <f t="shared" si="17"/>
        <v>75352.5</v>
      </c>
      <c r="AY16" s="553">
        <f t="shared" si="17"/>
        <v>75352.5</v>
      </c>
      <c r="AZ16" s="560">
        <f>SUM(AN16:AY16)</f>
        <v>904230</v>
      </c>
      <c r="BA16" s="565"/>
      <c r="BB16" s="553">
        <f>AY16</f>
        <v>75352.5</v>
      </c>
      <c r="BC16" s="562">
        <f>BB16</f>
        <v>75352.5</v>
      </c>
      <c r="BD16" s="553">
        <f t="shared" ref="BD16:BM16" si="18">BC16</f>
        <v>75352.5</v>
      </c>
      <c r="BE16" s="553">
        <f t="shared" si="18"/>
        <v>75352.5</v>
      </c>
      <c r="BF16" s="553">
        <f t="shared" si="18"/>
        <v>75352.5</v>
      </c>
      <c r="BG16" s="553">
        <f t="shared" si="18"/>
        <v>75352.5</v>
      </c>
      <c r="BH16" s="553">
        <f t="shared" si="18"/>
        <v>75352.5</v>
      </c>
      <c r="BI16" s="553">
        <f t="shared" si="18"/>
        <v>75352.5</v>
      </c>
      <c r="BJ16" s="553">
        <f t="shared" si="18"/>
        <v>75352.5</v>
      </c>
      <c r="BK16" s="553">
        <f t="shared" si="18"/>
        <v>75352.5</v>
      </c>
      <c r="BL16" s="553">
        <f t="shared" si="18"/>
        <v>75352.5</v>
      </c>
      <c r="BM16" s="553">
        <f t="shared" si="18"/>
        <v>75352.5</v>
      </c>
      <c r="BN16" s="560">
        <f>SUM(BB16:BM16)</f>
        <v>904230</v>
      </c>
      <c r="BO16" s="565"/>
      <c r="BP16" s="553">
        <f>BM16</f>
        <v>75352.5</v>
      </c>
      <c r="BQ16" s="553">
        <f>BP16</f>
        <v>75352.5</v>
      </c>
      <c r="BR16" s="553">
        <f t="shared" ref="BR16:CA16" si="19">BQ16</f>
        <v>75352.5</v>
      </c>
      <c r="BS16" s="553">
        <f t="shared" si="19"/>
        <v>75352.5</v>
      </c>
      <c r="BT16" s="553">
        <f t="shared" si="19"/>
        <v>75352.5</v>
      </c>
      <c r="BU16" s="553">
        <f t="shared" si="19"/>
        <v>75352.5</v>
      </c>
      <c r="BV16" s="553">
        <f t="shared" si="19"/>
        <v>75352.5</v>
      </c>
      <c r="BW16" s="562">
        <f t="shared" si="19"/>
        <v>75352.5</v>
      </c>
      <c r="BX16" s="553">
        <f t="shared" si="19"/>
        <v>75352.5</v>
      </c>
      <c r="BY16" s="553">
        <f t="shared" si="19"/>
        <v>75352.5</v>
      </c>
      <c r="BZ16" s="553">
        <f t="shared" si="19"/>
        <v>75352.5</v>
      </c>
      <c r="CA16" s="553">
        <f t="shared" si="19"/>
        <v>75352.5</v>
      </c>
      <c r="CB16" s="560">
        <f>SUM(BP16:CA16)</f>
        <v>904230</v>
      </c>
      <c r="CC16" s="565"/>
      <c r="CD16" s="553">
        <f>CA16</f>
        <v>75352.5</v>
      </c>
      <c r="CE16" s="553">
        <f>CD16</f>
        <v>75352.5</v>
      </c>
      <c r="CF16" s="553">
        <f t="shared" ref="CF16:CO16" si="20">CE16</f>
        <v>75352.5</v>
      </c>
      <c r="CG16" s="553">
        <f t="shared" si="20"/>
        <v>75352.5</v>
      </c>
      <c r="CH16" s="553">
        <f t="shared" si="20"/>
        <v>75352.5</v>
      </c>
      <c r="CI16" s="553">
        <f t="shared" si="20"/>
        <v>75352.5</v>
      </c>
      <c r="CJ16" s="553">
        <f t="shared" si="20"/>
        <v>75352.5</v>
      </c>
      <c r="CK16" s="553">
        <f t="shared" si="20"/>
        <v>75352.5</v>
      </c>
      <c r="CL16" s="553">
        <f t="shared" si="20"/>
        <v>75352.5</v>
      </c>
      <c r="CM16" s="553">
        <f t="shared" si="20"/>
        <v>75352.5</v>
      </c>
      <c r="CN16" s="553">
        <f t="shared" si="20"/>
        <v>75352.5</v>
      </c>
      <c r="CO16" s="553">
        <f t="shared" si="20"/>
        <v>75352.5</v>
      </c>
      <c r="CP16" s="560">
        <f>SUM(CD16:CO16)</f>
        <v>904230</v>
      </c>
      <c r="CQ16" s="565"/>
      <c r="CR16" s="553">
        <f>CO16</f>
        <v>75352.5</v>
      </c>
      <c r="CS16" s="562">
        <f t="shared" ref="CS16:CT16" si="21">CR16</f>
        <v>75352.5</v>
      </c>
      <c r="CT16" s="553">
        <f t="shared" si="21"/>
        <v>75352.5</v>
      </c>
      <c r="CU16" s="553">
        <f t="shared" ref="CU16:DC16" si="22">CT16</f>
        <v>75352.5</v>
      </c>
      <c r="CV16" s="553">
        <f t="shared" si="22"/>
        <v>75352.5</v>
      </c>
      <c r="CW16" s="553">
        <f t="shared" si="22"/>
        <v>75352.5</v>
      </c>
      <c r="CX16" s="553">
        <f t="shared" si="22"/>
        <v>75352.5</v>
      </c>
      <c r="CY16" s="553">
        <f t="shared" si="22"/>
        <v>75352.5</v>
      </c>
      <c r="CZ16" s="553">
        <f t="shared" si="22"/>
        <v>75352.5</v>
      </c>
      <c r="DA16" s="553">
        <f t="shared" si="22"/>
        <v>75352.5</v>
      </c>
      <c r="DB16" s="553">
        <f t="shared" si="22"/>
        <v>75352.5</v>
      </c>
      <c r="DC16" s="553">
        <f t="shared" si="22"/>
        <v>75352.5</v>
      </c>
      <c r="DD16" s="560">
        <f>SUM(CR16:DC16)</f>
        <v>904230</v>
      </c>
      <c r="DE16" s="565"/>
      <c r="DF16" s="553">
        <f>DC16</f>
        <v>75352.5</v>
      </c>
      <c r="DG16" s="553">
        <f>DF16</f>
        <v>75352.5</v>
      </c>
      <c r="DH16" s="553">
        <f t="shared" ref="DH16:DQ16" si="23">DG16</f>
        <v>75352.5</v>
      </c>
      <c r="DI16" s="553">
        <f t="shared" si="23"/>
        <v>75352.5</v>
      </c>
      <c r="DJ16" s="553">
        <f t="shared" si="23"/>
        <v>75352.5</v>
      </c>
      <c r="DK16" s="553">
        <f t="shared" si="23"/>
        <v>75352.5</v>
      </c>
      <c r="DL16" s="553">
        <f t="shared" si="23"/>
        <v>75352.5</v>
      </c>
      <c r="DM16" s="562">
        <f t="shared" si="23"/>
        <v>75352.5</v>
      </c>
      <c r="DN16" s="553">
        <f t="shared" si="23"/>
        <v>75352.5</v>
      </c>
      <c r="DO16" s="553">
        <f t="shared" si="23"/>
        <v>75352.5</v>
      </c>
      <c r="DP16" s="553">
        <f t="shared" si="23"/>
        <v>75352.5</v>
      </c>
      <c r="DQ16" s="553">
        <f t="shared" si="23"/>
        <v>75352.5</v>
      </c>
      <c r="DR16" s="560">
        <f>SUM(DF16:DQ16)</f>
        <v>904230</v>
      </c>
      <c r="DS16" s="565"/>
      <c r="DT16" s="553">
        <f>DQ16</f>
        <v>75352.5</v>
      </c>
      <c r="DU16" s="553">
        <f>DT16</f>
        <v>75352.5</v>
      </c>
      <c r="DV16" s="553">
        <f t="shared" ref="DV16:EE16" si="24">DU16</f>
        <v>75352.5</v>
      </c>
      <c r="DW16" s="553">
        <f t="shared" si="24"/>
        <v>75352.5</v>
      </c>
      <c r="DX16" s="553">
        <f t="shared" si="24"/>
        <v>75352.5</v>
      </c>
      <c r="DY16" s="553">
        <f t="shared" si="24"/>
        <v>75352.5</v>
      </c>
      <c r="DZ16" s="553">
        <f t="shared" si="24"/>
        <v>75352.5</v>
      </c>
      <c r="EA16" s="553">
        <f t="shared" si="24"/>
        <v>75352.5</v>
      </c>
      <c r="EB16" s="553">
        <f t="shared" si="24"/>
        <v>75352.5</v>
      </c>
      <c r="EC16" s="553">
        <f t="shared" si="24"/>
        <v>75352.5</v>
      </c>
      <c r="ED16" s="553">
        <f t="shared" si="24"/>
        <v>75352.5</v>
      </c>
      <c r="EE16" s="553">
        <f t="shared" si="24"/>
        <v>75352.5</v>
      </c>
      <c r="EF16" s="560">
        <f>SUM(DT16:EE16)</f>
        <v>904230</v>
      </c>
      <c r="EG16" s="565"/>
      <c r="EH16" s="553">
        <f>EE16</f>
        <v>75352.5</v>
      </c>
      <c r="EI16" s="562">
        <f t="shared" ref="EI16:ES16" si="25">EH16</f>
        <v>75352.5</v>
      </c>
      <c r="EJ16" s="553">
        <f t="shared" si="25"/>
        <v>75352.5</v>
      </c>
      <c r="EK16" s="553">
        <f t="shared" si="25"/>
        <v>75352.5</v>
      </c>
      <c r="EL16" s="553">
        <f t="shared" si="25"/>
        <v>75352.5</v>
      </c>
      <c r="EM16" s="553">
        <f t="shared" si="25"/>
        <v>75352.5</v>
      </c>
      <c r="EN16" s="553">
        <f t="shared" si="25"/>
        <v>75352.5</v>
      </c>
      <c r="EO16" s="553">
        <f t="shared" si="25"/>
        <v>75352.5</v>
      </c>
      <c r="EP16" s="553">
        <f t="shared" si="25"/>
        <v>75352.5</v>
      </c>
      <c r="EQ16" s="553">
        <f t="shared" si="25"/>
        <v>75352.5</v>
      </c>
      <c r="ER16" s="553">
        <f t="shared" si="25"/>
        <v>75352.5</v>
      </c>
      <c r="ES16" s="553">
        <f t="shared" si="25"/>
        <v>75352.5</v>
      </c>
      <c r="ET16" s="560">
        <f>SUM(EH16:ES16)</f>
        <v>904230</v>
      </c>
      <c r="EU16" s="565"/>
    </row>
    <row r="17" spans="1:151" ht="10.5" customHeight="1" x14ac:dyDescent="0.35">
      <c r="B17" s="536" t="s">
        <v>448</v>
      </c>
      <c r="C17" s="554">
        <f>Asumsi!C17</f>
        <v>17.5</v>
      </c>
      <c r="D17" s="552" t="s">
        <v>471</v>
      </c>
      <c r="I17" s="547" t="s">
        <v>1167</v>
      </c>
      <c r="J17" s="531" t="s">
        <v>494</v>
      </c>
      <c r="X17" s="560"/>
      <c r="Y17" s="565"/>
      <c r="AG17" s="561"/>
      <c r="AL17" s="560"/>
      <c r="AM17" s="565"/>
      <c r="AZ17" s="560"/>
      <c r="BA17" s="565"/>
      <c r="BC17" s="561"/>
      <c r="BN17" s="560"/>
      <c r="BO17" s="565"/>
      <c r="BW17" s="561"/>
      <c r="CB17" s="560"/>
      <c r="CC17" s="565"/>
      <c r="CP17" s="560"/>
      <c r="CQ17" s="565"/>
      <c r="CS17" s="561"/>
      <c r="DD17" s="560"/>
      <c r="DE17" s="565"/>
      <c r="DM17" s="561"/>
      <c r="DR17" s="560"/>
      <c r="DS17" s="565"/>
      <c r="EF17" s="560"/>
      <c r="EG17" s="565"/>
      <c r="EI17" s="561"/>
      <c r="ET17" s="560"/>
      <c r="EU17" s="565"/>
    </row>
    <row r="18" spans="1:151" ht="10.5" customHeight="1" x14ac:dyDescent="0.35">
      <c r="B18" s="536" t="s">
        <v>1170</v>
      </c>
      <c r="C18" s="554">
        <f>C17</f>
        <v>17.5</v>
      </c>
      <c r="D18" s="552" t="s">
        <v>471</v>
      </c>
      <c r="I18" s="536"/>
      <c r="J18" s="531" t="s">
        <v>9</v>
      </c>
      <c r="K18" s="531" t="s">
        <v>1061</v>
      </c>
      <c r="L18" s="553">
        <f>L13*$C$21*30</f>
        <v>8100</v>
      </c>
      <c r="M18" s="553">
        <f>M13*$C$21*30</f>
        <v>8100</v>
      </c>
      <c r="X18" s="560">
        <f t="shared" ref="X18:X41" si="26">SUM(L18:W18)</f>
        <v>16200</v>
      </c>
      <c r="Y18" s="565"/>
      <c r="Z18" s="553"/>
      <c r="AA18" s="553"/>
      <c r="AF18" s="553">
        <f>AF13*$C$21*30</f>
        <v>8100</v>
      </c>
      <c r="AG18" s="562">
        <f>AG13*$C$21*30</f>
        <v>8100</v>
      </c>
      <c r="AL18" s="560">
        <f t="shared" ref="AL18:AL19" si="27">SUM(Z18:AK18)</f>
        <v>16200</v>
      </c>
      <c r="AM18" s="565"/>
      <c r="AN18" s="553"/>
      <c r="AO18" s="553"/>
      <c r="AZ18" s="560">
        <f t="shared" ref="AZ18:AZ19" si="28">SUM(AN18:AY18)</f>
        <v>0</v>
      </c>
      <c r="BA18" s="565"/>
      <c r="BB18" s="553">
        <f>BB13*$C$21*30</f>
        <v>8100</v>
      </c>
      <c r="BC18" s="562">
        <f>BC13*$C$21*30</f>
        <v>8100</v>
      </c>
      <c r="BN18" s="560">
        <f t="shared" ref="BN18:BN19" si="29">SUM(BB18:BM18)</f>
        <v>16200</v>
      </c>
      <c r="BO18" s="565"/>
      <c r="BP18" s="553"/>
      <c r="BQ18" s="553"/>
      <c r="BV18" s="553">
        <f>BV13*$C$21*30</f>
        <v>8100</v>
      </c>
      <c r="BW18" s="562">
        <f>BW13*$C$21*30</f>
        <v>8100</v>
      </c>
      <c r="CB18" s="560">
        <f t="shared" ref="CB18:CB19" si="30">SUM(BP18:CA18)</f>
        <v>16200</v>
      </c>
      <c r="CC18" s="565"/>
      <c r="CD18" s="553"/>
      <c r="CE18" s="553"/>
      <c r="CJ18" s="553"/>
      <c r="CK18" s="553"/>
      <c r="CP18" s="560">
        <f t="shared" ref="CP18:CP19" si="31">SUM(CD18:CO18)</f>
        <v>0</v>
      </c>
      <c r="CQ18" s="565"/>
      <c r="CR18" s="553">
        <f>CR13*$C$21*30</f>
        <v>8100</v>
      </c>
      <c r="CS18" s="562">
        <f>CS13*$C$21*30</f>
        <v>8100</v>
      </c>
      <c r="DD18" s="560">
        <f t="shared" ref="DD18:DD19" si="32">SUM(CR18:DC18)</f>
        <v>16200</v>
      </c>
      <c r="DE18" s="565"/>
      <c r="DF18" s="553"/>
      <c r="DG18" s="553"/>
      <c r="DL18" s="553">
        <f>DL13*$C$21*30</f>
        <v>8100</v>
      </c>
      <c r="DM18" s="562">
        <f>DM13*$C$21*30</f>
        <v>8100</v>
      </c>
      <c r="DR18" s="560">
        <f t="shared" ref="DR18:DR19" si="33">SUM(DF18:DQ18)</f>
        <v>16200</v>
      </c>
      <c r="DS18" s="565"/>
      <c r="DT18" s="553"/>
      <c r="DU18" s="553"/>
      <c r="DZ18" s="553"/>
      <c r="EA18" s="553"/>
      <c r="EF18" s="560">
        <f t="shared" ref="EF18:EF19" si="34">SUM(DT18:EE18)</f>
        <v>0</v>
      </c>
      <c r="EG18" s="565"/>
      <c r="EH18" s="553">
        <f>EH13*$C$21*30</f>
        <v>8100</v>
      </c>
      <c r="EI18" s="562">
        <f>EI13*$C$21*30</f>
        <v>8100</v>
      </c>
      <c r="ET18" s="560">
        <f t="shared" ref="ET18:ET19" si="35">SUM(EH18:ES18)</f>
        <v>16200</v>
      </c>
      <c r="EU18" s="565"/>
    </row>
    <row r="19" spans="1:151" ht="10.5" customHeight="1" x14ac:dyDescent="0.35">
      <c r="A19" s="547" t="s">
        <v>440</v>
      </c>
      <c r="B19" s="536" t="s">
        <v>493</v>
      </c>
      <c r="C19" s="651" t="s">
        <v>53</v>
      </c>
      <c r="D19" s="651"/>
      <c r="E19" s="651"/>
      <c r="F19" s="651" t="s">
        <v>50</v>
      </c>
      <c r="G19" s="651"/>
      <c r="I19" s="536"/>
      <c r="J19" s="531" t="s">
        <v>10</v>
      </c>
      <c r="K19" s="531" t="s">
        <v>1062</v>
      </c>
      <c r="L19" s="553"/>
      <c r="M19" s="553"/>
      <c r="N19" s="553">
        <f>N14*$C$22*30</f>
        <v>9751.5</v>
      </c>
      <c r="O19" s="553">
        <f>N19</f>
        <v>9751.5</v>
      </c>
      <c r="P19" s="553">
        <f t="shared" ref="P19:W19" si="36">O19</f>
        <v>9751.5</v>
      </c>
      <c r="Q19" s="553">
        <f t="shared" si="36"/>
        <v>9751.5</v>
      </c>
      <c r="R19" s="553">
        <f t="shared" si="36"/>
        <v>9751.5</v>
      </c>
      <c r="S19" s="553">
        <f t="shared" si="36"/>
        <v>9751.5</v>
      </c>
      <c r="T19" s="553">
        <f t="shared" si="36"/>
        <v>9751.5</v>
      </c>
      <c r="U19" s="553">
        <f t="shared" si="36"/>
        <v>9751.5</v>
      </c>
      <c r="V19" s="553">
        <f t="shared" si="36"/>
        <v>9751.5</v>
      </c>
      <c r="W19" s="553">
        <f t="shared" si="36"/>
        <v>9751.5</v>
      </c>
      <c r="X19" s="560">
        <f t="shared" si="26"/>
        <v>97515</v>
      </c>
      <c r="Y19" s="566"/>
      <c r="Z19" s="553">
        <f>W19</f>
        <v>9751.5</v>
      </c>
      <c r="AA19" s="553">
        <f>Z19</f>
        <v>9751.5</v>
      </c>
      <c r="AB19" s="553">
        <f>AB14*$C$22*30</f>
        <v>9751.5</v>
      </c>
      <c r="AC19" s="553">
        <f>AB19</f>
        <v>9751.5</v>
      </c>
      <c r="AD19" s="553">
        <f t="shared" ref="AD19:AK19" si="37">AC19</f>
        <v>9751.5</v>
      </c>
      <c r="AE19" s="553">
        <f t="shared" si="37"/>
        <v>9751.5</v>
      </c>
      <c r="AF19" s="553">
        <f t="shared" si="37"/>
        <v>9751.5</v>
      </c>
      <c r="AG19" s="562">
        <f t="shared" si="37"/>
        <v>9751.5</v>
      </c>
      <c r="AH19" s="553">
        <f t="shared" si="37"/>
        <v>9751.5</v>
      </c>
      <c r="AI19" s="553">
        <f t="shared" si="37"/>
        <v>9751.5</v>
      </c>
      <c r="AJ19" s="553">
        <f t="shared" si="37"/>
        <v>9751.5</v>
      </c>
      <c r="AK19" s="553">
        <f t="shared" si="37"/>
        <v>9751.5</v>
      </c>
      <c r="AL19" s="560">
        <f t="shared" si="27"/>
        <v>117018</v>
      </c>
      <c r="AM19" s="566"/>
      <c r="AN19" s="553">
        <f>AK19</f>
        <v>9751.5</v>
      </c>
      <c r="AO19" s="553">
        <f>AN19</f>
        <v>9751.5</v>
      </c>
      <c r="AP19" s="553">
        <f>AP14*$C$22*30</f>
        <v>9751.5</v>
      </c>
      <c r="AQ19" s="553">
        <f t="shared" ref="AQ19:AY19" si="38">AQ14*$C$22*30</f>
        <v>9751.5</v>
      </c>
      <c r="AR19" s="553">
        <f t="shared" si="38"/>
        <v>9751.5</v>
      </c>
      <c r="AS19" s="553">
        <f t="shared" si="38"/>
        <v>9751.5</v>
      </c>
      <c r="AT19" s="553">
        <f t="shared" si="38"/>
        <v>9751.5</v>
      </c>
      <c r="AU19" s="553">
        <f t="shared" si="38"/>
        <v>9751.5</v>
      </c>
      <c r="AV19" s="553">
        <f t="shared" si="38"/>
        <v>9751.5</v>
      </c>
      <c r="AW19" s="553">
        <f t="shared" si="38"/>
        <v>9751.5</v>
      </c>
      <c r="AX19" s="553">
        <f t="shared" si="38"/>
        <v>9751.5</v>
      </c>
      <c r="AY19" s="553">
        <f t="shared" si="38"/>
        <v>9751.5</v>
      </c>
      <c r="AZ19" s="560">
        <f t="shared" si="28"/>
        <v>117018</v>
      </c>
      <c r="BA19" s="566"/>
      <c r="BB19" s="553">
        <f>AY19</f>
        <v>9751.5</v>
      </c>
      <c r="BC19" s="562">
        <f>BB19</f>
        <v>9751.5</v>
      </c>
      <c r="BD19" s="553">
        <f>BD14*$C$22*30</f>
        <v>9751.5</v>
      </c>
      <c r="BE19" s="553">
        <f t="shared" ref="BE19:BM19" si="39">BE14*$C$22*30</f>
        <v>9751.5</v>
      </c>
      <c r="BF19" s="553">
        <f t="shared" si="39"/>
        <v>9751.5</v>
      </c>
      <c r="BG19" s="553">
        <f t="shared" si="39"/>
        <v>9751.5</v>
      </c>
      <c r="BH19" s="553">
        <f t="shared" si="39"/>
        <v>9751.5</v>
      </c>
      <c r="BI19" s="553">
        <f t="shared" si="39"/>
        <v>9751.5</v>
      </c>
      <c r="BJ19" s="553">
        <f t="shared" si="39"/>
        <v>9751.5</v>
      </c>
      <c r="BK19" s="553">
        <f t="shared" si="39"/>
        <v>9751.5</v>
      </c>
      <c r="BL19" s="553">
        <f t="shared" si="39"/>
        <v>9751.5</v>
      </c>
      <c r="BM19" s="553">
        <f t="shared" si="39"/>
        <v>9751.5</v>
      </c>
      <c r="BN19" s="560">
        <f t="shared" si="29"/>
        <v>117018</v>
      </c>
      <c r="BO19" s="566"/>
      <c r="BP19" s="553">
        <f>BM19</f>
        <v>9751.5</v>
      </c>
      <c r="BQ19" s="553">
        <f>BP19</f>
        <v>9751.5</v>
      </c>
      <c r="BR19" s="553">
        <f>BR14*$C$22*30</f>
        <v>9751.5</v>
      </c>
      <c r="BS19" s="553">
        <f>BR19</f>
        <v>9751.5</v>
      </c>
      <c r="BT19" s="553">
        <f t="shared" ref="BT19:CA19" si="40">BS19</f>
        <v>9751.5</v>
      </c>
      <c r="BU19" s="553">
        <f t="shared" si="40"/>
        <v>9751.5</v>
      </c>
      <c r="BV19" s="553">
        <f t="shared" si="40"/>
        <v>9751.5</v>
      </c>
      <c r="BW19" s="562">
        <f t="shared" si="40"/>
        <v>9751.5</v>
      </c>
      <c r="BX19" s="553">
        <f t="shared" si="40"/>
        <v>9751.5</v>
      </c>
      <c r="BY19" s="553">
        <f t="shared" si="40"/>
        <v>9751.5</v>
      </c>
      <c r="BZ19" s="553">
        <f t="shared" si="40"/>
        <v>9751.5</v>
      </c>
      <c r="CA19" s="553">
        <f t="shared" si="40"/>
        <v>9751.5</v>
      </c>
      <c r="CB19" s="560">
        <f t="shared" si="30"/>
        <v>117018</v>
      </c>
      <c r="CC19" s="566"/>
      <c r="CD19" s="553">
        <f>CA19</f>
        <v>9751.5</v>
      </c>
      <c r="CE19" s="553">
        <f>CD19</f>
        <v>9751.5</v>
      </c>
      <c r="CF19" s="553">
        <f>CF14*$C$22*30</f>
        <v>9751.5</v>
      </c>
      <c r="CG19" s="553">
        <f>CF19</f>
        <v>9751.5</v>
      </c>
      <c r="CH19" s="553">
        <f t="shared" ref="CH19:CO19" si="41">CG19</f>
        <v>9751.5</v>
      </c>
      <c r="CI19" s="553">
        <f t="shared" si="41"/>
        <v>9751.5</v>
      </c>
      <c r="CJ19" s="553">
        <f t="shared" si="41"/>
        <v>9751.5</v>
      </c>
      <c r="CK19" s="553">
        <f t="shared" si="41"/>
        <v>9751.5</v>
      </c>
      <c r="CL19" s="553">
        <f t="shared" si="41"/>
        <v>9751.5</v>
      </c>
      <c r="CM19" s="553">
        <f t="shared" si="41"/>
        <v>9751.5</v>
      </c>
      <c r="CN19" s="553">
        <f t="shared" si="41"/>
        <v>9751.5</v>
      </c>
      <c r="CO19" s="553">
        <f t="shared" si="41"/>
        <v>9751.5</v>
      </c>
      <c r="CP19" s="560">
        <f t="shared" si="31"/>
        <v>117018</v>
      </c>
      <c r="CQ19" s="566"/>
      <c r="CR19" s="553">
        <f>CO19</f>
        <v>9751.5</v>
      </c>
      <c r="CS19" s="562">
        <f t="shared" ref="CS19:CT19" si="42">CR19</f>
        <v>9751.5</v>
      </c>
      <c r="CT19" s="553">
        <f t="shared" si="42"/>
        <v>9751.5</v>
      </c>
      <c r="CU19" s="553">
        <f t="shared" ref="CU19:DC19" si="43">CU14*$C$22*30</f>
        <v>9751.5</v>
      </c>
      <c r="CV19" s="553">
        <f t="shared" si="43"/>
        <v>9751.5</v>
      </c>
      <c r="CW19" s="553">
        <f t="shared" si="43"/>
        <v>9751.5</v>
      </c>
      <c r="CX19" s="553">
        <f t="shared" si="43"/>
        <v>9751.5</v>
      </c>
      <c r="CY19" s="553">
        <f t="shared" si="43"/>
        <v>9751.5</v>
      </c>
      <c r="CZ19" s="553">
        <f t="shared" si="43"/>
        <v>9751.5</v>
      </c>
      <c r="DA19" s="553">
        <f t="shared" si="43"/>
        <v>9751.5</v>
      </c>
      <c r="DB19" s="553">
        <f t="shared" si="43"/>
        <v>9751.5</v>
      </c>
      <c r="DC19" s="553">
        <f t="shared" si="43"/>
        <v>9751.5</v>
      </c>
      <c r="DD19" s="560">
        <f t="shared" si="32"/>
        <v>117018</v>
      </c>
      <c r="DE19" s="566"/>
      <c r="DF19" s="553">
        <f>DC19</f>
        <v>9751.5</v>
      </c>
      <c r="DG19" s="553">
        <f>DF19</f>
        <v>9751.5</v>
      </c>
      <c r="DH19" s="553">
        <f>DH14*$C$22*30</f>
        <v>9751.5</v>
      </c>
      <c r="DI19" s="553">
        <f>DH19</f>
        <v>9751.5</v>
      </c>
      <c r="DJ19" s="553">
        <f t="shared" ref="DJ19:DQ19" si="44">DI19</f>
        <v>9751.5</v>
      </c>
      <c r="DK19" s="553">
        <f t="shared" si="44"/>
        <v>9751.5</v>
      </c>
      <c r="DL19" s="553">
        <f t="shared" si="44"/>
        <v>9751.5</v>
      </c>
      <c r="DM19" s="562">
        <f t="shared" si="44"/>
        <v>9751.5</v>
      </c>
      <c r="DN19" s="553">
        <f t="shared" si="44"/>
        <v>9751.5</v>
      </c>
      <c r="DO19" s="553">
        <f t="shared" si="44"/>
        <v>9751.5</v>
      </c>
      <c r="DP19" s="553">
        <f t="shared" si="44"/>
        <v>9751.5</v>
      </c>
      <c r="DQ19" s="553">
        <f t="shared" si="44"/>
        <v>9751.5</v>
      </c>
      <c r="DR19" s="560">
        <f t="shared" si="33"/>
        <v>117018</v>
      </c>
      <c r="DS19" s="566"/>
      <c r="DT19" s="553">
        <f>DQ19</f>
        <v>9751.5</v>
      </c>
      <c r="DU19" s="553">
        <f>DT19</f>
        <v>9751.5</v>
      </c>
      <c r="DV19" s="553">
        <f>DV14*$C$22*30</f>
        <v>9751.5</v>
      </c>
      <c r="DW19" s="553">
        <f>DV19</f>
        <v>9751.5</v>
      </c>
      <c r="DX19" s="553">
        <f t="shared" ref="DX19:EE19" si="45">DW19</f>
        <v>9751.5</v>
      </c>
      <c r="DY19" s="553">
        <f t="shared" si="45"/>
        <v>9751.5</v>
      </c>
      <c r="DZ19" s="553">
        <f t="shared" si="45"/>
        <v>9751.5</v>
      </c>
      <c r="EA19" s="553">
        <f t="shared" si="45"/>
        <v>9751.5</v>
      </c>
      <c r="EB19" s="553">
        <f t="shared" si="45"/>
        <v>9751.5</v>
      </c>
      <c r="EC19" s="553">
        <f t="shared" si="45"/>
        <v>9751.5</v>
      </c>
      <c r="ED19" s="553">
        <f t="shared" si="45"/>
        <v>9751.5</v>
      </c>
      <c r="EE19" s="553">
        <f t="shared" si="45"/>
        <v>9751.5</v>
      </c>
      <c r="EF19" s="560">
        <f t="shared" si="34"/>
        <v>117018</v>
      </c>
      <c r="EG19" s="566"/>
      <c r="EH19" s="553">
        <f>EE19</f>
        <v>9751.5</v>
      </c>
      <c r="EI19" s="562">
        <f t="shared" ref="EI19:EJ19" si="46">EH19</f>
        <v>9751.5</v>
      </c>
      <c r="EJ19" s="553">
        <f t="shared" si="46"/>
        <v>9751.5</v>
      </c>
      <c r="EK19" s="553">
        <f t="shared" ref="EK19:ES19" si="47">EK14*$C$22*30</f>
        <v>9751.5</v>
      </c>
      <c r="EL19" s="553">
        <f t="shared" si="47"/>
        <v>9751.5</v>
      </c>
      <c r="EM19" s="553">
        <f t="shared" si="47"/>
        <v>9751.5</v>
      </c>
      <c r="EN19" s="553">
        <f t="shared" si="47"/>
        <v>9751.5</v>
      </c>
      <c r="EO19" s="553">
        <f t="shared" si="47"/>
        <v>9751.5</v>
      </c>
      <c r="EP19" s="553">
        <f t="shared" si="47"/>
        <v>9751.5</v>
      </c>
      <c r="EQ19" s="553">
        <f t="shared" si="47"/>
        <v>9751.5</v>
      </c>
      <c r="ER19" s="553">
        <f t="shared" si="47"/>
        <v>9751.5</v>
      </c>
      <c r="ES19" s="553">
        <f t="shared" si="47"/>
        <v>9751.5</v>
      </c>
      <c r="ET19" s="560">
        <f t="shared" si="35"/>
        <v>117018</v>
      </c>
      <c r="EU19" s="566"/>
    </row>
    <row r="20" spans="1:151" ht="10.5" customHeight="1" x14ac:dyDescent="0.35">
      <c r="A20" s="547" t="s">
        <v>1173</v>
      </c>
      <c r="B20" s="531" t="s">
        <v>494</v>
      </c>
      <c r="C20" s="531"/>
      <c r="I20" s="547" t="s">
        <v>1168</v>
      </c>
      <c r="J20" s="531" t="s">
        <v>667</v>
      </c>
      <c r="X20" s="560"/>
      <c r="Y20" s="565"/>
      <c r="AG20" s="561"/>
      <c r="AL20" s="560"/>
      <c r="AM20" s="565"/>
      <c r="AN20" s="553"/>
      <c r="AZ20" s="560"/>
      <c r="BA20" s="565"/>
      <c r="BB20" s="553"/>
      <c r="BC20" s="561"/>
      <c r="BN20" s="560"/>
      <c r="BO20" s="565"/>
      <c r="BW20" s="561"/>
      <c r="CB20" s="560"/>
      <c r="CC20" s="565"/>
      <c r="CP20" s="560"/>
      <c r="CQ20" s="565"/>
      <c r="CS20" s="561"/>
      <c r="DD20" s="560"/>
      <c r="DE20" s="565"/>
      <c r="DM20" s="561"/>
      <c r="DR20" s="560"/>
      <c r="DS20" s="565"/>
      <c r="EF20" s="560"/>
      <c r="EG20" s="565"/>
      <c r="EI20" s="561"/>
      <c r="ET20" s="560"/>
      <c r="EU20" s="565"/>
    </row>
    <row r="21" spans="1:151" ht="10.5" customHeight="1" x14ac:dyDescent="0.35">
      <c r="B21" s="536" t="s">
        <v>447</v>
      </c>
      <c r="C21" s="555">
        <f>Asumsi!C50</f>
        <v>0.09</v>
      </c>
      <c r="D21" s="552" t="s">
        <v>11</v>
      </c>
      <c r="I21" s="536"/>
      <c r="J21" s="531" t="s">
        <v>9</v>
      </c>
      <c r="K21" s="531" t="s">
        <v>1063</v>
      </c>
      <c r="L21" s="553">
        <f>(L18+L19)*$C$24</f>
        <v>3807</v>
      </c>
      <c r="M21" s="553">
        <f t="shared" ref="M21:W21" si="48">(M18+M19)*$C$24</f>
        <v>3807</v>
      </c>
      <c r="N21" s="553">
        <f t="shared" si="48"/>
        <v>4583.2049999999999</v>
      </c>
      <c r="O21" s="553">
        <f t="shared" si="48"/>
        <v>4583.2049999999999</v>
      </c>
      <c r="P21" s="553">
        <f t="shared" si="48"/>
        <v>4583.2049999999999</v>
      </c>
      <c r="Q21" s="553">
        <f t="shared" si="48"/>
        <v>4583.2049999999999</v>
      </c>
      <c r="R21" s="553">
        <f t="shared" si="48"/>
        <v>4583.2049999999999</v>
      </c>
      <c r="S21" s="553">
        <f t="shared" si="48"/>
        <v>4583.2049999999999</v>
      </c>
      <c r="T21" s="553">
        <f t="shared" si="48"/>
        <v>4583.2049999999999</v>
      </c>
      <c r="U21" s="553">
        <f t="shared" si="48"/>
        <v>4583.2049999999999</v>
      </c>
      <c r="V21" s="553">
        <f t="shared" si="48"/>
        <v>4583.2049999999999</v>
      </c>
      <c r="W21" s="553">
        <f t="shared" si="48"/>
        <v>4583.2049999999999</v>
      </c>
      <c r="X21" s="560">
        <f t="shared" si="26"/>
        <v>53446.05000000001</v>
      </c>
      <c r="Y21" s="565"/>
      <c r="Z21" s="553">
        <f t="shared" ref="Z21:AK21" si="49">(Z18+Z19)*$C$24</f>
        <v>4583.2049999999999</v>
      </c>
      <c r="AA21" s="553">
        <f t="shared" si="49"/>
        <v>4583.2049999999999</v>
      </c>
      <c r="AB21" s="553">
        <f t="shared" si="49"/>
        <v>4583.2049999999999</v>
      </c>
      <c r="AC21" s="553">
        <f t="shared" si="49"/>
        <v>4583.2049999999999</v>
      </c>
      <c r="AD21" s="553">
        <f t="shared" si="49"/>
        <v>4583.2049999999999</v>
      </c>
      <c r="AE21" s="553">
        <f t="shared" si="49"/>
        <v>4583.2049999999999</v>
      </c>
      <c r="AF21" s="553">
        <f t="shared" si="49"/>
        <v>8390.2049999999999</v>
      </c>
      <c r="AG21" s="562">
        <f t="shared" si="49"/>
        <v>8390.2049999999999</v>
      </c>
      <c r="AH21" s="553">
        <f t="shared" si="49"/>
        <v>4583.2049999999999</v>
      </c>
      <c r="AI21" s="553">
        <f t="shared" si="49"/>
        <v>4583.2049999999999</v>
      </c>
      <c r="AJ21" s="553">
        <f t="shared" si="49"/>
        <v>4583.2049999999999</v>
      </c>
      <c r="AK21" s="553">
        <f t="shared" si="49"/>
        <v>4583.2049999999999</v>
      </c>
      <c r="AL21" s="560">
        <f t="shared" ref="AL21:AL29" si="50">SUM(Z21:AK21)</f>
        <v>62612.460000000014</v>
      </c>
      <c r="AM21" s="565"/>
      <c r="AN21" s="553">
        <f t="shared" ref="AN21:AY21" si="51">(AN18+AN19)*$C$24</f>
        <v>4583.2049999999999</v>
      </c>
      <c r="AO21" s="553">
        <f t="shared" si="51"/>
        <v>4583.2049999999999</v>
      </c>
      <c r="AP21" s="553">
        <f t="shared" si="51"/>
        <v>4583.2049999999999</v>
      </c>
      <c r="AQ21" s="553">
        <f t="shared" si="51"/>
        <v>4583.2049999999999</v>
      </c>
      <c r="AR21" s="553">
        <f t="shared" si="51"/>
        <v>4583.2049999999999</v>
      </c>
      <c r="AS21" s="553">
        <f t="shared" si="51"/>
        <v>4583.2049999999999</v>
      </c>
      <c r="AT21" s="553">
        <f t="shared" si="51"/>
        <v>4583.2049999999999</v>
      </c>
      <c r="AU21" s="553">
        <f t="shared" si="51"/>
        <v>4583.2049999999999</v>
      </c>
      <c r="AV21" s="553">
        <f t="shared" si="51"/>
        <v>4583.2049999999999</v>
      </c>
      <c r="AW21" s="553">
        <f t="shared" si="51"/>
        <v>4583.2049999999999</v>
      </c>
      <c r="AX21" s="553">
        <f t="shared" si="51"/>
        <v>4583.2049999999999</v>
      </c>
      <c r="AY21" s="553">
        <f t="shared" si="51"/>
        <v>4583.2049999999999</v>
      </c>
      <c r="AZ21" s="560">
        <f t="shared" ref="AZ21:AZ29" si="52">SUM(AN21:AY21)</f>
        <v>54998.460000000014</v>
      </c>
      <c r="BA21" s="565"/>
      <c r="BB21" s="553">
        <f t="shared" ref="BB21:BM21" si="53">(BB18+BB19)*$C$24</f>
        <v>8390.2049999999999</v>
      </c>
      <c r="BC21" s="562">
        <f t="shared" si="53"/>
        <v>8390.2049999999999</v>
      </c>
      <c r="BD21" s="553">
        <f t="shared" si="53"/>
        <v>4583.2049999999999</v>
      </c>
      <c r="BE21" s="553">
        <f t="shared" si="53"/>
        <v>4583.2049999999999</v>
      </c>
      <c r="BF21" s="553">
        <f t="shared" si="53"/>
        <v>4583.2049999999999</v>
      </c>
      <c r="BG21" s="553">
        <f t="shared" si="53"/>
        <v>4583.2049999999999</v>
      </c>
      <c r="BH21" s="553">
        <f t="shared" si="53"/>
        <v>4583.2049999999999</v>
      </c>
      <c r="BI21" s="553">
        <f t="shared" si="53"/>
        <v>4583.2049999999999</v>
      </c>
      <c r="BJ21" s="553">
        <f t="shared" si="53"/>
        <v>4583.2049999999999</v>
      </c>
      <c r="BK21" s="553">
        <f t="shared" si="53"/>
        <v>4583.2049999999999</v>
      </c>
      <c r="BL21" s="553">
        <f t="shared" si="53"/>
        <v>4583.2049999999999</v>
      </c>
      <c r="BM21" s="553">
        <f t="shared" si="53"/>
        <v>4583.2049999999999</v>
      </c>
      <c r="BN21" s="560">
        <f t="shared" ref="BN21:BN29" si="54">SUM(BB21:BM21)</f>
        <v>62612.460000000014</v>
      </c>
      <c r="BO21" s="565"/>
      <c r="BP21" s="553">
        <f t="shared" ref="BP21:CA21" si="55">(BP18+BP19)*$C$24</f>
        <v>4583.2049999999999</v>
      </c>
      <c r="BQ21" s="553">
        <f t="shared" si="55"/>
        <v>4583.2049999999999</v>
      </c>
      <c r="BR21" s="553">
        <f t="shared" si="55"/>
        <v>4583.2049999999999</v>
      </c>
      <c r="BS21" s="553">
        <f t="shared" si="55"/>
        <v>4583.2049999999999</v>
      </c>
      <c r="BT21" s="553">
        <f t="shared" si="55"/>
        <v>4583.2049999999999</v>
      </c>
      <c r="BU21" s="553">
        <f t="shared" si="55"/>
        <v>4583.2049999999999</v>
      </c>
      <c r="BV21" s="553">
        <f t="shared" si="55"/>
        <v>8390.2049999999999</v>
      </c>
      <c r="BW21" s="562">
        <f t="shared" si="55"/>
        <v>8390.2049999999999</v>
      </c>
      <c r="BX21" s="553">
        <f t="shared" si="55"/>
        <v>4583.2049999999999</v>
      </c>
      <c r="BY21" s="553">
        <f t="shared" si="55"/>
        <v>4583.2049999999999</v>
      </c>
      <c r="BZ21" s="553">
        <f t="shared" si="55"/>
        <v>4583.2049999999999</v>
      </c>
      <c r="CA21" s="553">
        <f t="shared" si="55"/>
        <v>4583.2049999999999</v>
      </c>
      <c r="CB21" s="560">
        <f t="shared" ref="CB21:CB29" si="56">SUM(BP21:CA21)</f>
        <v>62612.460000000014</v>
      </c>
      <c r="CC21" s="565"/>
      <c r="CD21" s="553">
        <f t="shared" ref="CD21:CO21" si="57">(CD18+CD19)*$C$24</f>
        <v>4583.2049999999999</v>
      </c>
      <c r="CE21" s="553">
        <f t="shared" si="57"/>
        <v>4583.2049999999999</v>
      </c>
      <c r="CF21" s="553">
        <f t="shared" si="57"/>
        <v>4583.2049999999999</v>
      </c>
      <c r="CG21" s="553">
        <f t="shared" si="57"/>
        <v>4583.2049999999999</v>
      </c>
      <c r="CH21" s="553">
        <f t="shared" si="57"/>
        <v>4583.2049999999999</v>
      </c>
      <c r="CI21" s="553">
        <f t="shared" si="57"/>
        <v>4583.2049999999999</v>
      </c>
      <c r="CJ21" s="553">
        <f t="shared" si="57"/>
        <v>4583.2049999999999</v>
      </c>
      <c r="CK21" s="553">
        <f t="shared" si="57"/>
        <v>4583.2049999999999</v>
      </c>
      <c r="CL21" s="553">
        <f t="shared" si="57"/>
        <v>4583.2049999999999</v>
      </c>
      <c r="CM21" s="553">
        <f t="shared" si="57"/>
        <v>4583.2049999999999</v>
      </c>
      <c r="CN21" s="553">
        <f t="shared" si="57"/>
        <v>4583.2049999999999</v>
      </c>
      <c r="CO21" s="553">
        <f t="shared" si="57"/>
        <v>4583.2049999999999</v>
      </c>
      <c r="CP21" s="560">
        <f t="shared" ref="CP21:CP29" si="58">SUM(CD21:CO21)</f>
        <v>54998.460000000014</v>
      </c>
      <c r="CQ21" s="565"/>
      <c r="CR21" s="553">
        <f t="shared" ref="CR21:CT21" si="59">(CR18+CR19)*$C$24</f>
        <v>8390.2049999999999</v>
      </c>
      <c r="CS21" s="562">
        <f t="shared" si="59"/>
        <v>8390.2049999999999</v>
      </c>
      <c r="CT21" s="553">
        <f t="shared" si="59"/>
        <v>4583.2049999999999</v>
      </c>
      <c r="CU21" s="553">
        <f t="shared" ref="CU21:DC21" si="60">(CU18+CU19)*$C$24</f>
        <v>4583.2049999999999</v>
      </c>
      <c r="CV21" s="553">
        <f t="shared" si="60"/>
        <v>4583.2049999999999</v>
      </c>
      <c r="CW21" s="553">
        <f t="shared" si="60"/>
        <v>4583.2049999999999</v>
      </c>
      <c r="CX21" s="553">
        <f t="shared" si="60"/>
        <v>4583.2049999999999</v>
      </c>
      <c r="CY21" s="553">
        <f t="shared" si="60"/>
        <v>4583.2049999999999</v>
      </c>
      <c r="CZ21" s="553">
        <f t="shared" si="60"/>
        <v>4583.2049999999999</v>
      </c>
      <c r="DA21" s="553">
        <f t="shared" si="60"/>
        <v>4583.2049999999999</v>
      </c>
      <c r="DB21" s="553">
        <f t="shared" si="60"/>
        <v>4583.2049999999999</v>
      </c>
      <c r="DC21" s="553">
        <f t="shared" si="60"/>
        <v>4583.2049999999999</v>
      </c>
      <c r="DD21" s="560">
        <f t="shared" ref="DD21:DD29" si="61">SUM(CR21:DC21)</f>
        <v>62612.460000000014</v>
      </c>
      <c r="DE21" s="565"/>
      <c r="DF21" s="553">
        <f t="shared" ref="DF21:DQ21" si="62">(DF18+DF19)*$C$24</f>
        <v>4583.2049999999999</v>
      </c>
      <c r="DG21" s="553">
        <f t="shared" si="62"/>
        <v>4583.2049999999999</v>
      </c>
      <c r="DH21" s="553">
        <f t="shared" si="62"/>
        <v>4583.2049999999999</v>
      </c>
      <c r="DI21" s="553">
        <f t="shared" si="62"/>
        <v>4583.2049999999999</v>
      </c>
      <c r="DJ21" s="553">
        <f t="shared" si="62"/>
        <v>4583.2049999999999</v>
      </c>
      <c r="DK21" s="553">
        <f t="shared" si="62"/>
        <v>4583.2049999999999</v>
      </c>
      <c r="DL21" s="553">
        <f t="shared" si="62"/>
        <v>8390.2049999999999</v>
      </c>
      <c r="DM21" s="562">
        <f t="shared" si="62"/>
        <v>8390.2049999999999</v>
      </c>
      <c r="DN21" s="553">
        <f t="shared" si="62"/>
        <v>4583.2049999999999</v>
      </c>
      <c r="DO21" s="553">
        <f t="shared" si="62"/>
        <v>4583.2049999999999</v>
      </c>
      <c r="DP21" s="553">
        <f t="shared" si="62"/>
        <v>4583.2049999999999</v>
      </c>
      <c r="DQ21" s="553">
        <f t="shared" si="62"/>
        <v>4583.2049999999999</v>
      </c>
      <c r="DR21" s="560">
        <f t="shared" ref="DR21:DR29" si="63">SUM(DF21:DQ21)</f>
        <v>62612.460000000014</v>
      </c>
      <c r="DS21" s="565"/>
      <c r="DT21" s="553">
        <f t="shared" ref="DT21:EE21" si="64">(DT18+DT19)*$C$24</f>
        <v>4583.2049999999999</v>
      </c>
      <c r="DU21" s="553">
        <f t="shared" si="64"/>
        <v>4583.2049999999999</v>
      </c>
      <c r="DV21" s="553">
        <f t="shared" si="64"/>
        <v>4583.2049999999999</v>
      </c>
      <c r="DW21" s="553">
        <f t="shared" si="64"/>
        <v>4583.2049999999999</v>
      </c>
      <c r="DX21" s="553">
        <f t="shared" si="64"/>
        <v>4583.2049999999999</v>
      </c>
      <c r="DY21" s="553">
        <f t="shared" si="64"/>
        <v>4583.2049999999999</v>
      </c>
      <c r="DZ21" s="553">
        <f t="shared" si="64"/>
        <v>4583.2049999999999</v>
      </c>
      <c r="EA21" s="553">
        <f t="shared" si="64"/>
        <v>4583.2049999999999</v>
      </c>
      <c r="EB21" s="553">
        <f t="shared" si="64"/>
        <v>4583.2049999999999</v>
      </c>
      <c r="EC21" s="553">
        <f t="shared" si="64"/>
        <v>4583.2049999999999</v>
      </c>
      <c r="ED21" s="553">
        <f t="shared" si="64"/>
        <v>4583.2049999999999</v>
      </c>
      <c r="EE21" s="553">
        <f t="shared" si="64"/>
        <v>4583.2049999999999</v>
      </c>
      <c r="EF21" s="560">
        <f t="shared" ref="EF21:EF29" si="65">SUM(DT21:EE21)</f>
        <v>54998.460000000014</v>
      </c>
      <c r="EG21" s="565"/>
      <c r="EH21" s="553">
        <f t="shared" ref="EH21:ES21" si="66">(EH18+EH19)*$C$24</f>
        <v>8390.2049999999999</v>
      </c>
      <c r="EI21" s="562">
        <f t="shared" si="66"/>
        <v>8390.2049999999999</v>
      </c>
      <c r="EJ21" s="553">
        <f t="shared" si="66"/>
        <v>4583.2049999999999</v>
      </c>
      <c r="EK21" s="553">
        <f t="shared" si="66"/>
        <v>4583.2049999999999</v>
      </c>
      <c r="EL21" s="553">
        <f t="shared" si="66"/>
        <v>4583.2049999999999</v>
      </c>
      <c r="EM21" s="553">
        <f t="shared" si="66"/>
        <v>4583.2049999999999</v>
      </c>
      <c r="EN21" s="553">
        <f t="shared" si="66"/>
        <v>4583.2049999999999</v>
      </c>
      <c r="EO21" s="553">
        <f t="shared" si="66"/>
        <v>4583.2049999999999</v>
      </c>
      <c r="EP21" s="553">
        <f t="shared" si="66"/>
        <v>4583.2049999999999</v>
      </c>
      <c r="EQ21" s="553">
        <f t="shared" si="66"/>
        <v>4583.2049999999999</v>
      </c>
      <c r="ER21" s="553">
        <f t="shared" si="66"/>
        <v>4583.2049999999999</v>
      </c>
      <c r="ES21" s="553">
        <f t="shared" si="66"/>
        <v>4583.2049999999999</v>
      </c>
      <c r="ET21" s="560">
        <f t="shared" ref="ET21:ET29" si="67">SUM(EH21:ES21)</f>
        <v>62612.460000000014</v>
      </c>
      <c r="EU21" s="565"/>
    </row>
    <row r="22" spans="1:151" ht="10.5" customHeight="1" x14ac:dyDescent="0.35">
      <c r="B22" s="536" t="s">
        <v>448</v>
      </c>
      <c r="C22" s="555">
        <f>Asumsi!C51</f>
        <v>0.11</v>
      </c>
      <c r="D22" s="552" t="s">
        <v>11</v>
      </c>
      <c r="I22" s="536"/>
      <c r="J22" s="531" t="s">
        <v>10</v>
      </c>
      <c r="K22" s="531" t="s">
        <v>1064</v>
      </c>
      <c r="L22" s="553">
        <f>(L18+L19)*$C$25</f>
        <v>1093.5</v>
      </c>
      <c r="M22" s="553">
        <f t="shared" ref="M22:W22" si="68">(M18+M19)*$C$25</f>
        <v>1093.5</v>
      </c>
      <c r="N22" s="553">
        <f t="shared" si="68"/>
        <v>1316.4525000000001</v>
      </c>
      <c r="O22" s="553">
        <f t="shared" si="68"/>
        <v>1316.4525000000001</v>
      </c>
      <c r="P22" s="553">
        <f t="shared" si="68"/>
        <v>1316.4525000000001</v>
      </c>
      <c r="Q22" s="553">
        <f t="shared" si="68"/>
        <v>1316.4525000000001</v>
      </c>
      <c r="R22" s="553">
        <f t="shared" si="68"/>
        <v>1316.4525000000001</v>
      </c>
      <c r="S22" s="553">
        <f t="shared" si="68"/>
        <v>1316.4525000000001</v>
      </c>
      <c r="T22" s="553">
        <f t="shared" si="68"/>
        <v>1316.4525000000001</v>
      </c>
      <c r="U22" s="553">
        <f t="shared" si="68"/>
        <v>1316.4525000000001</v>
      </c>
      <c r="V22" s="553">
        <f t="shared" si="68"/>
        <v>1316.4525000000001</v>
      </c>
      <c r="W22" s="553">
        <f t="shared" si="68"/>
        <v>1316.4525000000001</v>
      </c>
      <c r="X22" s="560">
        <f t="shared" si="26"/>
        <v>15351.524999999998</v>
      </c>
      <c r="Y22" s="565"/>
      <c r="Z22" s="553">
        <f t="shared" ref="Z22:AK22" si="69">(Z18+Z19)*$C$25</f>
        <v>1316.4525000000001</v>
      </c>
      <c r="AA22" s="553">
        <f t="shared" si="69"/>
        <v>1316.4525000000001</v>
      </c>
      <c r="AB22" s="553">
        <f t="shared" si="69"/>
        <v>1316.4525000000001</v>
      </c>
      <c r="AC22" s="553">
        <f t="shared" si="69"/>
        <v>1316.4525000000001</v>
      </c>
      <c r="AD22" s="553">
        <f t="shared" si="69"/>
        <v>1316.4525000000001</v>
      </c>
      <c r="AE22" s="553">
        <f t="shared" si="69"/>
        <v>1316.4525000000001</v>
      </c>
      <c r="AF22" s="553">
        <f t="shared" si="69"/>
        <v>2409.9525000000003</v>
      </c>
      <c r="AG22" s="562">
        <f t="shared" si="69"/>
        <v>2409.9525000000003</v>
      </c>
      <c r="AH22" s="553">
        <f t="shared" si="69"/>
        <v>1316.4525000000001</v>
      </c>
      <c r="AI22" s="553">
        <f t="shared" si="69"/>
        <v>1316.4525000000001</v>
      </c>
      <c r="AJ22" s="553">
        <f t="shared" si="69"/>
        <v>1316.4525000000001</v>
      </c>
      <c r="AK22" s="553">
        <f t="shared" si="69"/>
        <v>1316.4525000000001</v>
      </c>
      <c r="AL22" s="560">
        <f t="shared" si="50"/>
        <v>17984.43</v>
      </c>
      <c r="AM22" s="565"/>
      <c r="AN22" s="553">
        <f t="shared" ref="AN22:AY22" si="70">(AN18+AN19)*$C$25</f>
        <v>1316.4525000000001</v>
      </c>
      <c r="AO22" s="553">
        <f t="shared" si="70"/>
        <v>1316.4525000000001</v>
      </c>
      <c r="AP22" s="553">
        <f t="shared" si="70"/>
        <v>1316.4525000000001</v>
      </c>
      <c r="AQ22" s="553">
        <f t="shared" si="70"/>
        <v>1316.4525000000001</v>
      </c>
      <c r="AR22" s="553">
        <f t="shared" si="70"/>
        <v>1316.4525000000001</v>
      </c>
      <c r="AS22" s="553">
        <f t="shared" si="70"/>
        <v>1316.4525000000001</v>
      </c>
      <c r="AT22" s="553">
        <f t="shared" si="70"/>
        <v>1316.4525000000001</v>
      </c>
      <c r="AU22" s="553">
        <f t="shared" si="70"/>
        <v>1316.4525000000001</v>
      </c>
      <c r="AV22" s="553">
        <f t="shared" si="70"/>
        <v>1316.4525000000001</v>
      </c>
      <c r="AW22" s="553">
        <f t="shared" si="70"/>
        <v>1316.4525000000001</v>
      </c>
      <c r="AX22" s="553">
        <f t="shared" si="70"/>
        <v>1316.4525000000001</v>
      </c>
      <c r="AY22" s="553">
        <f t="shared" si="70"/>
        <v>1316.4525000000001</v>
      </c>
      <c r="AZ22" s="560">
        <f t="shared" si="52"/>
        <v>15797.429999999998</v>
      </c>
      <c r="BA22" s="565"/>
      <c r="BB22" s="553">
        <f t="shared" ref="BB22:BM22" si="71">(BB18+BB19)*$C$25</f>
        <v>2409.9525000000003</v>
      </c>
      <c r="BC22" s="562">
        <f t="shared" si="71"/>
        <v>2409.9525000000003</v>
      </c>
      <c r="BD22" s="553">
        <f t="shared" si="71"/>
        <v>1316.4525000000001</v>
      </c>
      <c r="BE22" s="553">
        <f t="shared" si="71"/>
        <v>1316.4525000000001</v>
      </c>
      <c r="BF22" s="553">
        <f t="shared" si="71"/>
        <v>1316.4525000000001</v>
      </c>
      <c r="BG22" s="553">
        <f t="shared" si="71"/>
        <v>1316.4525000000001</v>
      </c>
      <c r="BH22" s="553">
        <f t="shared" si="71"/>
        <v>1316.4525000000001</v>
      </c>
      <c r="BI22" s="553">
        <f t="shared" si="71"/>
        <v>1316.4525000000001</v>
      </c>
      <c r="BJ22" s="553">
        <f t="shared" si="71"/>
        <v>1316.4525000000001</v>
      </c>
      <c r="BK22" s="553">
        <f t="shared" si="71"/>
        <v>1316.4525000000001</v>
      </c>
      <c r="BL22" s="553">
        <f t="shared" si="71"/>
        <v>1316.4525000000001</v>
      </c>
      <c r="BM22" s="553">
        <f t="shared" si="71"/>
        <v>1316.4525000000001</v>
      </c>
      <c r="BN22" s="560">
        <f t="shared" si="54"/>
        <v>17984.429999999997</v>
      </c>
      <c r="BO22" s="565"/>
      <c r="BP22" s="553">
        <f t="shared" ref="BP22:CA22" si="72">(BP18+BP19)*$C$25</f>
        <v>1316.4525000000001</v>
      </c>
      <c r="BQ22" s="553">
        <f t="shared" si="72"/>
        <v>1316.4525000000001</v>
      </c>
      <c r="BR22" s="553">
        <f t="shared" si="72"/>
        <v>1316.4525000000001</v>
      </c>
      <c r="BS22" s="553">
        <f t="shared" si="72"/>
        <v>1316.4525000000001</v>
      </c>
      <c r="BT22" s="553">
        <f t="shared" si="72"/>
        <v>1316.4525000000001</v>
      </c>
      <c r="BU22" s="553">
        <f t="shared" si="72"/>
        <v>1316.4525000000001</v>
      </c>
      <c r="BV22" s="553">
        <f t="shared" si="72"/>
        <v>2409.9525000000003</v>
      </c>
      <c r="BW22" s="562">
        <f t="shared" si="72"/>
        <v>2409.9525000000003</v>
      </c>
      <c r="BX22" s="553">
        <f t="shared" si="72"/>
        <v>1316.4525000000001</v>
      </c>
      <c r="BY22" s="553">
        <f t="shared" si="72"/>
        <v>1316.4525000000001</v>
      </c>
      <c r="BZ22" s="553">
        <f t="shared" si="72"/>
        <v>1316.4525000000001</v>
      </c>
      <c r="CA22" s="553">
        <f t="shared" si="72"/>
        <v>1316.4525000000001</v>
      </c>
      <c r="CB22" s="560">
        <f t="shared" si="56"/>
        <v>17984.43</v>
      </c>
      <c r="CC22" s="565"/>
      <c r="CD22" s="553">
        <f t="shared" ref="CD22:CO22" si="73">(CD18+CD19)*$C$25</f>
        <v>1316.4525000000001</v>
      </c>
      <c r="CE22" s="553">
        <f t="shared" si="73"/>
        <v>1316.4525000000001</v>
      </c>
      <c r="CF22" s="553">
        <f t="shared" si="73"/>
        <v>1316.4525000000001</v>
      </c>
      <c r="CG22" s="553">
        <f t="shared" si="73"/>
        <v>1316.4525000000001</v>
      </c>
      <c r="CH22" s="553">
        <f t="shared" si="73"/>
        <v>1316.4525000000001</v>
      </c>
      <c r="CI22" s="553">
        <f t="shared" si="73"/>
        <v>1316.4525000000001</v>
      </c>
      <c r="CJ22" s="553">
        <f t="shared" si="73"/>
        <v>1316.4525000000001</v>
      </c>
      <c r="CK22" s="553">
        <f t="shared" si="73"/>
        <v>1316.4525000000001</v>
      </c>
      <c r="CL22" s="553">
        <f t="shared" si="73"/>
        <v>1316.4525000000001</v>
      </c>
      <c r="CM22" s="553">
        <f t="shared" si="73"/>
        <v>1316.4525000000001</v>
      </c>
      <c r="CN22" s="553">
        <f t="shared" si="73"/>
        <v>1316.4525000000001</v>
      </c>
      <c r="CO22" s="553">
        <f t="shared" si="73"/>
        <v>1316.4525000000001</v>
      </c>
      <c r="CP22" s="560">
        <f t="shared" si="58"/>
        <v>15797.429999999998</v>
      </c>
      <c r="CQ22" s="565"/>
      <c r="CR22" s="553">
        <f t="shared" ref="CR22:CT22" si="74">(CR18+CR19)*$C$25</f>
        <v>2409.9525000000003</v>
      </c>
      <c r="CS22" s="562">
        <f t="shared" si="74"/>
        <v>2409.9525000000003</v>
      </c>
      <c r="CT22" s="553">
        <f t="shared" si="74"/>
        <v>1316.4525000000001</v>
      </c>
      <c r="CU22" s="553">
        <f t="shared" ref="CU22:DC22" si="75">(CU18+CU19)*$C$25</f>
        <v>1316.4525000000001</v>
      </c>
      <c r="CV22" s="553">
        <f t="shared" si="75"/>
        <v>1316.4525000000001</v>
      </c>
      <c r="CW22" s="553">
        <f t="shared" si="75"/>
        <v>1316.4525000000001</v>
      </c>
      <c r="CX22" s="553">
        <f t="shared" si="75"/>
        <v>1316.4525000000001</v>
      </c>
      <c r="CY22" s="553">
        <f t="shared" si="75"/>
        <v>1316.4525000000001</v>
      </c>
      <c r="CZ22" s="553">
        <f t="shared" si="75"/>
        <v>1316.4525000000001</v>
      </c>
      <c r="DA22" s="553">
        <f t="shared" si="75"/>
        <v>1316.4525000000001</v>
      </c>
      <c r="DB22" s="553">
        <f t="shared" si="75"/>
        <v>1316.4525000000001</v>
      </c>
      <c r="DC22" s="553">
        <f t="shared" si="75"/>
        <v>1316.4525000000001</v>
      </c>
      <c r="DD22" s="560">
        <f t="shared" si="61"/>
        <v>17984.429999999997</v>
      </c>
      <c r="DE22" s="565"/>
      <c r="DF22" s="553">
        <f t="shared" ref="DF22:DQ22" si="76">(DF18+DF19)*$C$25</f>
        <v>1316.4525000000001</v>
      </c>
      <c r="DG22" s="553">
        <f t="shared" si="76"/>
        <v>1316.4525000000001</v>
      </c>
      <c r="DH22" s="553">
        <f t="shared" si="76"/>
        <v>1316.4525000000001</v>
      </c>
      <c r="DI22" s="553">
        <f t="shared" si="76"/>
        <v>1316.4525000000001</v>
      </c>
      <c r="DJ22" s="553">
        <f t="shared" si="76"/>
        <v>1316.4525000000001</v>
      </c>
      <c r="DK22" s="553">
        <f t="shared" si="76"/>
        <v>1316.4525000000001</v>
      </c>
      <c r="DL22" s="553">
        <f t="shared" si="76"/>
        <v>2409.9525000000003</v>
      </c>
      <c r="DM22" s="562">
        <f t="shared" si="76"/>
        <v>2409.9525000000003</v>
      </c>
      <c r="DN22" s="553">
        <f t="shared" si="76"/>
        <v>1316.4525000000001</v>
      </c>
      <c r="DO22" s="553">
        <f t="shared" si="76"/>
        <v>1316.4525000000001</v>
      </c>
      <c r="DP22" s="553">
        <f t="shared" si="76"/>
        <v>1316.4525000000001</v>
      </c>
      <c r="DQ22" s="553">
        <f t="shared" si="76"/>
        <v>1316.4525000000001</v>
      </c>
      <c r="DR22" s="560">
        <f t="shared" si="63"/>
        <v>17984.43</v>
      </c>
      <c r="DS22" s="565"/>
      <c r="DT22" s="553">
        <f t="shared" ref="DT22:EE22" si="77">(DT18+DT19)*$C$25</f>
        <v>1316.4525000000001</v>
      </c>
      <c r="DU22" s="553">
        <f t="shared" si="77"/>
        <v>1316.4525000000001</v>
      </c>
      <c r="DV22" s="553">
        <f t="shared" si="77"/>
        <v>1316.4525000000001</v>
      </c>
      <c r="DW22" s="553">
        <f t="shared" si="77"/>
        <v>1316.4525000000001</v>
      </c>
      <c r="DX22" s="553">
        <f t="shared" si="77"/>
        <v>1316.4525000000001</v>
      </c>
      <c r="DY22" s="553">
        <f t="shared" si="77"/>
        <v>1316.4525000000001</v>
      </c>
      <c r="DZ22" s="553">
        <f t="shared" si="77"/>
        <v>1316.4525000000001</v>
      </c>
      <c r="EA22" s="553">
        <f t="shared" si="77"/>
        <v>1316.4525000000001</v>
      </c>
      <c r="EB22" s="553">
        <f t="shared" si="77"/>
        <v>1316.4525000000001</v>
      </c>
      <c r="EC22" s="553">
        <f t="shared" si="77"/>
        <v>1316.4525000000001</v>
      </c>
      <c r="ED22" s="553">
        <f t="shared" si="77"/>
        <v>1316.4525000000001</v>
      </c>
      <c r="EE22" s="553">
        <f t="shared" si="77"/>
        <v>1316.4525000000001</v>
      </c>
      <c r="EF22" s="560">
        <f t="shared" si="65"/>
        <v>15797.429999999998</v>
      </c>
      <c r="EG22" s="565"/>
      <c r="EH22" s="553">
        <f t="shared" ref="EH22:ES22" si="78">(EH18+EH19)*$C$25</f>
        <v>2409.9525000000003</v>
      </c>
      <c r="EI22" s="562">
        <f t="shared" si="78"/>
        <v>2409.9525000000003</v>
      </c>
      <c r="EJ22" s="553">
        <f t="shared" si="78"/>
        <v>1316.4525000000001</v>
      </c>
      <c r="EK22" s="553">
        <f t="shared" si="78"/>
        <v>1316.4525000000001</v>
      </c>
      <c r="EL22" s="553">
        <f t="shared" si="78"/>
        <v>1316.4525000000001</v>
      </c>
      <c r="EM22" s="553">
        <f t="shared" si="78"/>
        <v>1316.4525000000001</v>
      </c>
      <c r="EN22" s="553">
        <f t="shared" si="78"/>
        <v>1316.4525000000001</v>
      </c>
      <c r="EO22" s="553">
        <f t="shared" si="78"/>
        <v>1316.4525000000001</v>
      </c>
      <c r="EP22" s="553">
        <f t="shared" si="78"/>
        <v>1316.4525000000001</v>
      </c>
      <c r="EQ22" s="553">
        <f t="shared" si="78"/>
        <v>1316.4525000000001</v>
      </c>
      <c r="ER22" s="553">
        <f t="shared" si="78"/>
        <v>1316.4525000000001</v>
      </c>
      <c r="ES22" s="553">
        <f t="shared" si="78"/>
        <v>1316.4525000000001</v>
      </c>
      <c r="ET22" s="560">
        <f t="shared" si="67"/>
        <v>17984.429999999997</v>
      </c>
      <c r="EU22" s="565"/>
    </row>
    <row r="23" spans="1:151" ht="10.5" customHeight="1" x14ac:dyDescent="0.35">
      <c r="A23" s="547" t="s">
        <v>1174</v>
      </c>
      <c r="B23" s="536" t="s">
        <v>667</v>
      </c>
      <c r="C23" s="555"/>
      <c r="I23" s="536"/>
      <c r="J23" s="531" t="s">
        <v>13</v>
      </c>
      <c r="K23" s="531" t="s">
        <v>1065</v>
      </c>
      <c r="L23" s="553">
        <f>(L18+L19)*$C$26</f>
        <v>2592</v>
      </c>
      <c r="M23" s="553">
        <f t="shared" ref="M23:W23" si="79">(M18+M19)*$C$26</f>
        <v>2592</v>
      </c>
      <c r="N23" s="553">
        <f t="shared" si="79"/>
        <v>3120.48</v>
      </c>
      <c r="O23" s="553">
        <f t="shared" si="79"/>
        <v>3120.48</v>
      </c>
      <c r="P23" s="553">
        <f t="shared" si="79"/>
        <v>3120.48</v>
      </c>
      <c r="Q23" s="553">
        <f t="shared" si="79"/>
        <v>3120.48</v>
      </c>
      <c r="R23" s="553">
        <f t="shared" si="79"/>
        <v>3120.48</v>
      </c>
      <c r="S23" s="553">
        <f t="shared" si="79"/>
        <v>3120.48</v>
      </c>
      <c r="T23" s="553">
        <f t="shared" si="79"/>
        <v>3120.48</v>
      </c>
      <c r="U23" s="553">
        <f t="shared" si="79"/>
        <v>3120.48</v>
      </c>
      <c r="V23" s="553">
        <f t="shared" si="79"/>
        <v>3120.48</v>
      </c>
      <c r="W23" s="553">
        <f t="shared" si="79"/>
        <v>3120.48</v>
      </c>
      <c r="X23" s="560">
        <f t="shared" si="26"/>
        <v>36388.800000000003</v>
      </c>
      <c r="Y23" s="565"/>
      <c r="Z23" s="553">
        <f t="shared" ref="Z23:AK23" si="80">(Z18+Z19)*$C$26</f>
        <v>3120.48</v>
      </c>
      <c r="AA23" s="553">
        <f t="shared" si="80"/>
        <v>3120.48</v>
      </c>
      <c r="AB23" s="553">
        <f t="shared" si="80"/>
        <v>3120.48</v>
      </c>
      <c r="AC23" s="553">
        <f t="shared" si="80"/>
        <v>3120.48</v>
      </c>
      <c r="AD23" s="553">
        <f t="shared" si="80"/>
        <v>3120.48</v>
      </c>
      <c r="AE23" s="553">
        <f t="shared" si="80"/>
        <v>3120.48</v>
      </c>
      <c r="AF23" s="553">
        <f t="shared" si="80"/>
        <v>5712.4800000000005</v>
      </c>
      <c r="AG23" s="562">
        <f t="shared" si="80"/>
        <v>5712.4800000000005</v>
      </c>
      <c r="AH23" s="553">
        <f t="shared" si="80"/>
        <v>3120.48</v>
      </c>
      <c r="AI23" s="553">
        <f t="shared" si="80"/>
        <v>3120.48</v>
      </c>
      <c r="AJ23" s="553">
        <f t="shared" si="80"/>
        <v>3120.48</v>
      </c>
      <c r="AK23" s="553">
        <f t="shared" si="80"/>
        <v>3120.48</v>
      </c>
      <c r="AL23" s="560">
        <f t="shared" si="50"/>
        <v>42629.760000000009</v>
      </c>
      <c r="AM23" s="565"/>
      <c r="AN23" s="553">
        <f t="shared" ref="AN23:AY23" si="81">(AN18+AN19)*$C$26</f>
        <v>3120.48</v>
      </c>
      <c r="AO23" s="553">
        <f t="shared" si="81"/>
        <v>3120.48</v>
      </c>
      <c r="AP23" s="553">
        <f t="shared" si="81"/>
        <v>3120.48</v>
      </c>
      <c r="AQ23" s="553">
        <f t="shared" si="81"/>
        <v>3120.48</v>
      </c>
      <c r="AR23" s="553">
        <f t="shared" si="81"/>
        <v>3120.48</v>
      </c>
      <c r="AS23" s="553">
        <f t="shared" si="81"/>
        <v>3120.48</v>
      </c>
      <c r="AT23" s="553">
        <f t="shared" si="81"/>
        <v>3120.48</v>
      </c>
      <c r="AU23" s="553">
        <f t="shared" si="81"/>
        <v>3120.48</v>
      </c>
      <c r="AV23" s="553">
        <f t="shared" si="81"/>
        <v>3120.48</v>
      </c>
      <c r="AW23" s="553">
        <f t="shared" si="81"/>
        <v>3120.48</v>
      </c>
      <c r="AX23" s="553">
        <f t="shared" si="81"/>
        <v>3120.48</v>
      </c>
      <c r="AY23" s="553">
        <f t="shared" si="81"/>
        <v>3120.48</v>
      </c>
      <c r="AZ23" s="560">
        <f t="shared" si="52"/>
        <v>37445.760000000002</v>
      </c>
      <c r="BA23" s="565"/>
      <c r="BB23" s="553">
        <f t="shared" ref="BB23:BM23" si="82">(BB18+BB19)*$C$26</f>
        <v>5712.4800000000005</v>
      </c>
      <c r="BC23" s="562">
        <f t="shared" si="82"/>
        <v>5712.4800000000005</v>
      </c>
      <c r="BD23" s="553">
        <f t="shared" si="82"/>
        <v>3120.48</v>
      </c>
      <c r="BE23" s="553">
        <f t="shared" si="82"/>
        <v>3120.48</v>
      </c>
      <c r="BF23" s="553">
        <f t="shared" si="82"/>
        <v>3120.48</v>
      </c>
      <c r="BG23" s="553">
        <f t="shared" si="82"/>
        <v>3120.48</v>
      </c>
      <c r="BH23" s="553">
        <f t="shared" si="82"/>
        <v>3120.48</v>
      </c>
      <c r="BI23" s="553">
        <f t="shared" si="82"/>
        <v>3120.48</v>
      </c>
      <c r="BJ23" s="553">
        <f t="shared" si="82"/>
        <v>3120.48</v>
      </c>
      <c r="BK23" s="553">
        <f t="shared" si="82"/>
        <v>3120.48</v>
      </c>
      <c r="BL23" s="553">
        <f t="shared" si="82"/>
        <v>3120.48</v>
      </c>
      <c r="BM23" s="553">
        <f t="shared" si="82"/>
        <v>3120.48</v>
      </c>
      <c r="BN23" s="560">
        <f t="shared" si="54"/>
        <v>42629.760000000009</v>
      </c>
      <c r="BO23" s="565"/>
      <c r="BP23" s="553">
        <f t="shared" ref="BP23:CA23" si="83">(BP18+BP19)*$C$26</f>
        <v>3120.48</v>
      </c>
      <c r="BQ23" s="553">
        <f t="shared" si="83"/>
        <v>3120.48</v>
      </c>
      <c r="BR23" s="553">
        <f t="shared" si="83"/>
        <v>3120.48</v>
      </c>
      <c r="BS23" s="553">
        <f t="shared" si="83"/>
        <v>3120.48</v>
      </c>
      <c r="BT23" s="553">
        <f t="shared" si="83"/>
        <v>3120.48</v>
      </c>
      <c r="BU23" s="553">
        <f t="shared" si="83"/>
        <v>3120.48</v>
      </c>
      <c r="BV23" s="553">
        <f t="shared" si="83"/>
        <v>5712.4800000000005</v>
      </c>
      <c r="BW23" s="562">
        <f t="shared" si="83"/>
        <v>5712.4800000000005</v>
      </c>
      <c r="BX23" s="553">
        <f t="shared" si="83"/>
        <v>3120.48</v>
      </c>
      <c r="BY23" s="553">
        <f t="shared" si="83"/>
        <v>3120.48</v>
      </c>
      <c r="BZ23" s="553">
        <f t="shared" si="83"/>
        <v>3120.48</v>
      </c>
      <c r="CA23" s="553">
        <f t="shared" si="83"/>
        <v>3120.48</v>
      </c>
      <c r="CB23" s="560">
        <f t="shared" si="56"/>
        <v>42629.760000000009</v>
      </c>
      <c r="CC23" s="565"/>
      <c r="CD23" s="553">
        <f t="shared" ref="CD23:CO23" si="84">(CD18+CD19)*$C$26</f>
        <v>3120.48</v>
      </c>
      <c r="CE23" s="553">
        <f t="shared" si="84"/>
        <v>3120.48</v>
      </c>
      <c r="CF23" s="553">
        <f t="shared" si="84"/>
        <v>3120.48</v>
      </c>
      <c r="CG23" s="553">
        <f t="shared" si="84"/>
        <v>3120.48</v>
      </c>
      <c r="CH23" s="553">
        <f t="shared" si="84"/>
        <v>3120.48</v>
      </c>
      <c r="CI23" s="553">
        <f t="shared" si="84"/>
        <v>3120.48</v>
      </c>
      <c r="CJ23" s="553">
        <f t="shared" si="84"/>
        <v>3120.48</v>
      </c>
      <c r="CK23" s="553">
        <f t="shared" si="84"/>
        <v>3120.48</v>
      </c>
      <c r="CL23" s="553">
        <f t="shared" si="84"/>
        <v>3120.48</v>
      </c>
      <c r="CM23" s="553">
        <f t="shared" si="84"/>
        <v>3120.48</v>
      </c>
      <c r="CN23" s="553">
        <f t="shared" si="84"/>
        <v>3120.48</v>
      </c>
      <c r="CO23" s="553">
        <f t="shared" si="84"/>
        <v>3120.48</v>
      </c>
      <c r="CP23" s="560">
        <f t="shared" si="58"/>
        <v>37445.760000000002</v>
      </c>
      <c r="CQ23" s="565"/>
      <c r="CR23" s="553">
        <f t="shared" ref="CR23:CT23" si="85">(CR18+CR19)*$C$26</f>
        <v>5712.4800000000005</v>
      </c>
      <c r="CS23" s="562">
        <f t="shared" si="85"/>
        <v>5712.4800000000005</v>
      </c>
      <c r="CT23" s="553">
        <f t="shared" si="85"/>
        <v>3120.48</v>
      </c>
      <c r="CU23" s="553">
        <f t="shared" ref="CU23:DC23" si="86">(CU18+CU19)*$C$26</f>
        <v>3120.48</v>
      </c>
      <c r="CV23" s="553">
        <f t="shared" si="86"/>
        <v>3120.48</v>
      </c>
      <c r="CW23" s="553">
        <f t="shared" si="86"/>
        <v>3120.48</v>
      </c>
      <c r="CX23" s="553">
        <f t="shared" si="86"/>
        <v>3120.48</v>
      </c>
      <c r="CY23" s="553">
        <f t="shared" si="86"/>
        <v>3120.48</v>
      </c>
      <c r="CZ23" s="553">
        <f t="shared" si="86"/>
        <v>3120.48</v>
      </c>
      <c r="DA23" s="553">
        <f t="shared" si="86"/>
        <v>3120.48</v>
      </c>
      <c r="DB23" s="553">
        <f t="shared" si="86"/>
        <v>3120.48</v>
      </c>
      <c r="DC23" s="553">
        <f t="shared" si="86"/>
        <v>3120.48</v>
      </c>
      <c r="DD23" s="560">
        <f t="shared" si="61"/>
        <v>42629.760000000009</v>
      </c>
      <c r="DE23" s="565"/>
      <c r="DF23" s="553">
        <f t="shared" ref="DF23:DQ23" si="87">(DF18+DF19)*$C$26</f>
        <v>3120.48</v>
      </c>
      <c r="DG23" s="553">
        <f t="shared" si="87"/>
        <v>3120.48</v>
      </c>
      <c r="DH23" s="553">
        <f t="shared" si="87"/>
        <v>3120.48</v>
      </c>
      <c r="DI23" s="553">
        <f t="shared" si="87"/>
        <v>3120.48</v>
      </c>
      <c r="DJ23" s="553">
        <f t="shared" si="87"/>
        <v>3120.48</v>
      </c>
      <c r="DK23" s="553">
        <f t="shared" si="87"/>
        <v>3120.48</v>
      </c>
      <c r="DL23" s="553">
        <f t="shared" si="87"/>
        <v>5712.4800000000005</v>
      </c>
      <c r="DM23" s="562">
        <f t="shared" si="87"/>
        <v>5712.4800000000005</v>
      </c>
      <c r="DN23" s="553">
        <f t="shared" si="87"/>
        <v>3120.48</v>
      </c>
      <c r="DO23" s="553">
        <f t="shared" si="87"/>
        <v>3120.48</v>
      </c>
      <c r="DP23" s="553">
        <f t="shared" si="87"/>
        <v>3120.48</v>
      </c>
      <c r="DQ23" s="553">
        <f t="shared" si="87"/>
        <v>3120.48</v>
      </c>
      <c r="DR23" s="560">
        <f t="shared" si="63"/>
        <v>42629.760000000009</v>
      </c>
      <c r="DS23" s="565"/>
      <c r="DT23" s="553">
        <f t="shared" ref="DT23:EE23" si="88">(DT18+DT19)*$C$26</f>
        <v>3120.48</v>
      </c>
      <c r="DU23" s="553">
        <f t="shared" si="88"/>
        <v>3120.48</v>
      </c>
      <c r="DV23" s="553">
        <f t="shared" si="88"/>
        <v>3120.48</v>
      </c>
      <c r="DW23" s="553">
        <f t="shared" si="88"/>
        <v>3120.48</v>
      </c>
      <c r="DX23" s="553">
        <f t="shared" si="88"/>
        <v>3120.48</v>
      </c>
      <c r="DY23" s="553">
        <f t="shared" si="88"/>
        <v>3120.48</v>
      </c>
      <c r="DZ23" s="553">
        <f t="shared" si="88"/>
        <v>3120.48</v>
      </c>
      <c r="EA23" s="553">
        <f t="shared" si="88"/>
        <v>3120.48</v>
      </c>
      <c r="EB23" s="553">
        <f t="shared" si="88"/>
        <v>3120.48</v>
      </c>
      <c r="EC23" s="553">
        <f t="shared" si="88"/>
        <v>3120.48</v>
      </c>
      <c r="ED23" s="553">
        <f t="shared" si="88"/>
        <v>3120.48</v>
      </c>
      <c r="EE23" s="553">
        <f t="shared" si="88"/>
        <v>3120.48</v>
      </c>
      <c r="EF23" s="560">
        <f t="shared" si="65"/>
        <v>37445.760000000002</v>
      </c>
      <c r="EG23" s="565"/>
      <c r="EH23" s="553">
        <f t="shared" ref="EH23:ES23" si="89">(EH18+EH19)*$C$26</f>
        <v>5712.4800000000005</v>
      </c>
      <c r="EI23" s="562">
        <f t="shared" si="89"/>
        <v>5712.4800000000005</v>
      </c>
      <c r="EJ23" s="553">
        <f t="shared" si="89"/>
        <v>3120.48</v>
      </c>
      <c r="EK23" s="553">
        <f t="shared" si="89"/>
        <v>3120.48</v>
      </c>
      <c r="EL23" s="553">
        <f t="shared" si="89"/>
        <v>3120.48</v>
      </c>
      <c r="EM23" s="553">
        <f t="shared" si="89"/>
        <v>3120.48</v>
      </c>
      <c r="EN23" s="553">
        <f t="shared" si="89"/>
        <v>3120.48</v>
      </c>
      <c r="EO23" s="553">
        <f t="shared" si="89"/>
        <v>3120.48</v>
      </c>
      <c r="EP23" s="553">
        <f t="shared" si="89"/>
        <v>3120.48</v>
      </c>
      <c r="EQ23" s="553">
        <f t="shared" si="89"/>
        <v>3120.48</v>
      </c>
      <c r="ER23" s="553">
        <f t="shared" si="89"/>
        <v>3120.48</v>
      </c>
      <c r="ES23" s="553">
        <f t="shared" si="89"/>
        <v>3120.48</v>
      </c>
      <c r="ET23" s="560">
        <f t="shared" si="67"/>
        <v>42629.760000000009</v>
      </c>
      <c r="EU23" s="565"/>
    </row>
    <row r="24" spans="1:151" ht="10.5" customHeight="1" x14ac:dyDescent="0.35">
      <c r="B24" s="536" t="s">
        <v>669</v>
      </c>
      <c r="C24" s="555">
        <f>Asumsi!C53</f>
        <v>0.47</v>
      </c>
      <c r="D24" s="531" t="s">
        <v>663</v>
      </c>
      <c r="F24" s="553">
        <f>Asumsi!F53</f>
        <v>4700</v>
      </c>
      <c r="G24" s="531" t="s">
        <v>12</v>
      </c>
      <c r="I24" s="536"/>
      <c r="J24" s="531" t="s">
        <v>15</v>
      </c>
      <c r="K24" s="531" t="s">
        <v>1066</v>
      </c>
      <c r="L24" s="553">
        <f>(L18+L19)*$C$27</f>
        <v>81</v>
      </c>
      <c r="M24" s="553">
        <f t="shared" ref="M24:W24" si="90">(M18+M19)*$C$27</f>
        <v>81</v>
      </c>
      <c r="N24" s="553">
        <f t="shared" si="90"/>
        <v>97.515000000000001</v>
      </c>
      <c r="O24" s="553">
        <f t="shared" si="90"/>
        <v>97.515000000000001</v>
      </c>
      <c r="P24" s="553">
        <f t="shared" si="90"/>
        <v>97.515000000000001</v>
      </c>
      <c r="Q24" s="553">
        <f t="shared" si="90"/>
        <v>97.515000000000001</v>
      </c>
      <c r="R24" s="553">
        <f t="shared" si="90"/>
        <v>97.515000000000001</v>
      </c>
      <c r="S24" s="553">
        <f t="shared" si="90"/>
        <v>97.515000000000001</v>
      </c>
      <c r="T24" s="553">
        <f t="shared" si="90"/>
        <v>97.515000000000001</v>
      </c>
      <c r="U24" s="553">
        <f t="shared" si="90"/>
        <v>97.515000000000001</v>
      </c>
      <c r="V24" s="553">
        <f t="shared" si="90"/>
        <v>97.515000000000001</v>
      </c>
      <c r="W24" s="553">
        <f t="shared" si="90"/>
        <v>97.515000000000001</v>
      </c>
      <c r="X24" s="560">
        <f t="shared" si="26"/>
        <v>1137.1500000000001</v>
      </c>
      <c r="Y24" s="565"/>
      <c r="Z24" s="553">
        <f t="shared" ref="Z24:AK24" si="91">(Z18+Z19)*$C$27</f>
        <v>97.515000000000001</v>
      </c>
      <c r="AA24" s="553">
        <f t="shared" si="91"/>
        <v>97.515000000000001</v>
      </c>
      <c r="AB24" s="553">
        <f t="shared" si="91"/>
        <v>97.515000000000001</v>
      </c>
      <c r="AC24" s="553">
        <f t="shared" si="91"/>
        <v>97.515000000000001</v>
      </c>
      <c r="AD24" s="553">
        <f t="shared" si="91"/>
        <v>97.515000000000001</v>
      </c>
      <c r="AE24" s="553">
        <f t="shared" si="91"/>
        <v>97.515000000000001</v>
      </c>
      <c r="AF24" s="553">
        <f t="shared" si="91"/>
        <v>178.51500000000001</v>
      </c>
      <c r="AG24" s="562">
        <f t="shared" si="91"/>
        <v>178.51500000000001</v>
      </c>
      <c r="AH24" s="553">
        <f t="shared" si="91"/>
        <v>97.515000000000001</v>
      </c>
      <c r="AI24" s="553">
        <f t="shared" si="91"/>
        <v>97.515000000000001</v>
      </c>
      <c r="AJ24" s="553">
        <f t="shared" si="91"/>
        <v>97.515000000000001</v>
      </c>
      <c r="AK24" s="553">
        <f t="shared" si="91"/>
        <v>97.515000000000001</v>
      </c>
      <c r="AL24" s="560">
        <f t="shared" si="50"/>
        <v>1332.1800000000003</v>
      </c>
      <c r="AM24" s="565"/>
      <c r="AN24" s="553">
        <f t="shared" ref="AN24:AY24" si="92">(AN18+AN19)*$C$27</f>
        <v>97.515000000000001</v>
      </c>
      <c r="AO24" s="553">
        <f t="shared" si="92"/>
        <v>97.515000000000001</v>
      </c>
      <c r="AP24" s="553">
        <f t="shared" si="92"/>
        <v>97.515000000000001</v>
      </c>
      <c r="AQ24" s="553">
        <f t="shared" si="92"/>
        <v>97.515000000000001</v>
      </c>
      <c r="AR24" s="553">
        <f t="shared" si="92"/>
        <v>97.515000000000001</v>
      </c>
      <c r="AS24" s="553">
        <f t="shared" si="92"/>
        <v>97.515000000000001</v>
      </c>
      <c r="AT24" s="553">
        <f t="shared" si="92"/>
        <v>97.515000000000001</v>
      </c>
      <c r="AU24" s="553">
        <f t="shared" si="92"/>
        <v>97.515000000000001</v>
      </c>
      <c r="AV24" s="553">
        <f t="shared" si="92"/>
        <v>97.515000000000001</v>
      </c>
      <c r="AW24" s="553">
        <f t="shared" si="92"/>
        <v>97.515000000000001</v>
      </c>
      <c r="AX24" s="553">
        <f t="shared" si="92"/>
        <v>97.515000000000001</v>
      </c>
      <c r="AY24" s="553">
        <f t="shared" si="92"/>
        <v>97.515000000000001</v>
      </c>
      <c r="AZ24" s="560">
        <f t="shared" si="52"/>
        <v>1170.18</v>
      </c>
      <c r="BA24" s="565"/>
      <c r="BB24" s="553">
        <f t="shared" ref="BB24:BM24" si="93">(BB18+BB19)*$C$27</f>
        <v>178.51500000000001</v>
      </c>
      <c r="BC24" s="562">
        <f t="shared" si="93"/>
        <v>178.51500000000001</v>
      </c>
      <c r="BD24" s="553">
        <f t="shared" si="93"/>
        <v>97.515000000000001</v>
      </c>
      <c r="BE24" s="553">
        <f t="shared" si="93"/>
        <v>97.515000000000001</v>
      </c>
      <c r="BF24" s="553">
        <f t="shared" si="93"/>
        <v>97.515000000000001</v>
      </c>
      <c r="BG24" s="553">
        <f t="shared" si="93"/>
        <v>97.515000000000001</v>
      </c>
      <c r="BH24" s="553">
        <f t="shared" si="93"/>
        <v>97.515000000000001</v>
      </c>
      <c r="BI24" s="553">
        <f t="shared" si="93"/>
        <v>97.515000000000001</v>
      </c>
      <c r="BJ24" s="553">
        <f t="shared" si="93"/>
        <v>97.515000000000001</v>
      </c>
      <c r="BK24" s="553">
        <f t="shared" si="93"/>
        <v>97.515000000000001</v>
      </c>
      <c r="BL24" s="553">
        <f t="shared" si="93"/>
        <v>97.515000000000001</v>
      </c>
      <c r="BM24" s="553">
        <f t="shared" si="93"/>
        <v>97.515000000000001</v>
      </c>
      <c r="BN24" s="560">
        <f t="shared" si="54"/>
        <v>1332.1800000000003</v>
      </c>
      <c r="BO24" s="565"/>
      <c r="BP24" s="553">
        <f t="shared" ref="BP24:CA24" si="94">(BP18+BP19)*$C$27</f>
        <v>97.515000000000001</v>
      </c>
      <c r="BQ24" s="553">
        <f t="shared" si="94"/>
        <v>97.515000000000001</v>
      </c>
      <c r="BR24" s="553">
        <f t="shared" si="94"/>
        <v>97.515000000000001</v>
      </c>
      <c r="BS24" s="553">
        <f t="shared" si="94"/>
        <v>97.515000000000001</v>
      </c>
      <c r="BT24" s="553">
        <f t="shared" si="94"/>
        <v>97.515000000000001</v>
      </c>
      <c r="BU24" s="553">
        <f t="shared" si="94"/>
        <v>97.515000000000001</v>
      </c>
      <c r="BV24" s="553">
        <f t="shared" si="94"/>
        <v>178.51500000000001</v>
      </c>
      <c r="BW24" s="562">
        <f t="shared" si="94"/>
        <v>178.51500000000001</v>
      </c>
      <c r="BX24" s="553">
        <f t="shared" si="94"/>
        <v>97.515000000000001</v>
      </c>
      <c r="BY24" s="553">
        <f t="shared" si="94"/>
        <v>97.515000000000001</v>
      </c>
      <c r="BZ24" s="553">
        <f t="shared" si="94"/>
        <v>97.515000000000001</v>
      </c>
      <c r="CA24" s="553">
        <f t="shared" si="94"/>
        <v>97.515000000000001</v>
      </c>
      <c r="CB24" s="560">
        <f t="shared" si="56"/>
        <v>1332.1800000000003</v>
      </c>
      <c r="CC24" s="565"/>
      <c r="CD24" s="553">
        <f t="shared" ref="CD24:CO24" si="95">(CD18+CD19)*$C$27</f>
        <v>97.515000000000001</v>
      </c>
      <c r="CE24" s="553">
        <f t="shared" si="95"/>
        <v>97.515000000000001</v>
      </c>
      <c r="CF24" s="553">
        <f t="shared" si="95"/>
        <v>97.515000000000001</v>
      </c>
      <c r="CG24" s="553">
        <f t="shared" si="95"/>
        <v>97.515000000000001</v>
      </c>
      <c r="CH24" s="553">
        <f t="shared" si="95"/>
        <v>97.515000000000001</v>
      </c>
      <c r="CI24" s="553">
        <f t="shared" si="95"/>
        <v>97.515000000000001</v>
      </c>
      <c r="CJ24" s="553">
        <f t="shared" si="95"/>
        <v>97.515000000000001</v>
      </c>
      <c r="CK24" s="553">
        <f t="shared" si="95"/>
        <v>97.515000000000001</v>
      </c>
      <c r="CL24" s="553">
        <f t="shared" si="95"/>
        <v>97.515000000000001</v>
      </c>
      <c r="CM24" s="553">
        <f t="shared" si="95"/>
        <v>97.515000000000001</v>
      </c>
      <c r="CN24" s="553">
        <f t="shared" si="95"/>
        <v>97.515000000000001</v>
      </c>
      <c r="CO24" s="553">
        <f t="shared" si="95"/>
        <v>97.515000000000001</v>
      </c>
      <c r="CP24" s="560">
        <f t="shared" si="58"/>
        <v>1170.18</v>
      </c>
      <c r="CQ24" s="565"/>
      <c r="CR24" s="553">
        <f t="shared" ref="CR24:CT24" si="96">(CR18+CR19)*$C$27</f>
        <v>178.51500000000001</v>
      </c>
      <c r="CS24" s="562">
        <f t="shared" si="96"/>
        <v>178.51500000000001</v>
      </c>
      <c r="CT24" s="553">
        <f t="shared" si="96"/>
        <v>97.515000000000001</v>
      </c>
      <c r="CU24" s="553">
        <f t="shared" ref="CU24:DC24" si="97">(CU18+CU19)*$C$27</f>
        <v>97.515000000000001</v>
      </c>
      <c r="CV24" s="553">
        <f t="shared" si="97"/>
        <v>97.515000000000001</v>
      </c>
      <c r="CW24" s="553">
        <f t="shared" si="97"/>
        <v>97.515000000000001</v>
      </c>
      <c r="CX24" s="553">
        <f t="shared" si="97"/>
        <v>97.515000000000001</v>
      </c>
      <c r="CY24" s="553">
        <f t="shared" si="97"/>
        <v>97.515000000000001</v>
      </c>
      <c r="CZ24" s="553">
        <f t="shared" si="97"/>
        <v>97.515000000000001</v>
      </c>
      <c r="DA24" s="553">
        <f t="shared" si="97"/>
        <v>97.515000000000001</v>
      </c>
      <c r="DB24" s="553">
        <f t="shared" si="97"/>
        <v>97.515000000000001</v>
      </c>
      <c r="DC24" s="553">
        <f t="shared" si="97"/>
        <v>97.515000000000001</v>
      </c>
      <c r="DD24" s="560">
        <f t="shared" si="61"/>
        <v>1332.1800000000003</v>
      </c>
      <c r="DE24" s="565"/>
      <c r="DF24" s="553">
        <f t="shared" ref="DF24:DQ24" si="98">(DF18+DF19)*$C$27</f>
        <v>97.515000000000001</v>
      </c>
      <c r="DG24" s="553">
        <f t="shared" si="98"/>
        <v>97.515000000000001</v>
      </c>
      <c r="DH24" s="553">
        <f t="shared" si="98"/>
        <v>97.515000000000001</v>
      </c>
      <c r="DI24" s="553">
        <f t="shared" si="98"/>
        <v>97.515000000000001</v>
      </c>
      <c r="DJ24" s="553">
        <f t="shared" si="98"/>
        <v>97.515000000000001</v>
      </c>
      <c r="DK24" s="553">
        <f t="shared" si="98"/>
        <v>97.515000000000001</v>
      </c>
      <c r="DL24" s="553">
        <f t="shared" si="98"/>
        <v>178.51500000000001</v>
      </c>
      <c r="DM24" s="562">
        <f t="shared" si="98"/>
        <v>178.51500000000001</v>
      </c>
      <c r="DN24" s="553">
        <f t="shared" si="98"/>
        <v>97.515000000000001</v>
      </c>
      <c r="DO24" s="553">
        <f t="shared" si="98"/>
        <v>97.515000000000001</v>
      </c>
      <c r="DP24" s="553">
        <f t="shared" si="98"/>
        <v>97.515000000000001</v>
      </c>
      <c r="DQ24" s="553">
        <f t="shared" si="98"/>
        <v>97.515000000000001</v>
      </c>
      <c r="DR24" s="560">
        <f t="shared" si="63"/>
        <v>1332.1800000000003</v>
      </c>
      <c r="DS24" s="565"/>
      <c r="DT24" s="553">
        <f t="shared" ref="DT24:EE24" si="99">(DT18+DT19)*$C$27</f>
        <v>97.515000000000001</v>
      </c>
      <c r="DU24" s="553">
        <f t="shared" si="99"/>
        <v>97.515000000000001</v>
      </c>
      <c r="DV24" s="553">
        <f t="shared" si="99"/>
        <v>97.515000000000001</v>
      </c>
      <c r="DW24" s="553">
        <f t="shared" si="99"/>
        <v>97.515000000000001</v>
      </c>
      <c r="DX24" s="553">
        <f t="shared" si="99"/>
        <v>97.515000000000001</v>
      </c>
      <c r="DY24" s="553">
        <f t="shared" si="99"/>
        <v>97.515000000000001</v>
      </c>
      <c r="DZ24" s="553">
        <f t="shared" si="99"/>
        <v>97.515000000000001</v>
      </c>
      <c r="EA24" s="553">
        <f t="shared" si="99"/>
        <v>97.515000000000001</v>
      </c>
      <c r="EB24" s="553">
        <f t="shared" si="99"/>
        <v>97.515000000000001</v>
      </c>
      <c r="EC24" s="553">
        <f t="shared" si="99"/>
        <v>97.515000000000001</v>
      </c>
      <c r="ED24" s="553">
        <f t="shared" si="99"/>
        <v>97.515000000000001</v>
      </c>
      <c r="EE24" s="553">
        <f t="shared" si="99"/>
        <v>97.515000000000001</v>
      </c>
      <c r="EF24" s="560">
        <f t="shared" si="65"/>
        <v>1170.18</v>
      </c>
      <c r="EG24" s="565"/>
      <c r="EH24" s="553">
        <f t="shared" ref="EH24:ES24" si="100">(EH18+EH19)*$C$27</f>
        <v>178.51500000000001</v>
      </c>
      <c r="EI24" s="562">
        <f t="shared" si="100"/>
        <v>178.51500000000001</v>
      </c>
      <c r="EJ24" s="553">
        <f t="shared" si="100"/>
        <v>97.515000000000001</v>
      </c>
      <c r="EK24" s="553">
        <f t="shared" si="100"/>
        <v>97.515000000000001</v>
      </c>
      <c r="EL24" s="553">
        <f t="shared" si="100"/>
        <v>97.515000000000001</v>
      </c>
      <c r="EM24" s="553">
        <f t="shared" si="100"/>
        <v>97.515000000000001</v>
      </c>
      <c r="EN24" s="553">
        <f t="shared" si="100"/>
        <v>97.515000000000001</v>
      </c>
      <c r="EO24" s="553">
        <f t="shared" si="100"/>
        <v>97.515000000000001</v>
      </c>
      <c r="EP24" s="553">
        <f t="shared" si="100"/>
        <v>97.515000000000001</v>
      </c>
      <c r="EQ24" s="553">
        <f t="shared" si="100"/>
        <v>97.515000000000001</v>
      </c>
      <c r="ER24" s="553">
        <f t="shared" si="100"/>
        <v>97.515000000000001</v>
      </c>
      <c r="ES24" s="553">
        <f t="shared" si="100"/>
        <v>97.515000000000001</v>
      </c>
      <c r="ET24" s="560">
        <f t="shared" si="67"/>
        <v>1332.1800000000003</v>
      </c>
      <c r="EU24" s="565"/>
    </row>
    <row r="25" spans="1:151" ht="10.5" customHeight="1" x14ac:dyDescent="0.35">
      <c r="B25" s="536" t="s">
        <v>668</v>
      </c>
      <c r="C25" s="555">
        <f>Asumsi!C54</f>
        <v>0.13500000000000001</v>
      </c>
      <c r="D25" s="531" t="s">
        <v>663</v>
      </c>
      <c r="F25" s="553">
        <f>Asumsi!F54</f>
        <v>3750</v>
      </c>
      <c r="G25" s="531" t="s">
        <v>12</v>
      </c>
      <c r="I25" s="536"/>
      <c r="J25" s="531" t="s">
        <v>18</v>
      </c>
      <c r="K25" s="531" t="s">
        <v>1067</v>
      </c>
      <c r="L25" s="553">
        <f>(L18+L19)*$C$28</f>
        <v>8.1</v>
      </c>
      <c r="M25" s="553">
        <f t="shared" ref="M25:W25" si="101">(M18+M19)*$C$28</f>
        <v>8.1</v>
      </c>
      <c r="N25" s="553">
        <f t="shared" si="101"/>
        <v>9.7515000000000001</v>
      </c>
      <c r="O25" s="553">
        <f t="shared" si="101"/>
        <v>9.7515000000000001</v>
      </c>
      <c r="P25" s="553">
        <f t="shared" si="101"/>
        <v>9.7515000000000001</v>
      </c>
      <c r="Q25" s="553">
        <f t="shared" si="101"/>
        <v>9.7515000000000001</v>
      </c>
      <c r="R25" s="553">
        <f t="shared" si="101"/>
        <v>9.7515000000000001</v>
      </c>
      <c r="S25" s="553">
        <f t="shared" si="101"/>
        <v>9.7515000000000001</v>
      </c>
      <c r="T25" s="553">
        <f t="shared" si="101"/>
        <v>9.7515000000000001</v>
      </c>
      <c r="U25" s="553">
        <f t="shared" si="101"/>
        <v>9.7515000000000001</v>
      </c>
      <c r="V25" s="553">
        <f t="shared" si="101"/>
        <v>9.7515000000000001</v>
      </c>
      <c r="W25" s="553">
        <f t="shared" si="101"/>
        <v>9.7515000000000001</v>
      </c>
      <c r="X25" s="560">
        <f t="shared" si="26"/>
        <v>113.71499999999997</v>
      </c>
      <c r="Y25" s="565"/>
      <c r="Z25" s="553">
        <f t="shared" ref="Z25:AK25" si="102">(Z18+Z19)*$C$28</f>
        <v>9.7515000000000001</v>
      </c>
      <c r="AA25" s="553">
        <f t="shared" si="102"/>
        <v>9.7515000000000001</v>
      </c>
      <c r="AB25" s="553">
        <f t="shared" si="102"/>
        <v>9.7515000000000001</v>
      </c>
      <c r="AC25" s="553">
        <f t="shared" si="102"/>
        <v>9.7515000000000001</v>
      </c>
      <c r="AD25" s="553">
        <f t="shared" si="102"/>
        <v>9.7515000000000001</v>
      </c>
      <c r="AE25" s="553">
        <f t="shared" si="102"/>
        <v>9.7515000000000001</v>
      </c>
      <c r="AF25" s="553">
        <f t="shared" si="102"/>
        <v>17.851500000000001</v>
      </c>
      <c r="AG25" s="562">
        <f t="shared" si="102"/>
        <v>17.851500000000001</v>
      </c>
      <c r="AH25" s="553">
        <f t="shared" si="102"/>
        <v>9.7515000000000001</v>
      </c>
      <c r="AI25" s="553">
        <f t="shared" si="102"/>
        <v>9.7515000000000001</v>
      </c>
      <c r="AJ25" s="553">
        <f t="shared" si="102"/>
        <v>9.7515000000000001</v>
      </c>
      <c r="AK25" s="553">
        <f t="shared" si="102"/>
        <v>9.7515000000000001</v>
      </c>
      <c r="AL25" s="560">
        <f t="shared" si="50"/>
        <v>133.21799999999999</v>
      </c>
      <c r="AM25" s="565"/>
      <c r="AN25" s="553">
        <f t="shared" ref="AN25:AY25" si="103">(AN18+AN19)*$C$28</f>
        <v>9.7515000000000001</v>
      </c>
      <c r="AO25" s="553">
        <f t="shared" si="103"/>
        <v>9.7515000000000001</v>
      </c>
      <c r="AP25" s="553">
        <f t="shared" si="103"/>
        <v>9.7515000000000001</v>
      </c>
      <c r="AQ25" s="553">
        <f t="shared" si="103"/>
        <v>9.7515000000000001</v>
      </c>
      <c r="AR25" s="553">
        <f t="shared" si="103"/>
        <v>9.7515000000000001</v>
      </c>
      <c r="AS25" s="553">
        <f t="shared" si="103"/>
        <v>9.7515000000000001</v>
      </c>
      <c r="AT25" s="553">
        <f t="shared" si="103"/>
        <v>9.7515000000000001</v>
      </c>
      <c r="AU25" s="553">
        <f t="shared" si="103"/>
        <v>9.7515000000000001</v>
      </c>
      <c r="AV25" s="553">
        <f t="shared" si="103"/>
        <v>9.7515000000000001</v>
      </c>
      <c r="AW25" s="553">
        <f t="shared" si="103"/>
        <v>9.7515000000000001</v>
      </c>
      <c r="AX25" s="553">
        <f t="shared" si="103"/>
        <v>9.7515000000000001</v>
      </c>
      <c r="AY25" s="553">
        <f t="shared" si="103"/>
        <v>9.7515000000000001</v>
      </c>
      <c r="AZ25" s="560">
        <f t="shared" si="52"/>
        <v>117.01799999999997</v>
      </c>
      <c r="BA25" s="565"/>
      <c r="BB25" s="553">
        <f t="shared" ref="BB25:BM25" si="104">(BB18+BB19)*$C$28</f>
        <v>17.851500000000001</v>
      </c>
      <c r="BC25" s="562">
        <f t="shared" si="104"/>
        <v>17.851500000000001</v>
      </c>
      <c r="BD25" s="553">
        <f t="shared" si="104"/>
        <v>9.7515000000000001</v>
      </c>
      <c r="BE25" s="553">
        <f t="shared" si="104"/>
        <v>9.7515000000000001</v>
      </c>
      <c r="BF25" s="553">
        <f t="shared" si="104"/>
        <v>9.7515000000000001</v>
      </c>
      <c r="BG25" s="553">
        <f t="shared" si="104"/>
        <v>9.7515000000000001</v>
      </c>
      <c r="BH25" s="553">
        <f t="shared" si="104"/>
        <v>9.7515000000000001</v>
      </c>
      <c r="BI25" s="553">
        <f t="shared" si="104"/>
        <v>9.7515000000000001</v>
      </c>
      <c r="BJ25" s="553">
        <f t="shared" si="104"/>
        <v>9.7515000000000001</v>
      </c>
      <c r="BK25" s="553">
        <f t="shared" si="104"/>
        <v>9.7515000000000001</v>
      </c>
      <c r="BL25" s="553">
        <f t="shared" si="104"/>
        <v>9.7515000000000001</v>
      </c>
      <c r="BM25" s="553">
        <f t="shared" si="104"/>
        <v>9.7515000000000001</v>
      </c>
      <c r="BN25" s="560">
        <f t="shared" si="54"/>
        <v>133.21799999999996</v>
      </c>
      <c r="BO25" s="565"/>
      <c r="BP25" s="553">
        <f t="shared" ref="BP25:CA25" si="105">(BP18+BP19)*$C$28</f>
        <v>9.7515000000000001</v>
      </c>
      <c r="BQ25" s="553">
        <f t="shared" si="105"/>
        <v>9.7515000000000001</v>
      </c>
      <c r="BR25" s="553">
        <f t="shared" si="105"/>
        <v>9.7515000000000001</v>
      </c>
      <c r="BS25" s="553">
        <f t="shared" si="105"/>
        <v>9.7515000000000001</v>
      </c>
      <c r="BT25" s="553">
        <f t="shared" si="105"/>
        <v>9.7515000000000001</v>
      </c>
      <c r="BU25" s="553">
        <f t="shared" si="105"/>
        <v>9.7515000000000001</v>
      </c>
      <c r="BV25" s="553">
        <f t="shared" si="105"/>
        <v>17.851500000000001</v>
      </c>
      <c r="BW25" s="562">
        <f t="shared" si="105"/>
        <v>17.851500000000001</v>
      </c>
      <c r="BX25" s="553">
        <f t="shared" si="105"/>
        <v>9.7515000000000001</v>
      </c>
      <c r="BY25" s="553">
        <f t="shared" si="105"/>
        <v>9.7515000000000001</v>
      </c>
      <c r="BZ25" s="553">
        <f t="shared" si="105"/>
        <v>9.7515000000000001</v>
      </c>
      <c r="CA25" s="553">
        <f t="shared" si="105"/>
        <v>9.7515000000000001</v>
      </c>
      <c r="CB25" s="560">
        <f t="shared" si="56"/>
        <v>133.21799999999999</v>
      </c>
      <c r="CC25" s="565"/>
      <c r="CD25" s="553">
        <f t="shared" ref="CD25:CO25" si="106">(CD18+CD19)*$C$28</f>
        <v>9.7515000000000001</v>
      </c>
      <c r="CE25" s="553">
        <f t="shared" si="106"/>
        <v>9.7515000000000001</v>
      </c>
      <c r="CF25" s="553">
        <f t="shared" si="106"/>
        <v>9.7515000000000001</v>
      </c>
      <c r="CG25" s="553">
        <f t="shared" si="106"/>
        <v>9.7515000000000001</v>
      </c>
      <c r="CH25" s="553">
        <f t="shared" si="106"/>
        <v>9.7515000000000001</v>
      </c>
      <c r="CI25" s="553">
        <f t="shared" si="106"/>
        <v>9.7515000000000001</v>
      </c>
      <c r="CJ25" s="553">
        <f t="shared" si="106"/>
        <v>9.7515000000000001</v>
      </c>
      <c r="CK25" s="553">
        <f t="shared" si="106"/>
        <v>9.7515000000000001</v>
      </c>
      <c r="CL25" s="553">
        <f t="shared" si="106"/>
        <v>9.7515000000000001</v>
      </c>
      <c r="CM25" s="553">
        <f t="shared" si="106"/>
        <v>9.7515000000000001</v>
      </c>
      <c r="CN25" s="553">
        <f t="shared" si="106"/>
        <v>9.7515000000000001</v>
      </c>
      <c r="CO25" s="553">
        <f t="shared" si="106"/>
        <v>9.7515000000000001</v>
      </c>
      <c r="CP25" s="560">
        <f t="shared" si="58"/>
        <v>117.01799999999997</v>
      </c>
      <c r="CQ25" s="565"/>
      <c r="CR25" s="553">
        <f t="shared" ref="CR25:CT25" si="107">(CR18+CR19)*$C$28</f>
        <v>17.851500000000001</v>
      </c>
      <c r="CS25" s="562">
        <f t="shared" si="107"/>
        <v>17.851500000000001</v>
      </c>
      <c r="CT25" s="553">
        <f t="shared" si="107"/>
        <v>9.7515000000000001</v>
      </c>
      <c r="CU25" s="553">
        <f t="shared" ref="CU25:DC25" si="108">(CU18+CU19)*$C$28</f>
        <v>9.7515000000000001</v>
      </c>
      <c r="CV25" s="553">
        <f t="shared" si="108"/>
        <v>9.7515000000000001</v>
      </c>
      <c r="CW25" s="553">
        <f t="shared" si="108"/>
        <v>9.7515000000000001</v>
      </c>
      <c r="CX25" s="553">
        <f t="shared" si="108"/>
        <v>9.7515000000000001</v>
      </c>
      <c r="CY25" s="553">
        <f t="shared" si="108"/>
        <v>9.7515000000000001</v>
      </c>
      <c r="CZ25" s="553">
        <f t="shared" si="108"/>
        <v>9.7515000000000001</v>
      </c>
      <c r="DA25" s="553">
        <f t="shared" si="108"/>
        <v>9.7515000000000001</v>
      </c>
      <c r="DB25" s="553">
        <f t="shared" si="108"/>
        <v>9.7515000000000001</v>
      </c>
      <c r="DC25" s="553">
        <f t="shared" si="108"/>
        <v>9.7515000000000001</v>
      </c>
      <c r="DD25" s="560">
        <f t="shared" si="61"/>
        <v>133.21799999999996</v>
      </c>
      <c r="DE25" s="565"/>
      <c r="DF25" s="553">
        <f t="shared" ref="DF25:DQ25" si="109">(DF18+DF19)*$C$28</f>
        <v>9.7515000000000001</v>
      </c>
      <c r="DG25" s="553">
        <f t="shared" si="109"/>
        <v>9.7515000000000001</v>
      </c>
      <c r="DH25" s="553">
        <f t="shared" si="109"/>
        <v>9.7515000000000001</v>
      </c>
      <c r="DI25" s="553">
        <f t="shared" si="109"/>
        <v>9.7515000000000001</v>
      </c>
      <c r="DJ25" s="553">
        <f t="shared" si="109"/>
        <v>9.7515000000000001</v>
      </c>
      <c r="DK25" s="553">
        <f t="shared" si="109"/>
        <v>9.7515000000000001</v>
      </c>
      <c r="DL25" s="553">
        <f t="shared" si="109"/>
        <v>17.851500000000001</v>
      </c>
      <c r="DM25" s="562">
        <f t="shared" si="109"/>
        <v>17.851500000000001</v>
      </c>
      <c r="DN25" s="553">
        <f t="shared" si="109"/>
        <v>9.7515000000000001</v>
      </c>
      <c r="DO25" s="553">
        <f t="shared" si="109"/>
        <v>9.7515000000000001</v>
      </c>
      <c r="DP25" s="553">
        <f t="shared" si="109"/>
        <v>9.7515000000000001</v>
      </c>
      <c r="DQ25" s="553">
        <f t="shared" si="109"/>
        <v>9.7515000000000001</v>
      </c>
      <c r="DR25" s="560">
        <f t="shared" si="63"/>
        <v>133.21799999999999</v>
      </c>
      <c r="DS25" s="565"/>
      <c r="DT25" s="553">
        <f t="shared" ref="DT25:EE25" si="110">(DT18+DT19)*$C$28</f>
        <v>9.7515000000000001</v>
      </c>
      <c r="DU25" s="553">
        <f t="shared" si="110"/>
        <v>9.7515000000000001</v>
      </c>
      <c r="DV25" s="553">
        <f t="shared" si="110"/>
        <v>9.7515000000000001</v>
      </c>
      <c r="DW25" s="553">
        <f t="shared" si="110"/>
        <v>9.7515000000000001</v>
      </c>
      <c r="DX25" s="553">
        <f t="shared" si="110"/>
        <v>9.7515000000000001</v>
      </c>
      <c r="DY25" s="553">
        <f t="shared" si="110"/>
        <v>9.7515000000000001</v>
      </c>
      <c r="DZ25" s="553">
        <f t="shared" si="110"/>
        <v>9.7515000000000001</v>
      </c>
      <c r="EA25" s="553">
        <f t="shared" si="110"/>
        <v>9.7515000000000001</v>
      </c>
      <c r="EB25" s="553">
        <f t="shared" si="110"/>
        <v>9.7515000000000001</v>
      </c>
      <c r="EC25" s="553">
        <f t="shared" si="110"/>
        <v>9.7515000000000001</v>
      </c>
      <c r="ED25" s="553">
        <f t="shared" si="110"/>
        <v>9.7515000000000001</v>
      </c>
      <c r="EE25" s="553">
        <f t="shared" si="110"/>
        <v>9.7515000000000001</v>
      </c>
      <c r="EF25" s="560">
        <f t="shared" si="65"/>
        <v>117.01799999999997</v>
      </c>
      <c r="EG25" s="565"/>
      <c r="EH25" s="553">
        <f t="shared" ref="EH25:ES25" si="111">(EH18+EH19)*$C$28</f>
        <v>17.851500000000001</v>
      </c>
      <c r="EI25" s="562">
        <f t="shared" si="111"/>
        <v>17.851500000000001</v>
      </c>
      <c r="EJ25" s="553">
        <f t="shared" si="111"/>
        <v>9.7515000000000001</v>
      </c>
      <c r="EK25" s="553">
        <f t="shared" si="111"/>
        <v>9.7515000000000001</v>
      </c>
      <c r="EL25" s="553">
        <f t="shared" si="111"/>
        <v>9.7515000000000001</v>
      </c>
      <c r="EM25" s="553">
        <f t="shared" si="111"/>
        <v>9.7515000000000001</v>
      </c>
      <c r="EN25" s="553">
        <f t="shared" si="111"/>
        <v>9.7515000000000001</v>
      </c>
      <c r="EO25" s="553">
        <f t="shared" si="111"/>
        <v>9.7515000000000001</v>
      </c>
      <c r="EP25" s="553">
        <f t="shared" si="111"/>
        <v>9.7515000000000001</v>
      </c>
      <c r="EQ25" s="553">
        <f t="shared" si="111"/>
        <v>9.7515000000000001</v>
      </c>
      <c r="ER25" s="553">
        <f t="shared" si="111"/>
        <v>9.7515000000000001</v>
      </c>
      <c r="ES25" s="553">
        <f t="shared" si="111"/>
        <v>9.7515000000000001</v>
      </c>
      <c r="ET25" s="560">
        <f t="shared" si="67"/>
        <v>133.21799999999996</v>
      </c>
      <c r="EU25" s="565"/>
    </row>
    <row r="26" spans="1:151" ht="10.5" customHeight="1" x14ac:dyDescent="0.35">
      <c r="B26" s="536" t="s">
        <v>670</v>
      </c>
      <c r="C26" s="555">
        <f>Asumsi!C55</f>
        <v>0.32</v>
      </c>
      <c r="D26" s="531" t="s">
        <v>663</v>
      </c>
      <c r="F26" s="553">
        <f>Asumsi!F55</f>
        <v>10900</v>
      </c>
      <c r="G26" s="531" t="s">
        <v>12</v>
      </c>
      <c r="I26" s="536"/>
      <c r="J26" s="531" t="s">
        <v>510</v>
      </c>
      <c r="K26" s="531" t="s">
        <v>1068</v>
      </c>
      <c r="L26" s="553">
        <f>(L18+L19)*$C$29</f>
        <v>1.62</v>
      </c>
      <c r="M26" s="553">
        <f t="shared" ref="M26:W26" si="112">(M18+M19)*$C$29</f>
        <v>1.62</v>
      </c>
      <c r="N26" s="553">
        <f t="shared" si="112"/>
        <v>1.9503000000000001</v>
      </c>
      <c r="O26" s="553">
        <f t="shared" si="112"/>
        <v>1.9503000000000001</v>
      </c>
      <c r="P26" s="553">
        <f t="shared" si="112"/>
        <v>1.9503000000000001</v>
      </c>
      <c r="Q26" s="553">
        <f t="shared" si="112"/>
        <v>1.9503000000000001</v>
      </c>
      <c r="R26" s="553">
        <f t="shared" si="112"/>
        <v>1.9503000000000001</v>
      </c>
      <c r="S26" s="553">
        <f t="shared" si="112"/>
        <v>1.9503000000000001</v>
      </c>
      <c r="T26" s="553">
        <f t="shared" si="112"/>
        <v>1.9503000000000001</v>
      </c>
      <c r="U26" s="553">
        <f t="shared" si="112"/>
        <v>1.9503000000000001</v>
      </c>
      <c r="V26" s="553">
        <f t="shared" si="112"/>
        <v>1.9503000000000001</v>
      </c>
      <c r="W26" s="553">
        <f t="shared" si="112"/>
        <v>1.9503000000000001</v>
      </c>
      <c r="X26" s="560">
        <f t="shared" si="26"/>
        <v>22.742999999999999</v>
      </c>
      <c r="Y26" s="565"/>
      <c r="Z26" s="553">
        <f t="shared" ref="Z26:AK26" si="113">(Z18+Z19)*$C$29</f>
        <v>1.9503000000000001</v>
      </c>
      <c r="AA26" s="553">
        <f t="shared" si="113"/>
        <v>1.9503000000000001</v>
      </c>
      <c r="AB26" s="553">
        <f t="shared" si="113"/>
        <v>1.9503000000000001</v>
      </c>
      <c r="AC26" s="553">
        <f t="shared" si="113"/>
        <v>1.9503000000000001</v>
      </c>
      <c r="AD26" s="553">
        <f t="shared" si="113"/>
        <v>1.9503000000000001</v>
      </c>
      <c r="AE26" s="553">
        <f t="shared" si="113"/>
        <v>1.9503000000000001</v>
      </c>
      <c r="AF26" s="553">
        <f t="shared" si="113"/>
        <v>3.5703</v>
      </c>
      <c r="AG26" s="562">
        <f t="shared" si="113"/>
        <v>3.5703</v>
      </c>
      <c r="AH26" s="553">
        <f t="shared" si="113"/>
        <v>1.9503000000000001</v>
      </c>
      <c r="AI26" s="553">
        <f t="shared" si="113"/>
        <v>1.9503000000000001</v>
      </c>
      <c r="AJ26" s="553">
        <f t="shared" si="113"/>
        <v>1.9503000000000001</v>
      </c>
      <c r="AK26" s="553">
        <f t="shared" si="113"/>
        <v>1.9503000000000001</v>
      </c>
      <c r="AL26" s="560">
        <f t="shared" si="50"/>
        <v>26.643599999999996</v>
      </c>
      <c r="AM26" s="565"/>
      <c r="AN26" s="553">
        <f t="shared" ref="AN26:AY26" si="114">(AN18+AN19)*$C$29</f>
        <v>1.9503000000000001</v>
      </c>
      <c r="AO26" s="553">
        <f t="shared" si="114"/>
        <v>1.9503000000000001</v>
      </c>
      <c r="AP26" s="553">
        <f t="shared" si="114"/>
        <v>1.9503000000000001</v>
      </c>
      <c r="AQ26" s="553">
        <f t="shared" si="114"/>
        <v>1.9503000000000001</v>
      </c>
      <c r="AR26" s="553">
        <f t="shared" si="114"/>
        <v>1.9503000000000001</v>
      </c>
      <c r="AS26" s="553">
        <f t="shared" si="114"/>
        <v>1.9503000000000001</v>
      </c>
      <c r="AT26" s="553">
        <f t="shared" si="114"/>
        <v>1.9503000000000001</v>
      </c>
      <c r="AU26" s="553">
        <f t="shared" si="114"/>
        <v>1.9503000000000001</v>
      </c>
      <c r="AV26" s="553">
        <f t="shared" si="114"/>
        <v>1.9503000000000001</v>
      </c>
      <c r="AW26" s="553">
        <f t="shared" si="114"/>
        <v>1.9503000000000001</v>
      </c>
      <c r="AX26" s="553">
        <f t="shared" si="114"/>
        <v>1.9503000000000001</v>
      </c>
      <c r="AY26" s="553">
        <f t="shared" si="114"/>
        <v>1.9503000000000001</v>
      </c>
      <c r="AZ26" s="560">
        <f t="shared" si="52"/>
        <v>23.403599999999997</v>
      </c>
      <c r="BA26" s="565"/>
      <c r="BB26" s="553">
        <f t="shared" ref="BB26:BM26" si="115">(BB18+BB19)*$C$29</f>
        <v>3.5703</v>
      </c>
      <c r="BC26" s="562">
        <f t="shared" si="115"/>
        <v>3.5703</v>
      </c>
      <c r="BD26" s="553">
        <f t="shared" si="115"/>
        <v>1.9503000000000001</v>
      </c>
      <c r="BE26" s="553">
        <f t="shared" si="115"/>
        <v>1.9503000000000001</v>
      </c>
      <c r="BF26" s="553">
        <f t="shared" si="115"/>
        <v>1.9503000000000001</v>
      </c>
      <c r="BG26" s="553">
        <f t="shared" si="115"/>
        <v>1.9503000000000001</v>
      </c>
      <c r="BH26" s="553">
        <f t="shared" si="115"/>
        <v>1.9503000000000001</v>
      </c>
      <c r="BI26" s="553">
        <f t="shared" si="115"/>
        <v>1.9503000000000001</v>
      </c>
      <c r="BJ26" s="553">
        <f t="shared" si="115"/>
        <v>1.9503000000000001</v>
      </c>
      <c r="BK26" s="553">
        <f t="shared" si="115"/>
        <v>1.9503000000000001</v>
      </c>
      <c r="BL26" s="553">
        <f t="shared" si="115"/>
        <v>1.9503000000000001</v>
      </c>
      <c r="BM26" s="553">
        <f t="shared" si="115"/>
        <v>1.9503000000000001</v>
      </c>
      <c r="BN26" s="560">
        <f t="shared" si="54"/>
        <v>26.643599999999992</v>
      </c>
      <c r="BO26" s="565"/>
      <c r="BP26" s="553">
        <f t="shared" ref="BP26:CA26" si="116">(BP18+BP19)*$C$29</f>
        <v>1.9503000000000001</v>
      </c>
      <c r="BQ26" s="553">
        <f t="shared" si="116"/>
        <v>1.9503000000000001</v>
      </c>
      <c r="BR26" s="553">
        <f t="shared" si="116"/>
        <v>1.9503000000000001</v>
      </c>
      <c r="BS26" s="553">
        <f t="shared" si="116"/>
        <v>1.9503000000000001</v>
      </c>
      <c r="BT26" s="553">
        <f t="shared" si="116"/>
        <v>1.9503000000000001</v>
      </c>
      <c r="BU26" s="553">
        <f t="shared" si="116"/>
        <v>1.9503000000000001</v>
      </c>
      <c r="BV26" s="553">
        <f t="shared" si="116"/>
        <v>3.5703</v>
      </c>
      <c r="BW26" s="562">
        <f t="shared" si="116"/>
        <v>3.5703</v>
      </c>
      <c r="BX26" s="553">
        <f t="shared" si="116"/>
        <v>1.9503000000000001</v>
      </c>
      <c r="BY26" s="553">
        <f t="shared" si="116"/>
        <v>1.9503000000000001</v>
      </c>
      <c r="BZ26" s="553">
        <f t="shared" si="116"/>
        <v>1.9503000000000001</v>
      </c>
      <c r="CA26" s="553">
        <f t="shared" si="116"/>
        <v>1.9503000000000001</v>
      </c>
      <c r="CB26" s="560">
        <f t="shared" si="56"/>
        <v>26.643599999999996</v>
      </c>
      <c r="CC26" s="565"/>
      <c r="CD26" s="553">
        <f t="shared" ref="CD26:CO26" si="117">(CD18+CD19)*$C$29</f>
        <v>1.9503000000000001</v>
      </c>
      <c r="CE26" s="553">
        <f t="shared" si="117"/>
        <v>1.9503000000000001</v>
      </c>
      <c r="CF26" s="553">
        <f t="shared" si="117"/>
        <v>1.9503000000000001</v>
      </c>
      <c r="CG26" s="553">
        <f t="shared" si="117"/>
        <v>1.9503000000000001</v>
      </c>
      <c r="CH26" s="553">
        <f t="shared" si="117"/>
        <v>1.9503000000000001</v>
      </c>
      <c r="CI26" s="553">
        <f t="shared" si="117"/>
        <v>1.9503000000000001</v>
      </c>
      <c r="CJ26" s="553">
        <f t="shared" si="117"/>
        <v>1.9503000000000001</v>
      </c>
      <c r="CK26" s="553">
        <f t="shared" si="117"/>
        <v>1.9503000000000001</v>
      </c>
      <c r="CL26" s="553">
        <f t="shared" si="117"/>
        <v>1.9503000000000001</v>
      </c>
      <c r="CM26" s="553">
        <f t="shared" si="117"/>
        <v>1.9503000000000001</v>
      </c>
      <c r="CN26" s="553">
        <f t="shared" si="117"/>
        <v>1.9503000000000001</v>
      </c>
      <c r="CO26" s="553">
        <f t="shared" si="117"/>
        <v>1.9503000000000001</v>
      </c>
      <c r="CP26" s="560">
        <f t="shared" si="58"/>
        <v>23.403599999999997</v>
      </c>
      <c r="CQ26" s="565"/>
      <c r="CR26" s="553">
        <f t="shared" ref="CR26:CT26" si="118">(CR18+CR19)*$C$29</f>
        <v>3.5703</v>
      </c>
      <c r="CS26" s="562">
        <f t="shared" si="118"/>
        <v>3.5703</v>
      </c>
      <c r="CT26" s="553">
        <f t="shared" si="118"/>
        <v>1.9503000000000001</v>
      </c>
      <c r="CU26" s="553">
        <f t="shared" ref="CU26:DC26" si="119">(CU18+CU19)*$C$29</f>
        <v>1.9503000000000001</v>
      </c>
      <c r="CV26" s="553">
        <f t="shared" si="119"/>
        <v>1.9503000000000001</v>
      </c>
      <c r="CW26" s="553">
        <f t="shared" si="119"/>
        <v>1.9503000000000001</v>
      </c>
      <c r="CX26" s="553">
        <f t="shared" si="119"/>
        <v>1.9503000000000001</v>
      </c>
      <c r="CY26" s="553">
        <f t="shared" si="119"/>
        <v>1.9503000000000001</v>
      </c>
      <c r="CZ26" s="553">
        <f t="shared" si="119"/>
        <v>1.9503000000000001</v>
      </c>
      <c r="DA26" s="553">
        <f t="shared" si="119"/>
        <v>1.9503000000000001</v>
      </c>
      <c r="DB26" s="553">
        <f t="shared" si="119"/>
        <v>1.9503000000000001</v>
      </c>
      <c r="DC26" s="553">
        <f t="shared" si="119"/>
        <v>1.9503000000000001</v>
      </c>
      <c r="DD26" s="560">
        <f t="shared" si="61"/>
        <v>26.643599999999992</v>
      </c>
      <c r="DE26" s="565"/>
      <c r="DF26" s="553">
        <f t="shared" ref="DF26:DQ26" si="120">(DF18+DF19)*$C$29</f>
        <v>1.9503000000000001</v>
      </c>
      <c r="DG26" s="553">
        <f t="shared" si="120"/>
        <v>1.9503000000000001</v>
      </c>
      <c r="DH26" s="553">
        <f t="shared" si="120"/>
        <v>1.9503000000000001</v>
      </c>
      <c r="DI26" s="553">
        <f t="shared" si="120"/>
        <v>1.9503000000000001</v>
      </c>
      <c r="DJ26" s="553">
        <f t="shared" si="120"/>
        <v>1.9503000000000001</v>
      </c>
      <c r="DK26" s="553">
        <f t="shared" si="120"/>
        <v>1.9503000000000001</v>
      </c>
      <c r="DL26" s="553">
        <f t="shared" si="120"/>
        <v>3.5703</v>
      </c>
      <c r="DM26" s="562">
        <f t="shared" si="120"/>
        <v>3.5703</v>
      </c>
      <c r="DN26" s="553">
        <f t="shared" si="120"/>
        <v>1.9503000000000001</v>
      </c>
      <c r="DO26" s="553">
        <f t="shared" si="120"/>
        <v>1.9503000000000001</v>
      </c>
      <c r="DP26" s="553">
        <f t="shared" si="120"/>
        <v>1.9503000000000001</v>
      </c>
      <c r="DQ26" s="553">
        <f t="shared" si="120"/>
        <v>1.9503000000000001</v>
      </c>
      <c r="DR26" s="560">
        <f t="shared" si="63"/>
        <v>26.643599999999996</v>
      </c>
      <c r="DS26" s="565"/>
      <c r="DT26" s="553">
        <f t="shared" ref="DT26:EE26" si="121">(DT18+DT19)*$C$29</f>
        <v>1.9503000000000001</v>
      </c>
      <c r="DU26" s="553">
        <f t="shared" si="121"/>
        <v>1.9503000000000001</v>
      </c>
      <c r="DV26" s="553">
        <f t="shared" si="121"/>
        <v>1.9503000000000001</v>
      </c>
      <c r="DW26" s="553">
        <f t="shared" si="121"/>
        <v>1.9503000000000001</v>
      </c>
      <c r="DX26" s="553">
        <f t="shared" si="121"/>
        <v>1.9503000000000001</v>
      </c>
      <c r="DY26" s="553">
        <f t="shared" si="121"/>
        <v>1.9503000000000001</v>
      </c>
      <c r="DZ26" s="553">
        <f t="shared" si="121"/>
        <v>1.9503000000000001</v>
      </c>
      <c r="EA26" s="553">
        <f t="shared" si="121"/>
        <v>1.9503000000000001</v>
      </c>
      <c r="EB26" s="553">
        <f t="shared" si="121"/>
        <v>1.9503000000000001</v>
      </c>
      <c r="EC26" s="553">
        <f t="shared" si="121"/>
        <v>1.9503000000000001</v>
      </c>
      <c r="ED26" s="553">
        <f t="shared" si="121"/>
        <v>1.9503000000000001</v>
      </c>
      <c r="EE26" s="553">
        <f t="shared" si="121"/>
        <v>1.9503000000000001</v>
      </c>
      <c r="EF26" s="560">
        <f t="shared" si="65"/>
        <v>23.403599999999997</v>
      </c>
      <c r="EG26" s="565"/>
      <c r="EH26" s="553">
        <f t="shared" ref="EH26:ES26" si="122">(EH18+EH19)*$C$29</f>
        <v>3.5703</v>
      </c>
      <c r="EI26" s="562">
        <f t="shared" si="122"/>
        <v>3.5703</v>
      </c>
      <c r="EJ26" s="553">
        <f t="shared" si="122"/>
        <v>1.9503000000000001</v>
      </c>
      <c r="EK26" s="553">
        <f t="shared" si="122"/>
        <v>1.9503000000000001</v>
      </c>
      <c r="EL26" s="553">
        <f t="shared" si="122"/>
        <v>1.9503000000000001</v>
      </c>
      <c r="EM26" s="553">
        <f t="shared" si="122"/>
        <v>1.9503000000000001</v>
      </c>
      <c r="EN26" s="553">
        <f t="shared" si="122"/>
        <v>1.9503000000000001</v>
      </c>
      <c r="EO26" s="553">
        <f t="shared" si="122"/>
        <v>1.9503000000000001</v>
      </c>
      <c r="EP26" s="553">
        <f t="shared" si="122"/>
        <v>1.9503000000000001</v>
      </c>
      <c r="EQ26" s="553">
        <f t="shared" si="122"/>
        <v>1.9503000000000001</v>
      </c>
      <c r="ER26" s="553">
        <f t="shared" si="122"/>
        <v>1.9503000000000001</v>
      </c>
      <c r="ES26" s="553">
        <f t="shared" si="122"/>
        <v>1.9503000000000001</v>
      </c>
      <c r="ET26" s="560">
        <f t="shared" si="67"/>
        <v>26.643599999999992</v>
      </c>
      <c r="EU26" s="565"/>
    </row>
    <row r="27" spans="1:151" ht="10.5" customHeight="1" x14ac:dyDescent="0.35">
      <c r="B27" s="557" t="s">
        <v>1009</v>
      </c>
      <c r="C27" s="555">
        <f>Asumsi!C56</f>
        <v>0.01</v>
      </c>
      <c r="D27" s="552" t="s">
        <v>663</v>
      </c>
      <c r="F27" s="553">
        <f>Asumsi!F56</f>
        <v>400</v>
      </c>
      <c r="G27" s="552" t="s">
        <v>12</v>
      </c>
      <c r="I27" s="536"/>
      <c r="J27" s="531" t="s">
        <v>511</v>
      </c>
      <c r="K27" s="531" t="s">
        <v>1069</v>
      </c>
      <c r="L27" s="553">
        <f>(L18+L19)*$C$30</f>
        <v>4.05</v>
      </c>
      <c r="M27" s="553">
        <f t="shared" ref="M27:W27" si="123">(M18+M19)*$C$30</f>
        <v>4.05</v>
      </c>
      <c r="N27" s="553">
        <f t="shared" si="123"/>
        <v>4.87575</v>
      </c>
      <c r="O27" s="553">
        <f t="shared" si="123"/>
        <v>4.87575</v>
      </c>
      <c r="P27" s="553">
        <f t="shared" si="123"/>
        <v>4.87575</v>
      </c>
      <c r="Q27" s="553">
        <f t="shared" si="123"/>
        <v>4.87575</v>
      </c>
      <c r="R27" s="553">
        <f t="shared" si="123"/>
        <v>4.87575</v>
      </c>
      <c r="S27" s="553">
        <f t="shared" si="123"/>
        <v>4.87575</v>
      </c>
      <c r="T27" s="553">
        <f t="shared" si="123"/>
        <v>4.87575</v>
      </c>
      <c r="U27" s="553">
        <f t="shared" si="123"/>
        <v>4.87575</v>
      </c>
      <c r="V27" s="553">
        <f t="shared" si="123"/>
        <v>4.87575</v>
      </c>
      <c r="W27" s="553">
        <f t="shared" si="123"/>
        <v>4.87575</v>
      </c>
      <c r="X27" s="560">
        <f t="shared" si="26"/>
        <v>56.857499999999987</v>
      </c>
      <c r="Y27" s="565"/>
      <c r="Z27" s="553">
        <f t="shared" ref="Z27:AK27" si="124">(Z18+Z19)*$C$30</f>
        <v>4.87575</v>
      </c>
      <c r="AA27" s="553">
        <f t="shared" si="124"/>
        <v>4.87575</v>
      </c>
      <c r="AB27" s="553">
        <f t="shared" si="124"/>
        <v>4.87575</v>
      </c>
      <c r="AC27" s="553">
        <f t="shared" si="124"/>
        <v>4.87575</v>
      </c>
      <c r="AD27" s="553">
        <f t="shared" si="124"/>
        <v>4.87575</v>
      </c>
      <c r="AE27" s="553">
        <f t="shared" si="124"/>
        <v>4.87575</v>
      </c>
      <c r="AF27" s="553">
        <f t="shared" si="124"/>
        <v>8.9257500000000007</v>
      </c>
      <c r="AG27" s="562">
        <f t="shared" si="124"/>
        <v>8.9257500000000007</v>
      </c>
      <c r="AH27" s="553">
        <f t="shared" si="124"/>
        <v>4.87575</v>
      </c>
      <c r="AI27" s="553">
        <f t="shared" si="124"/>
        <v>4.87575</v>
      </c>
      <c r="AJ27" s="553">
        <f t="shared" si="124"/>
        <v>4.87575</v>
      </c>
      <c r="AK27" s="553">
        <f t="shared" si="124"/>
        <v>4.87575</v>
      </c>
      <c r="AL27" s="560">
        <f t="shared" si="50"/>
        <v>66.608999999999995</v>
      </c>
      <c r="AM27" s="565"/>
      <c r="AN27" s="553">
        <f t="shared" ref="AN27:AY27" si="125">(AN18+AN19)*$C$30</f>
        <v>4.87575</v>
      </c>
      <c r="AO27" s="553">
        <f t="shared" si="125"/>
        <v>4.87575</v>
      </c>
      <c r="AP27" s="553">
        <f t="shared" si="125"/>
        <v>4.87575</v>
      </c>
      <c r="AQ27" s="553">
        <f t="shared" si="125"/>
        <v>4.87575</v>
      </c>
      <c r="AR27" s="553">
        <f t="shared" si="125"/>
        <v>4.87575</v>
      </c>
      <c r="AS27" s="553">
        <f t="shared" si="125"/>
        <v>4.87575</v>
      </c>
      <c r="AT27" s="553">
        <f t="shared" si="125"/>
        <v>4.87575</v>
      </c>
      <c r="AU27" s="553">
        <f t="shared" si="125"/>
        <v>4.87575</v>
      </c>
      <c r="AV27" s="553">
        <f t="shared" si="125"/>
        <v>4.87575</v>
      </c>
      <c r="AW27" s="553">
        <f t="shared" si="125"/>
        <v>4.87575</v>
      </c>
      <c r="AX27" s="553">
        <f t="shared" si="125"/>
        <v>4.87575</v>
      </c>
      <c r="AY27" s="553">
        <f t="shared" si="125"/>
        <v>4.87575</v>
      </c>
      <c r="AZ27" s="560">
        <f t="shared" si="52"/>
        <v>58.508999999999986</v>
      </c>
      <c r="BA27" s="565"/>
      <c r="BB27" s="553">
        <f t="shared" ref="BB27:BM27" si="126">(BB18+BB19)*$C$30</f>
        <v>8.9257500000000007</v>
      </c>
      <c r="BC27" s="562">
        <f t="shared" si="126"/>
        <v>8.9257500000000007</v>
      </c>
      <c r="BD27" s="553">
        <f t="shared" si="126"/>
        <v>4.87575</v>
      </c>
      <c r="BE27" s="553">
        <f t="shared" si="126"/>
        <v>4.87575</v>
      </c>
      <c r="BF27" s="553">
        <f t="shared" si="126"/>
        <v>4.87575</v>
      </c>
      <c r="BG27" s="553">
        <f t="shared" si="126"/>
        <v>4.87575</v>
      </c>
      <c r="BH27" s="553">
        <f t="shared" si="126"/>
        <v>4.87575</v>
      </c>
      <c r="BI27" s="553">
        <f t="shared" si="126"/>
        <v>4.87575</v>
      </c>
      <c r="BJ27" s="553">
        <f t="shared" si="126"/>
        <v>4.87575</v>
      </c>
      <c r="BK27" s="553">
        <f t="shared" si="126"/>
        <v>4.87575</v>
      </c>
      <c r="BL27" s="553">
        <f t="shared" si="126"/>
        <v>4.87575</v>
      </c>
      <c r="BM27" s="553">
        <f t="shared" si="126"/>
        <v>4.87575</v>
      </c>
      <c r="BN27" s="560">
        <f t="shared" si="54"/>
        <v>66.60899999999998</v>
      </c>
      <c r="BO27" s="565"/>
      <c r="BP27" s="553">
        <f t="shared" ref="BP27:CA27" si="127">(BP18+BP19)*$C$30</f>
        <v>4.87575</v>
      </c>
      <c r="BQ27" s="553">
        <f t="shared" si="127"/>
        <v>4.87575</v>
      </c>
      <c r="BR27" s="553">
        <f t="shared" si="127"/>
        <v>4.87575</v>
      </c>
      <c r="BS27" s="553">
        <f t="shared" si="127"/>
        <v>4.87575</v>
      </c>
      <c r="BT27" s="553">
        <f t="shared" si="127"/>
        <v>4.87575</v>
      </c>
      <c r="BU27" s="553">
        <f t="shared" si="127"/>
        <v>4.87575</v>
      </c>
      <c r="BV27" s="553">
        <f t="shared" si="127"/>
        <v>8.9257500000000007</v>
      </c>
      <c r="BW27" s="562">
        <f t="shared" si="127"/>
        <v>8.9257500000000007</v>
      </c>
      <c r="BX27" s="553">
        <f t="shared" si="127"/>
        <v>4.87575</v>
      </c>
      <c r="BY27" s="553">
        <f t="shared" si="127"/>
        <v>4.87575</v>
      </c>
      <c r="BZ27" s="553">
        <f t="shared" si="127"/>
        <v>4.87575</v>
      </c>
      <c r="CA27" s="553">
        <f t="shared" si="127"/>
        <v>4.87575</v>
      </c>
      <c r="CB27" s="560">
        <f t="shared" si="56"/>
        <v>66.608999999999995</v>
      </c>
      <c r="CC27" s="565"/>
      <c r="CD27" s="553">
        <f t="shared" ref="CD27:CO27" si="128">(CD18+CD19)*$C$30</f>
        <v>4.87575</v>
      </c>
      <c r="CE27" s="553">
        <f t="shared" si="128"/>
        <v>4.87575</v>
      </c>
      <c r="CF27" s="553">
        <f t="shared" si="128"/>
        <v>4.87575</v>
      </c>
      <c r="CG27" s="553">
        <f t="shared" si="128"/>
        <v>4.87575</v>
      </c>
      <c r="CH27" s="553">
        <f t="shared" si="128"/>
        <v>4.87575</v>
      </c>
      <c r="CI27" s="553">
        <f t="shared" si="128"/>
        <v>4.87575</v>
      </c>
      <c r="CJ27" s="553">
        <f t="shared" si="128"/>
        <v>4.87575</v>
      </c>
      <c r="CK27" s="553">
        <f t="shared" si="128"/>
        <v>4.87575</v>
      </c>
      <c r="CL27" s="553">
        <f t="shared" si="128"/>
        <v>4.87575</v>
      </c>
      <c r="CM27" s="553">
        <f t="shared" si="128"/>
        <v>4.87575</v>
      </c>
      <c r="CN27" s="553">
        <f t="shared" si="128"/>
        <v>4.87575</v>
      </c>
      <c r="CO27" s="553">
        <f t="shared" si="128"/>
        <v>4.87575</v>
      </c>
      <c r="CP27" s="560">
        <f t="shared" si="58"/>
        <v>58.508999999999986</v>
      </c>
      <c r="CQ27" s="565"/>
      <c r="CR27" s="553">
        <f t="shared" ref="CR27:CT27" si="129">(CR18+CR19)*$C$30</f>
        <v>8.9257500000000007</v>
      </c>
      <c r="CS27" s="562">
        <f t="shared" si="129"/>
        <v>8.9257500000000007</v>
      </c>
      <c r="CT27" s="553">
        <f t="shared" si="129"/>
        <v>4.87575</v>
      </c>
      <c r="CU27" s="553">
        <f t="shared" ref="CU27:DC27" si="130">(CU18+CU19)*$C$30</f>
        <v>4.87575</v>
      </c>
      <c r="CV27" s="553">
        <f t="shared" si="130"/>
        <v>4.87575</v>
      </c>
      <c r="CW27" s="553">
        <f t="shared" si="130"/>
        <v>4.87575</v>
      </c>
      <c r="CX27" s="553">
        <f t="shared" si="130"/>
        <v>4.87575</v>
      </c>
      <c r="CY27" s="553">
        <f t="shared" si="130"/>
        <v>4.87575</v>
      </c>
      <c r="CZ27" s="553">
        <f t="shared" si="130"/>
        <v>4.87575</v>
      </c>
      <c r="DA27" s="553">
        <f t="shared" si="130"/>
        <v>4.87575</v>
      </c>
      <c r="DB27" s="553">
        <f t="shared" si="130"/>
        <v>4.87575</v>
      </c>
      <c r="DC27" s="553">
        <f t="shared" si="130"/>
        <v>4.87575</v>
      </c>
      <c r="DD27" s="560">
        <f t="shared" si="61"/>
        <v>66.60899999999998</v>
      </c>
      <c r="DE27" s="565"/>
      <c r="DF27" s="553">
        <f t="shared" ref="DF27:DQ27" si="131">(DF18+DF19)*$C$30</f>
        <v>4.87575</v>
      </c>
      <c r="DG27" s="553">
        <f t="shared" si="131"/>
        <v>4.87575</v>
      </c>
      <c r="DH27" s="553">
        <f t="shared" si="131"/>
        <v>4.87575</v>
      </c>
      <c r="DI27" s="553">
        <f t="shared" si="131"/>
        <v>4.87575</v>
      </c>
      <c r="DJ27" s="553">
        <f t="shared" si="131"/>
        <v>4.87575</v>
      </c>
      <c r="DK27" s="553">
        <f t="shared" si="131"/>
        <v>4.87575</v>
      </c>
      <c r="DL27" s="553">
        <f t="shared" si="131"/>
        <v>8.9257500000000007</v>
      </c>
      <c r="DM27" s="562">
        <f t="shared" si="131"/>
        <v>8.9257500000000007</v>
      </c>
      <c r="DN27" s="553">
        <f t="shared" si="131"/>
        <v>4.87575</v>
      </c>
      <c r="DO27" s="553">
        <f t="shared" si="131"/>
        <v>4.87575</v>
      </c>
      <c r="DP27" s="553">
        <f t="shared" si="131"/>
        <v>4.87575</v>
      </c>
      <c r="DQ27" s="553">
        <f t="shared" si="131"/>
        <v>4.87575</v>
      </c>
      <c r="DR27" s="560">
        <f t="shared" si="63"/>
        <v>66.608999999999995</v>
      </c>
      <c r="DS27" s="565"/>
      <c r="DT27" s="553">
        <f t="shared" ref="DT27:EE27" si="132">(DT18+DT19)*$C$30</f>
        <v>4.87575</v>
      </c>
      <c r="DU27" s="553">
        <f t="shared" si="132"/>
        <v>4.87575</v>
      </c>
      <c r="DV27" s="553">
        <f t="shared" si="132"/>
        <v>4.87575</v>
      </c>
      <c r="DW27" s="553">
        <f t="shared" si="132"/>
        <v>4.87575</v>
      </c>
      <c r="DX27" s="553">
        <f t="shared" si="132"/>
        <v>4.87575</v>
      </c>
      <c r="DY27" s="553">
        <f t="shared" si="132"/>
        <v>4.87575</v>
      </c>
      <c r="DZ27" s="553">
        <f t="shared" si="132"/>
        <v>4.87575</v>
      </c>
      <c r="EA27" s="553">
        <f t="shared" si="132"/>
        <v>4.87575</v>
      </c>
      <c r="EB27" s="553">
        <f t="shared" si="132"/>
        <v>4.87575</v>
      </c>
      <c r="EC27" s="553">
        <f t="shared" si="132"/>
        <v>4.87575</v>
      </c>
      <c r="ED27" s="553">
        <f t="shared" si="132"/>
        <v>4.87575</v>
      </c>
      <c r="EE27" s="553">
        <f t="shared" si="132"/>
        <v>4.87575</v>
      </c>
      <c r="EF27" s="560">
        <f t="shared" si="65"/>
        <v>58.508999999999986</v>
      </c>
      <c r="EG27" s="565"/>
      <c r="EH27" s="553">
        <f t="shared" ref="EH27:ES27" si="133">(EH18+EH19)*$C$30</f>
        <v>8.9257500000000007</v>
      </c>
      <c r="EI27" s="562">
        <f t="shared" si="133"/>
        <v>8.9257500000000007</v>
      </c>
      <c r="EJ27" s="553">
        <f t="shared" si="133"/>
        <v>4.87575</v>
      </c>
      <c r="EK27" s="553">
        <f t="shared" si="133"/>
        <v>4.87575</v>
      </c>
      <c r="EL27" s="553">
        <f t="shared" si="133"/>
        <v>4.87575</v>
      </c>
      <c r="EM27" s="553">
        <f t="shared" si="133"/>
        <v>4.87575</v>
      </c>
      <c r="EN27" s="553">
        <f t="shared" si="133"/>
        <v>4.87575</v>
      </c>
      <c r="EO27" s="553">
        <f t="shared" si="133"/>
        <v>4.87575</v>
      </c>
      <c r="EP27" s="553">
        <f t="shared" si="133"/>
        <v>4.87575</v>
      </c>
      <c r="EQ27" s="553">
        <f t="shared" si="133"/>
        <v>4.87575</v>
      </c>
      <c r="ER27" s="553">
        <f t="shared" si="133"/>
        <v>4.87575</v>
      </c>
      <c r="ES27" s="553">
        <f t="shared" si="133"/>
        <v>4.87575</v>
      </c>
      <c r="ET27" s="560">
        <f t="shared" si="67"/>
        <v>66.60899999999998</v>
      </c>
      <c r="EU27" s="565"/>
    </row>
    <row r="28" spans="1:151" ht="10.5" customHeight="1" x14ac:dyDescent="0.35">
      <c r="B28" s="557" t="s">
        <v>1010</v>
      </c>
      <c r="C28" s="555">
        <f>Asumsi!C57</f>
        <v>1E-3</v>
      </c>
      <c r="D28" s="552" t="s">
        <v>663</v>
      </c>
      <c r="F28" s="553">
        <f>Asumsi!F57</f>
        <v>40000</v>
      </c>
      <c r="G28" s="552" t="s">
        <v>12</v>
      </c>
      <c r="I28" s="536"/>
      <c r="J28" s="531" t="s">
        <v>526</v>
      </c>
      <c r="K28" s="531" t="s">
        <v>1070</v>
      </c>
      <c r="L28" s="553">
        <f>(L18+L19)*$C$31</f>
        <v>5.67</v>
      </c>
      <c r="M28" s="553">
        <f t="shared" ref="M28:W28" si="134">(M18+M19)*$C$31</f>
        <v>5.67</v>
      </c>
      <c r="N28" s="553">
        <f t="shared" si="134"/>
        <v>6.8260499999999995</v>
      </c>
      <c r="O28" s="553">
        <f t="shared" si="134"/>
        <v>6.8260499999999995</v>
      </c>
      <c r="P28" s="553">
        <f t="shared" si="134"/>
        <v>6.8260499999999995</v>
      </c>
      <c r="Q28" s="553">
        <f t="shared" si="134"/>
        <v>6.8260499999999995</v>
      </c>
      <c r="R28" s="553">
        <f t="shared" si="134"/>
        <v>6.8260499999999995</v>
      </c>
      <c r="S28" s="553">
        <f t="shared" si="134"/>
        <v>6.8260499999999995</v>
      </c>
      <c r="T28" s="553">
        <f t="shared" si="134"/>
        <v>6.8260499999999995</v>
      </c>
      <c r="U28" s="553">
        <f t="shared" si="134"/>
        <v>6.8260499999999995</v>
      </c>
      <c r="V28" s="553">
        <f t="shared" si="134"/>
        <v>6.8260499999999995</v>
      </c>
      <c r="W28" s="553">
        <f t="shared" si="134"/>
        <v>6.8260499999999995</v>
      </c>
      <c r="X28" s="560">
        <f t="shared" si="26"/>
        <v>79.600499999999997</v>
      </c>
      <c r="Y28" s="565"/>
      <c r="Z28" s="553">
        <f t="shared" ref="Z28:AK28" si="135">(Z18+Z19)*$C$31</f>
        <v>6.8260499999999995</v>
      </c>
      <c r="AA28" s="553">
        <f t="shared" si="135"/>
        <v>6.8260499999999995</v>
      </c>
      <c r="AB28" s="553">
        <f t="shared" si="135"/>
        <v>6.8260499999999995</v>
      </c>
      <c r="AC28" s="553">
        <f t="shared" si="135"/>
        <v>6.8260499999999995</v>
      </c>
      <c r="AD28" s="553">
        <f t="shared" si="135"/>
        <v>6.8260499999999995</v>
      </c>
      <c r="AE28" s="553">
        <f t="shared" si="135"/>
        <v>6.8260499999999995</v>
      </c>
      <c r="AF28" s="553">
        <f t="shared" si="135"/>
        <v>12.49605</v>
      </c>
      <c r="AG28" s="562">
        <f t="shared" si="135"/>
        <v>12.49605</v>
      </c>
      <c r="AH28" s="553">
        <f t="shared" si="135"/>
        <v>6.8260499999999995</v>
      </c>
      <c r="AI28" s="553">
        <f t="shared" si="135"/>
        <v>6.8260499999999995</v>
      </c>
      <c r="AJ28" s="553">
        <f t="shared" si="135"/>
        <v>6.8260499999999995</v>
      </c>
      <c r="AK28" s="553">
        <f t="shared" si="135"/>
        <v>6.8260499999999995</v>
      </c>
      <c r="AL28" s="560">
        <f t="shared" si="50"/>
        <v>93.252599999999973</v>
      </c>
      <c r="AM28" s="565"/>
      <c r="AN28" s="553">
        <f t="shared" ref="AN28:AY28" si="136">(AN18+AN19)*$C$31</f>
        <v>6.8260499999999995</v>
      </c>
      <c r="AO28" s="553">
        <f t="shared" si="136"/>
        <v>6.8260499999999995</v>
      </c>
      <c r="AP28" s="553">
        <f t="shared" si="136"/>
        <v>6.8260499999999995</v>
      </c>
      <c r="AQ28" s="553">
        <f t="shared" si="136"/>
        <v>6.8260499999999995</v>
      </c>
      <c r="AR28" s="553">
        <f t="shared" si="136"/>
        <v>6.8260499999999995</v>
      </c>
      <c r="AS28" s="553">
        <f t="shared" si="136"/>
        <v>6.8260499999999995</v>
      </c>
      <c r="AT28" s="553">
        <f t="shared" si="136"/>
        <v>6.8260499999999995</v>
      </c>
      <c r="AU28" s="553">
        <f t="shared" si="136"/>
        <v>6.8260499999999995</v>
      </c>
      <c r="AV28" s="553">
        <f t="shared" si="136"/>
        <v>6.8260499999999995</v>
      </c>
      <c r="AW28" s="553">
        <f t="shared" si="136"/>
        <v>6.8260499999999995</v>
      </c>
      <c r="AX28" s="553">
        <f t="shared" si="136"/>
        <v>6.8260499999999995</v>
      </c>
      <c r="AY28" s="553">
        <f t="shared" si="136"/>
        <v>6.8260499999999995</v>
      </c>
      <c r="AZ28" s="560">
        <f t="shared" si="52"/>
        <v>81.912599999999998</v>
      </c>
      <c r="BA28" s="565"/>
      <c r="BB28" s="553">
        <f t="shared" ref="BB28:BM28" si="137">(BB18+BB19)*$C$31</f>
        <v>12.49605</v>
      </c>
      <c r="BC28" s="562">
        <f t="shared" si="137"/>
        <v>12.49605</v>
      </c>
      <c r="BD28" s="553">
        <f t="shared" si="137"/>
        <v>6.8260499999999995</v>
      </c>
      <c r="BE28" s="553">
        <f t="shared" si="137"/>
        <v>6.8260499999999995</v>
      </c>
      <c r="BF28" s="553">
        <f t="shared" si="137"/>
        <v>6.8260499999999995</v>
      </c>
      <c r="BG28" s="553">
        <f t="shared" si="137"/>
        <v>6.8260499999999995</v>
      </c>
      <c r="BH28" s="553">
        <f t="shared" si="137"/>
        <v>6.8260499999999995</v>
      </c>
      <c r="BI28" s="553">
        <f t="shared" si="137"/>
        <v>6.8260499999999995</v>
      </c>
      <c r="BJ28" s="553">
        <f t="shared" si="137"/>
        <v>6.8260499999999995</v>
      </c>
      <c r="BK28" s="553">
        <f t="shared" si="137"/>
        <v>6.8260499999999995</v>
      </c>
      <c r="BL28" s="553">
        <f t="shared" si="137"/>
        <v>6.8260499999999995</v>
      </c>
      <c r="BM28" s="553">
        <f t="shared" si="137"/>
        <v>6.8260499999999995</v>
      </c>
      <c r="BN28" s="560">
        <f t="shared" si="54"/>
        <v>93.252599999999987</v>
      </c>
      <c r="BO28" s="565"/>
      <c r="BP28" s="553">
        <f t="shared" ref="BP28:CA28" si="138">(BP18+BP19)*$C$31</f>
        <v>6.8260499999999995</v>
      </c>
      <c r="BQ28" s="553">
        <f t="shared" si="138"/>
        <v>6.8260499999999995</v>
      </c>
      <c r="BR28" s="553">
        <f t="shared" si="138"/>
        <v>6.8260499999999995</v>
      </c>
      <c r="BS28" s="553">
        <f t="shared" si="138"/>
        <v>6.8260499999999995</v>
      </c>
      <c r="BT28" s="553">
        <f t="shared" si="138"/>
        <v>6.8260499999999995</v>
      </c>
      <c r="BU28" s="553">
        <f t="shared" si="138"/>
        <v>6.8260499999999995</v>
      </c>
      <c r="BV28" s="553">
        <f t="shared" si="138"/>
        <v>12.49605</v>
      </c>
      <c r="BW28" s="562">
        <f t="shared" si="138"/>
        <v>12.49605</v>
      </c>
      <c r="BX28" s="553">
        <f t="shared" si="138"/>
        <v>6.8260499999999995</v>
      </c>
      <c r="BY28" s="553">
        <f t="shared" si="138"/>
        <v>6.8260499999999995</v>
      </c>
      <c r="BZ28" s="553">
        <f t="shared" si="138"/>
        <v>6.8260499999999995</v>
      </c>
      <c r="CA28" s="553">
        <f t="shared" si="138"/>
        <v>6.8260499999999995</v>
      </c>
      <c r="CB28" s="560">
        <f t="shared" si="56"/>
        <v>93.252599999999973</v>
      </c>
      <c r="CC28" s="565"/>
      <c r="CD28" s="553">
        <f t="shared" ref="CD28:CO28" si="139">(CD18+CD19)*$C$31</f>
        <v>6.8260499999999995</v>
      </c>
      <c r="CE28" s="553">
        <f t="shared" si="139"/>
        <v>6.8260499999999995</v>
      </c>
      <c r="CF28" s="553">
        <f t="shared" si="139"/>
        <v>6.8260499999999995</v>
      </c>
      <c r="CG28" s="553">
        <f t="shared" si="139"/>
        <v>6.8260499999999995</v>
      </c>
      <c r="CH28" s="553">
        <f t="shared" si="139"/>
        <v>6.8260499999999995</v>
      </c>
      <c r="CI28" s="553">
        <f t="shared" si="139"/>
        <v>6.8260499999999995</v>
      </c>
      <c r="CJ28" s="553">
        <f t="shared" si="139"/>
        <v>6.8260499999999995</v>
      </c>
      <c r="CK28" s="553">
        <f t="shared" si="139"/>
        <v>6.8260499999999995</v>
      </c>
      <c r="CL28" s="553">
        <f t="shared" si="139"/>
        <v>6.8260499999999995</v>
      </c>
      <c r="CM28" s="553">
        <f t="shared" si="139"/>
        <v>6.8260499999999995</v>
      </c>
      <c r="CN28" s="553">
        <f t="shared" si="139"/>
        <v>6.8260499999999995</v>
      </c>
      <c r="CO28" s="553">
        <f t="shared" si="139"/>
        <v>6.8260499999999995</v>
      </c>
      <c r="CP28" s="560">
        <f t="shared" si="58"/>
        <v>81.912599999999998</v>
      </c>
      <c r="CQ28" s="565"/>
      <c r="CR28" s="553">
        <f t="shared" ref="CR28:CT28" si="140">(CR18+CR19)*$C$31</f>
        <v>12.49605</v>
      </c>
      <c r="CS28" s="562">
        <f t="shared" si="140"/>
        <v>12.49605</v>
      </c>
      <c r="CT28" s="553">
        <f t="shared" si="140"/>
        <v>6.8260499999999995</v>
      </c>
      <c r="CU28" s="553">
        <f t="shared" ref="CU28:DC28" si="141">(CU18+CU19)*$C$31</f>
        <v>6.8260499999999995</v>
      </c>
      <c r="CV28" s="553">
        <f t="shared" si="141"/>
        <v>6.8260499999999995</v>
      </c>
      <c r="CW28" s="553">
        <f t="shared" si="141"/>
        <v>6.8260499999999995</v>
      </c>
      <c r="CX28" s="553">
        <f t="shared" si="141"/>
        <v>6.8260499999999995</v>
      </c>
      <c r="CY28" s="553">
        <f t="shared" si="141"/>
        <v>6.8260499999999995</v>
      </c>
      <c r="CZ28" s="553">
        <f t="shared" si="141"/>
        <v>6.8260499999999995</v>
      </c>
      <c r="DA28" s="553">
        <f t="shared" si="141"/>
        <v>6.8260499999999995</v>
      </c>
      <c r="DB28" s="553">
        <f t="shared" si="141"/>
        <v>6.8260499999999995</v>
      </c>
      <c r="DC28" s="553">
        <f t="shared" si="141"/>
        <v>6.8260499999999995</v>
      </c>
      <c r="DD28" s="560">
        <f t="shared" si="61"/>
        <v>93.252599999999987</v>
      </c>
      <c r="DE28" s="565"/>
      <c r="DF28" s="553">
        <f t="shared" ref="DF28:DQ28" si="142">(DF18+DF19)*$C$31</f>
        <v>6.8260499999999995</v>
      </c>
      <c r="DG28" s="553">
        <f t="shared" si="142"/>
        <v>6.8260499999999995</v>
      </c>
      <c r="DH28" s="553">
        <f t="shared" si="142"/>
        <v>6.8260499999999995</v>
      </c>
      <c r="DI28" s="553">
        <f t="shared" si="142"/>
        <v>6.8260499999999995</v>
      </c>
      <c r="DJ28" s="553">
        <f t="shared" si="142"/>
        <v>6.8260499999999995</v>
      </c>
      <c r="DK28" s="553">
        <f t="shared" si="142"/>
        <v>6.8260499999999995</v>
      </c>
      <c r="DL28" s="553">
        <f t="shared" si="142"/>
        <v>12.49605</v>
      </c>
      <c r="DM28" s="562">
        <f t="shared" si="142"/>
        <v>12.49605</v>
      </c>
      <c r="DN28" s="553">
        <f t="shared" si="142"/>
        <v>6.8260499999999995</v>
      </c>
      <c r="DO28" s="553">
        <f t="shared" si="142"/>
        <v>6.8260499999999995</v>
      </c>
      <c r="DP28" s="553">
        <f t="shared" si="142"/>
        <v>6.8260499999999995</v>
      </c>
      <c r="DQ28" s="553">
        <f t="shared" si="142"/>
        <v>6.8260499999999995</v>
      </c>
      <c r="DR28" s="560">
        <f t="shared" si="63"/>
        <v>93.252599999999973</v>
      </c>
      <c r="DS28" s="565"/>
      <c r="DT28" s="553">
        <f t="shared" ref="DT28:EE28" si="143">(DT18+DT19)*$C$31</f>
        <v>6.8260499999999995</v>
      </c>
      <c r="DU28" s="553">
        <f t="shared" si="143"/>
        <v>6.8260499999999995</v>
      </c>
      <c r="DV28" s="553">
        <f t="shared" si="143"/>
        <v>6.8260499999999995</v>
      </c>
      <c r="DW28" s="553">
        <f t="shared" si="143"/>
        <v>6.8260499999999995</v>
      </c>
      <c r="DX28" s="553">
        <f t="shared" si="143"/>
        <v>6.8260499999999995</v>
      </c>
      <c r="DY28" s="553">
        <f t="shared" si="143"/>
        <v>6.8260499999999995</v>
      </c>
      <c r="DZ28" s="553">
        <f t="shared" si="143"/>
        <v>6.8260499999999995</v>
      </c>
      <c r="EA28" s="553">
        <f t="shared" si="143"/>
        <v>6.8260499999999995</v>
      </c>
      <c r="EB28" s="553">
        <f t="shared" si="143"/>
        <v>6.8260499999999995</v>
      </c>
      <c r="EC28" s="553">
        <f t="shared" si="143"/>
        <v>6.8260499999999995</v>
      </c>
      <c r="ED28" s="553">
        <f t="shared" si="143"/>
        <v>6.8260499999999995</v>
      </c>
      <c r="EE28" s="553">
        <f t="shared" si="143"/>
        <v>6.8260499999999995</v>
      </c>
      <c r="EF28" s="560">
        <f t="shared" si="65"/>
        <v>81.912599999999998</v>
      </c>
      <c r="EG28" s="565"/>
      <c r="EH28" s="553">
        <f t="shared" ref="EH28:ES28" si="144">(EH18+EH19)*$C$31</f>
        <v>12.49605</v>
      </c>
      <c r="EI28" s="562">
        <f t="shared" si="144"/>
        <v>12.49605</v>
      </c>
      <c r="EJ28" s="553">
        <f t="shared" si="144"/>
        <v>6.8260499999999995</v>
      </c>
      <c r="EK28" s="553">
        <f t="shared" si="144"/>
        <v>6.8260499999999995</v>
      </c>
      <c r="EL28" s="553">
        <f t="shared" si="144"/>
        <v>6.8260499999999995</v>
      </c>
      <c r="EM28" s="553">
        <f t="shared" si="144"/>
        <v>6.8260499999999995</v>
      </c>
      <c r="EN28" s="553">
        <f t="shared" si="144"/>
        <v>6.8260499999999995</v>
      </c>
      <c r="EO28" s="553">
        <f t="shared" si="144"/>
        <v>6.8260499999999995</v>
      </c>
      <c r="EP28" s="553">
        <f t="shared" si="144"/>
        <v>6.8260499999999995</v>
      </c>
      <c r="EQ28" s="553">
        <f t="shared" si="144"/>
        <v>6.8260499999999995</v>
      </c>
      <c r="ER28" s="553">
        <f t="shared" si="144"/>
        <v>6.8260499999999995</v>
      </c>
      <c r="ES28" s="553">
        <f t="shared" si="144"/>
        <v>6.8260499999999995</v>
      </c>
      <c r="ET28" s="560">
        <f t="shared" si="67"/>
        <v>93.252599999999987</v>
      </c>
      <c r="EU28" s="565"/>
    </row>
    <row r="29" spans="1:151" ht="10.5" customHeight="1" x14ac:dyDescent="0.35">
      <c r="B29" s="557" t="s">
        <v>1011</v>
      </c>
      <c r="C29" s="555">
        <f>Asumsi!C58</f>
        <v>2.0000000000000001E-4</v>
      </c>
      <c r="D29" s="552" t="s">
        <v>663</v>
      </c>
      <c r="F29" s="553">
        <f>Asumsi!F58</f>
        <v>45000</v>
      </c>
      <c r="G29" s="552" t="s">
        <v>12</v>
      </c>
      <c r="I29" s="536"/>
      <c r="J29" s="531" t="s">
        <v>513</v>
      </c>
      <c r="K29" s="531" t="s">
        <v>1084</v>
      </c>
      <c r="L29" s="553">
        <f>(L18+L19)*$C$32</f>
        <v>16.2</v>
      </c>
      <c r="M29" s="553">
        <f t="shared" ref="M29:W29" si="145">(M18+M19)*$C$32</f>
        <v>16.2</v>
      </c>
      <c r="N29" s="553">
        <f t="shared" si="145"/>
        <v>19.503</v>
      </c>
      <c r="O29" s="553">
        <f t="shared" si="145"/>
        <v>19.503</v>
      </c>
      <c r="P29" s="553">
        <f t="shared" si="145"/>
        <v>19.503</v>
      </c>
      <c r="Q29" s="553">
        <f t="shared" si="145"/>
        <v>19.503</v>
      </c>
      <c r="R29" s="553">
        <f t="shared" si="145"/>
        <v>19.503</v>
      </c>
      <c r="S29" s="553">
        <f t="shared" si="145"/>
        <v>19.503</v>
      </c>
      <c r="T29" s="553">
        <f t="shared" si="145"/>
        <v>19.503</v>
      </c>
      <c r="U29" s="553">
        <f t="shared" si="145"/>
        <v>19.503</v>
      </c>
      <c r="V29" s="553">
        <f t="shared" si="145"/>
        <v>19.503</v>
      </c>
      <c r="W29" s="553">
        <f t="shared" si="145"/>
        <v>19.503</v>
      </c>
      <c r="X29" s="560">
        <f t="shared" si="26"/>
        <v>227.42999999999995</v>
      </c>
      <c r="Y29" s="565"/>
      <c r="Z29" s="553">
        <f t="shared" ref="Z29:AK29" si="146">(Z18+Z19)*$C$32</f>
        <v>19.503</v>
      </c>
      <c r="AA29" s="553">
        <f t="shared" si="146"/>
        <v>19.503</v>
      </c>
      <c r="AB29" s="553">
        <f t="shared" si="146"/>
        <v>19.503</v>
      </c>
      <c r="AC29" s="553">
        <f t="shared" si="146"/>
        <v>19.503</v>
      </c>
      <c r="AD29" s="553">
        <f t="shared" si="146"/>
        <v>19.503</v>
      </c>
      <c r="AE29" s="553">
        <f t="shared" si="146"/>
        <v>19.503</v>
      </c>
      <c r="AF29" s="553">
        <f t="shared" si="146"/>
        <v>35.703000000000003</v>
      </c>
      <c r="AG29" s="562">
        <f t="shared" si="146"/>
        <v>35.703000000000003</v>
      </c>
      <c r="AH29" s="553">
        <f t="shared" si="146"/>
        <v>19.503</v>
      </c>
      <c r="AI29" s="553">
        <f t="shared" si="146"/>
        <v>19.503</v>
      </c>
      <c r="AJ29" s="553">
        <f t="shared" si="146"/>
        <v>19.503</v>
      </c>
      <c r="AK29" s="553">
        <f t="shared" si="146"/>
        <v>19.503</v>
      </c>
      <c r="AL29" s="560">
        <f t="shared" si="50"/>
        <v>266.43599999999998</v>
      </c>
      <c r="AM29" s="565"/>
      <c r="AN29" s="553">
        <f t="shared" ref="AN29:AY29" si="147">(AN18+AN19)*$C$32</f>
        <v>19.503</v>
      </c>
      <c r="AO29" s="553">
        <f t="shared" si="147"/>
        <v>19.503</v>
      </c>
      <c r="AP29" s="553">
        <f t="shared" si="147"/>
        <v>19.503</v>
      </c>
      <c r="AQ29" s="553">
        <f t="shared" si="147"/>
        <v>19.503</v>
      </c>
      <c r="AR29" s="553">
        <f t="shared" si="147"/>
        <v>19.503</v>
      </c>
      <c r="AS29" s="553">
        <f t="shared" si="147"/>
        <v>19.503</v>
      </c>
      <c r="AT29" s="553">
        <f t="shared" si="147"/>
        <v>19.503</v>
      </c>
      <c r="AU29" s="553">
        <f t="shared" si="147"/>
        <v>19.503</v>
      </c>
      <c r="AV29" s="553">
        <f t="shared" si="147"/>
        <v>19.503</v>
      </c>
      <c r="AW29" s="553">
        <f t="shared" si="147"/>
        <v>19.503</v>
      </c>
      <c r="AX29" s="553">
        <f t="shared" si="147"/>
        <v>19.503</v>
      </c>
      <c r="AY29" s="553">
        <f t="shared" si="147"/>
        <v>19.503</v>
      </c>
      <c r="AZ29" s="560">
        <f t="shared" si="52"/>
        <v>234.03599999999994</v>
      </c>
      <c r="BA29" s="565"/>
      <c r="BB29" s="553">
        <f t="shared" ref="BB29:BM29" si="148">(BB18+BB19)*$C$32</f>
        <v>35.703000000000003</v>
      </c>
      <c r="BC29" s="562">
        <f t="shared" si="148"/>
        <v>35.703000000000003</v>
      </c>
      <c r="BD29" s="553">
        <f t="shared" si="148"/>
        <v>19.503</v>
      </c>
      <c r="BE29" s="553">
        <f t="shared" si="148"/>
        <v>19.503</v>
      </c>
      <c r="BF29" s="553">
        <f t="shared" si="148"/>
        <v>19.503</v>
      </c>
      <c r="BG29" s="553">
        <f t="shared" si="148"/>
        <v>19.503</v>
      </c>
      <c r="BH29" s="553">
        <f t="shared" si="148"/>
        <v>19.503</v>
      </c>
      <c r="BI29" s="553">
        <f t="shared" si="148"/>
        <v>19.503</v>
      </c>
      <c r="BJ29" s="553">
        <f t="shared" si="148"/>
        <v>19.503</v>
      </c>
      <c r="BK29" s="553">
        <f t="shared" si="148"/>
        <v>19.503</v>
      </c>
      <c r="BL29" s="553">
        <f t="shared" si="148"/>
        <v>19.503</v>
      </c>
      <c r="BM29" s="553">
        <f t="shared" si="148"/>
        <v>19.503</v>
      </c>
      <c r="BN29" s="560">
        <f t="shared" si="54"/>
        <v>266.43599999999992</v>
      </c>
      <c r="BO29" s="565"/>
      <c r="BP29" s="553">
        <f t="shared" ref="BP29:CA29" si="149">(BP18+BP19)*$C$32</f>
        <v>19.503</v>
      </c>
      <c r="BQ29" s="553">
        <f t="shared" si="149"/>
        <v>19.503</v>
      </c>
      <c r="BR29" s="553">
        <f t="shared" si="149"/>
        <v>19.503</v>
      </c>
      <c r="BS29" s="553">
        <f t="shared" si="149"/>
        <v>19.503</v>
      </c>
      <c r="BT29" s="553">
        <f t="shared" si="149"/>
        <v>19.503</v>
      </c>
      <c r="BU29" s="553">
        <f t="shared" si="149"/>
        <v>19.503</v>
      </c>
      <c r="BV29" s="553">
        <f t="shared" si="149"/>
        <v>35.703000000000003</v>
      </c>
      <c r="BW29" s="562">
        <f t="shared" si="149"/>
        <v>35.703000000000003</v>
      </c>
      <c r="BX29" s="553">
        <f t="shared" si="149"/>
        <v>19.503</v>
      </c>
      <c r="BY29" s="553">
        <f t="shared" si="149"/>
        <v>19.503</v>
      </c>
      <c r="BZ29" s="553">
        <f t="shared" si="149"/>
        <v>19.503</v>
      </c>
      <c r="CA29" s="553">
        <f t="shared" si="149"/>
        <v>19.503</v>
      </c>
      <c r="CB29" s="560">
        <f t="shared" si="56"/>
        <v>266.43599999999998</v>
      </c>
      <c r="CC29" s="565"/>
      <c r="CD29" s="553">
        <f t="shared" ref="CD29:CO29" si="150">(CD18+CD19)*$C$32</f>
        <v>19.503</v>
      </c>
      <c r="CE29" s="553">
        <f t="shared" si="150"/>
        <v>19.503</v>
      </c>
      <c r="CF29" s="553">
        <f t="shared" si="150"/>
        <v>19.503</v>
      </c>
      <c r="CG29" s="553">
        <f t="shared" si="150"/>
        <v>19.503</v>
      </c>
      <c r="CH29" s="553">
        <f t="shared" si="150"/>
        <v>19.503</v>
      </c>
      <c r="CI29" s="553">
        <f t="shared" si="150"/>
        <v>19.503</v>
      </c>
      <c r="CJ29" s="553">
        <f t="shared" si="150"/>
        <v>19.503</v>
      </c>
      <c r="CK29" s="553">
        <f t="shared" si="150"/>
        <v>19.503</v>
      </c>
      <c r="CL29" s="553">
        <f t="shared" si="150"/>
        <v>19.503</v>
      </c>
      <c r="CM29" s="553">
        <f t="shared" si="150"/>
        <v>19.503</v>
      </c>
      <c r="CN29" s="553">
        <f t="shared" si="150"/>
        <v>19.503</v>
      </c>
      <c r="CO29" s="553">
        <f t="shared" si="150"/>
        <v>19.503</v>
      </c>
      <c r="CP29" s="560">
        <f t="shared" si="58"/>
        <v>234.03599999999994</v>
      </c>
      <c r="CQ29" s="565"/>
      <c r="CR29" s="553">
        <f t="shared" ref="CR29:CT29" si="151">(CR18+CR19)*$C$32</f>
        <v>35.703000000000003</v>
      </c>
      <c r="CS29" s="562">
        <f t="shared" si="151"/>
        <v>35.703000000000003</v>
      </c>
      <c r="CT29" s="553">
        <f t="shared" si="151"/>
        <v>19.503</v>
      </c>
      <c r="CU29" s="553">
        <f t="shared" ref="CU29:DC29" si="152">(CU18+CU19)*$C$32</f>
        <v>19.503</v>
      </c>
      <c r="CV29" s="553">
        <f t="shared" si="152"/>
        <v>19.503</v>
      </c>
      <c r="CW29" s="553">
        <f t="shared" si="152"/>
        <v>19.503</v>
      </c>
      <c r="CX29" s="553">
        <f t="shared" si="152"/>
        <v>19.503</v>
      </c>
      <c r="CY29" s="553">
        <f t="shared" si="152"/>
        <v>19.503</v>
      </c>
      <c r="CZ29" s="553">
        <f t="shared" si="152"/>
        <v>19.503</v>
      </c>
      <c r="DA29" s="553">
        <f t="shared" si="152"/>
        <v>19.503</v>
      </c>
      <c r="DB29" s="553">
        <f t="shared" si="152"/>
        <v>19.503</v>
      </c>
      <c r="DC29" s="553">
        <f t="shared" si="152"/>
        <v>19.503</v>
      </c>
      <c r="DD29" s="560">
        <f t="shared" si="61"/>
        <v>266.43599999999992</v>
      </c>
      <c r="DE29" s="565"/>
      <c r="DF29" s="553">
        <f t="shared" ref="DF29:DQ29" si="153">(DF18+DF19)*$C$32</f>
        <v>19.503</v>
      </c>
      <c r="DG29" s="553">
        <f t="shared" si="153"/>
        <v>19.503</v>
      </c>
      <c r="DH29" s="553">
        <f t="shared" si="153"/>
        <v>19.503</v>
      </c>
      <c r="DI29" s="553">
        <f t="shared" si="153"/>
        <v>19.503</v>
      </c>
      <c r="DJ29" s="553">
        <f t="shared" si="153"/>
        <v>19.503</v>
      </c>
      <c r="DK29" s="553">
        <f t="shared" si="153"/>
        <v>19.503</v>
      </c>
      <c r="DL29" s="553">
        <f t="shared" si="153"/>
        <v>35.703000000000003</v>
      </c>
      <c r="DM29" s="562">
        <f t="shared" si="153"/>
        <v>35.703000000000003</v>
      </c>
      <c r="DN29" s="553">
        <f t="shared" si="153"/>
        <v>19.503</v>
      </c>
      <c r="DO29" s="553">
        <f t="shared" si="153"/>
        <v>19.503</v>
      </c>
      <c r="DP29" s="553">
        <f t="shared" si="153"/>
        <v>19.503</v>
      </c>
      <c r="DQ29" s="553">
        <f t="shared" si="153"/>
        <v>19.503</v>
      </c>
      <c r="DR29" s="560">
        <f t="shared" si="63"/>
        <v>266.43599999999998</v>
      </c>
      <c r="DS29" s="565"/>
      <c r="DT29" s="553">
        <f t="shared" ref="DT29:EE29" si="154">(DT18+DT19)*$C$32</f>
        <v>19.503</v>
      </c>
      <c r="DU29" s="553">
        <f t="shared" si="154"/>
        <v>19.503</v>
      </c>
      <c r="DV29" s="553">
        <f t="shared" si="154"/>
        <v>19.503</v>
      </c>
      <c r="DW29" s="553">
        <f t="shared" si="154"/>
        <v>19.503</v>
      </c>
      <c r="DX29" s="553">
        <f t="shared" si="154"/>
        <v>19.503</v>
      </c>
      <c r="DY29" s="553">
        <f t="shared" si="154"/>
        <v>19.503</v>
      </c>
      <c r="DZ29" s="553">
        <f t="shared" si="154"/>
        <v>19.503</v>
      </c>
      <c r="EA29" s="553">
        <f t="shared" si="154"/>
        <v>19.503</v>
      </c>
      <c r="EB29" s="553">
        <f t="shared" si="154"/>
        <v>19.503</v>
      </c>
      <c r="EC29" s="553">
        <f t="shared" si="154"/>
        <v>19.503</v>
      </c>
      <c r="ED29" s="553">
        <f t="shared" si="154"/>
        <v>19.503</v>
      </c>
      <c r="EE29" s="553">
        <f t="shared" si="154"/>
        <v>19.503</v>
      </c>
      <c r="EF29" s="560">
        <f t="shared" si="65"/>
        <v>234.03599999999994</v>
      </c>
      <c r="EG29" s="565"/>
      <c r="EH29" s="553">
        <f t="shared" ref="EH29:ES29" si="155">(EH18+EH19)*$C$32</f>
        <v>35.703000000000003</v>
      </c>
      <c r="EI29" s="562">
        <f t="shared" si="155"/>
        <v>35.703000000000003</v>
      </c>
      <c r="EJ29" s="553">
        <f t="shared" si="155"/>
        <v>19.503</v>
      </c>
      <c r="EK29" s="553">
        <f t="shared" si="155"/>
        <v>19.503</v>
      </c>
      <c r="EL29" s="553">
        <f t="shared" si="155"/>
        <v>19.503</v>
      </c>
      <c r="EM29" s="553">
        <f t="shared" si="155"/>
        <v>19.503</v>
      </c>
      <c r="EN29" s="553">
        <f t="shared" si="155"/>
        <v>19.503</v>
      </c>
      <c r="EO29" s="553">
        <f t="shared" si="155"/>
        <v>19.503</v>
      </c>
      <c r="EP29" s="553">
        <f t="shared" si="155"/>
        <v>19.503</v>
      </c>
      <c r="EQ29" s="553">
        <f t="shared" si="155"/>
        <v>19.503</v>
      </c>
      <c r="ER29" s="553">
        <f t="shared" si="155"/>
        <v>19.503</v>
      </c>
      <c r="ES29" s="553">
        <f t="shared" si="155"/>
        <v>19.503</v>
      </c>
      <c r="ET29" s="560">
        <f t="shared" si="67"/>
        <v>266.43599999999992</v>
      </c>
      <c r="EU29" s="565"/>
    </row>
    <row r="30" spans="1:151" ht="10.5" customHeight="1" x14ac:dyDescent="0.35">
      <c r="B30" s="557" t="s">
        <v>1012</v>
      </c>
      <c r="C30" s="555">
        <f>Asumsi!C59</f>
        <v>5.0000000000000001E-4</v>
      </c>
      <c r="D30" s="552" t="s">
        <v>663</v>
      </c>
      <c r="F30" s="553">
        <f>Asumsi!F59</f>
        <v>65000</v>
      </c>
      <c r="G30" s="552" t="s">
        <v>12</v>
      </c>
      <c r="I30" s="536">
        <v>1.5</v>
      </c>
      <c r="J30" s="531" t="s">
        <v>43</v>
      </c>
      <c r="K30" s="461"/>
      <c r="M30" s="553"/>
      <c r="X30" s="560"/>
      <c r="Y30" s="565"/>
      <c r="AA30" s="553"/>
      <c r="AG30" s="561"/>
      <c r="AL30" s="560"/>
      <c r="AM30" s="565"/>
      <c r="AO30" s="553"/>
      <c r="AZ30" s="560"/>
      <c r="BA30" s="565"/>
      <c r="BC30" s="562"/>
      <c r="BN30" s="560"/>
      <c r="BO30" s="565"/>
      <c r="BQ30" s="553"/>
      <c r="BW30" s="561"/>
      <c r="CB30" s="560"/>
      <c r="CC30" s="565"/>
      <c r="CE30" s="553"/>
      <c r="CP30" s="560"/>
      <c r="CQ30" s="565"/>
      <c r="CS30" s="561"/>
      <c r="DD30" s="560"/>
      <c r="DE30" s="565"/>
      <c r="DG30" s="553"/>
      <c r="DM30" s="561"/>
      <c r="DR30" s="560"/>
      <c r="DS30" s="565"/>
      <c r="DU30" s="553"/>
      <c r="EF30" s="560"/>
      <c r="EG30" s="565"/>
      <c r="EI30" s="561"/>
      <c r="ET30" s="560"/>
      <c r="EU30" s="565"/>
    </row>
    <row r="31" spans="1:151" ht="10.5" customHeight="1" x14ac:dyDescent="0.35">
      <c r="B31" s="557" t="s">
        <v>1013</v>
      </c>
      <c r="C31" s="555">
        <f>Asumsi!C60</f>
        <v>6.9999999999999999E-4</v>
      </c>
      <c r="D31" s="552" t="s">
        <v>663</v>
      </c>
      <c r="F31" s="553">
        <f>Asumsi!F60</f>
        <v>60000</v>
      </c>
      <c r="G31" s="552" t="s">
        <v>12</v>
      </c>
      <c r="I31" s="536"/>
      <c r="J31" s="531" t="s">
        <v>9</v>
      </c>
      <c r="K31" s="531" t="s">
        <v>500</v>
      </c>
      <c r="L31" s="553">
        <f>ROUND($C$34*L13,0)</f>
        <v>3</v>
      </c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60">
        <f t="shared" si="26"/>
        <v>3</v>
      </c>
      <c r="Y31" s="565"/>
      <c r="Z31" s="553"/>
      <c r="AA31" s="556"/>
      <c r="AB31" s="556"/>
      <c r="AF31" s="553">
        <f>ROUND($C$34*AF13,0)</f>
        <v>3</v>
      </c>
      <c r="AG31" s="562"/>
      <c r="AH31" s="556"/>
      <c r="AL31" s="560">
        <f t="shared" ref="AL31:AL33" si="156">SUM(Z31:AK31)</f>
        <v>3</v>
      </c>
      <c r="AM31" s="565"/>
      <c r="AN31" s="553"/>
      <c r="AO31" s="553"/>
      <c r="AP31" s="556"/>
      <c r="AT31" s="553"/>
      <c r="AZ31" s="560">
        <f t="shared" ref="AZ31:AZ33" si="157">SUM(AN31:AY31)</f>
        <v>0</v>
      </c>
      <c r="BA31" s="565"/>
      <c r="BB31" s="553">
        <f>ROUND($C$34*BB13,0)</f>
        <v>3</v>
      </c>
      <c r="BC31" s="562"/>
      <c r="BD31" s="556"/>
      <c r="BH31" s="553"/>
      <c r="BI31" s="553"/>
      <c r="BN31" s="560">
        <f t="shared" ref="BN31:BN33" si="158">SUM(BB31:BM31)</f>
        <v>3</v>
      </c>
      <c r="BO31" s="565"/>
      <c r="BP31" s="553"/>
      <c r="BQ31" s="556"/>
      <c r="BR31" s="556"/>
      <c r="BV31" s="553">
        <f>ROUND($C$34*BV13,0)</f>
        <v>3</v>
      </c>
      <c r="BW31" s="562"/>
      <c r="BX31" s="556"/>
      <c r="CB31" s="560">
        <f t="shared" ref="CB31:CB33" si="159">SUM(BP31:CA31)</f>
        <v>3</v>
      </c>
      <c r="CC31" s="565"/>
      <c r="CD31" s="553"/>
      <c r="CE31" s="556"/>
      <c r="CF31" s="553"/>
      <c r="CJ31" s="553"/>
      <c r="CK31" s="556"/>
      <c r="CL31" s="556"/>
      <c r="CP31" s="560">
        <f t="shared" ref="CP31:CP33" si="160">SUM(CD31:CO31)</f>
        <v>0</v>
      </c>
      <c r="CQ31" s="565"/>
      <c r="CR31" s="553">
        <f>ROUND($C$34*CR13,0)</f>
        <v>3</v>
      </c>
      <c r="CS31" s="562"/>
      <c r="CT31" s="556"/>
      <c r="CX31" s="553"/>
      <c r="CY31" s="553"/>
      <c r="CZ31" s="553"/>
      <c r="DD31" s="560">
        <f t="shared" ref="DD31:DD33" si="161">SUM(CR31:DC31)</f>
        <v>3</v>
      </c>
      <c r="DE31" s="565"/>
      <c r="DF31" s="553"/>
      <c r="DG31" s="556"/>
      <c r="DH31" s="556"/>
      <c r="DL31" s="553">
        <f>ROUND($C$34*DL13,0)</f>
        <v>3</v>
      </c>
      <c r="DM31" s="562"/>
      <c r="DN31" s="556"/>
      <c r="DR31" s="560">
        <f t="shared" ref="DR31:DR33" si="162">SUM(DF31:DQ31)</f>
        <v>3</v>
      </c>
      <c r="DS31" s="565"/>
      <c r="DT31" s="553"/>
      <c r="DU31" s="553"/>
      <c r="DV31" s="556"/>
      <c r="DZ31" s="553"/>
      <c r="EA31" s="556"/>
      <c r="EB31" s="556"/>
      <c r="EF31" s="560">
        <f t="shared" ref="EF31:EF33" si="163">SUM(DT31:EE31)</f>
        <v>0</v>
      </c>
      <c r="EG31" s="565"/>
      <c r="EH31" s="553">
        <f>ROUND($C$34*EH13,0)</f>
        <v>3</v>
      </c>
      <c r="EI31" s="562"/>
      <c r="EJ31" s="556"/>
      <c r="EN31" s="553"/>
      <c r="EO31" s="553"/>
      <c r="ET31" s="560">
        <f t="shared" ref="ET31:ET33" si="164">SUM(EH31:ES31)</f>
        <v>3</v>
      </c>
      <c r="EU31" s="565"/>
    </row>
    <row r="32" spans="1:151" ht="10.5" customHeight="1" x14ac:dyDescent="0.35">
      <c r="B32" s="557" t="s">
        <v>1014</v>
      </c>
      <c r="C32" s="555">
        <f>Asumsi!C61</f>
        <v>2E-3</v>
      </c>
      <c r="D32" s="552" t="s">
        <v>663</v>
      </c>
      <c r="F32" s="553">
        <f>Asumsi!F61</f>
        <v>30000</v>
      </c>
      <c r="G32" s="552" t="s">
        <v>12</v>
      </c>
      <c r="I32" s="536"/>
      <c r="J32" s="531" t="s">
        <v>10</v>
      </c>
      <c r="K32" s="531" t="s">
        <v>501</v>
      </c>
      <c r="L32" s="553"/>
      <c r="M32" s="553">
        <f t="shared" ref="M32" si="165">ROUND($C$35*M13,0)</f>
        <v>3</v>
      </c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60">
        <f>SUM(L32:W32)</f>
        <v>3</v>
      </c>
      <c r="Y32" s="565"/>
      <c r="Z32" s="553"/>
      <c r="AA32" s="556"/>
      <c r="AB32" s="556"/>
      <c r="AF32" s="553"/>
      <c r="AG32" s="562">
        <f t="shared" ref="AG32" si="166">ROUND($C$35*AG13,0)</f>
        <v>3</v>
      </c>
      <c r="AH32" s="556"/>
      <c r="AL32" s="560">
        <f t="shared" si="156"/>
        <v>3</v>
      </c>
      <c r="AM32" s="565"/>
      <c r="AN32" s="553"/>
      <c r="AO32" s="553"/>
      <c r="AP32" s="556"/>
      <c r="AT32" s="553"/>
      <c r="AZ32" s="560">
        <f t="shared" si="157"/>
        <v>0</v>
      </c>
      <c r="BA32" s="565"/>
      <c r="BB32" s="553"/>
      <c r="BC32" s="562">
        <f t="shared" ref="BC32" si="167">ROUND($C$35*BC13,0)</f>
        <v>3</v>
      </c>
      <c r="BD32" s="556"/>
      <c r="BH32" s="553"/>
      <c r="BI32" s="553"/>
      <c r="BN32" s="560">
        <f t="shared" si="158"/>
        <v>3</v>
      </c>
      <c r="BO32" s="565"/>
      <c r="BP32" s="553"/>
      <c r="BQ32" s="556"/>
      <c r="BR32" s="556"/>
      <c r="BV32" s="553"/>
      <c r="BW32" s="562">
        <f t="shared" ref="BW32" si="168">ROUND($C$35*BW13,0)</f>
        <v>3</v>
      </c>
      <c r="BX32" s="556"/>
      <c r="CB32" s="560">
        <f t="shared" si="159"/>
        <v>3</v>
      </c>
      <c r="CC32" s="565"/>
      <c r="CD32" s="553"/>
      <c r="CE32" s="556"/>
      <c r="CF32" s="553"/>
      <c r="CJ32" s="553"/>
      <c r="CK32" s="556"/>
      <c r="CL32" s="556"/>
      <c r="CP32" s="560">
        <f t="shared" si="160"/>
        <v>0</v>
      </c>
      <c r="CQ32" s="565"/>
      <c r="CR32" s="553"/>
      <c r="CS32" s="562">
        <f t="shared" ref="CS32" si="169">ROUND($C$35*CS13,0)</f>
        <v>3</v>
      </c>
      <c r="CT32" s="556"/>
      <c r="CX32" s="553"/>
      <c r="CY32" s="553"/>
      <c r="CZ32" s="553"/>
      <c r="DD32" s="560">
        <f t="shared" si="161"/>
        <v>3</v>
      </c>
      <c r="DE32" s="565"/>
      <c r="DF32" s="553"/>
      <c r="DG32" s="556"/>
      <c r="DH32" s="556"/>
      <c r="DL32" s="553"/>
      <c r="DM32" s="562">
        <f t="shared" ref="DM32" si="170">ROUND($C$35*DM13,0)</f>
        <v>3</v>
      </c>
      <c r="DN32" s="556"/>
      <c r="DR32" s="560">
        <f t="shared" si="162"/>
        <v>3</v>
      </c>
      <c r="DS32" s="565"/>
      <c r="DT32" s="553"/>
      <c r="DU32" s="553"/>
      <c r="DV32" s="556"/>
      <c r="DZ32" s="553"/>
      <c r="EA32" s="556"/>
      <c r="EB32" s="556"/>
      <c r="EF32" s="560">
        <f t="shared" si="163"/>
        <v>0</v>
      </c>
      <c r="EG32" s="565"/>
      <c r="EH32" s="553"/>
      <c r="EI32" s="562">
        <f t="shared" ref="EI32" si="171">ROUND($C$35*EI13,0)</f>
        <v>3</v>
      </c>
      <c r="EJ32" s="556"/>
      <c r="EN32" s="553"/>
      <c r="EO32" s="553"/>
      <c r="ET32" s="560">
        <f t="shared" si="164"/>
        <v>3</v>
      </c>
      <c r="EU32" s="565"/>
    </row>
    <row r="33" spans="1:151" ht="10.5" customHeight="1" x14ac:dyDescent="0.35">
      <c r="A33" s="547" t="s">
        <v>1175</v>
      </c>
      <c r="B33" s="536" t="s">
        <v>43</v>
      </c>
      <c r="C33" s="555"/>
      <c r="D33" s="552"/>
      <c r="F33" s="553"/>
      <c r="G33" s="552"/>
      <c r="I33" s="536"/>
      <c r="J33" s="531" t="s">
        <v>13</v>
      </c>
      <c r="K33" s="531" t="s">
        <v>502</v>
      </c>
      <c r="L33" s="556"/>
      <c r="M33" s="556"/>
      <c r="N33" s="553"/>
      <c r="O33" s="553"/>
      <c r="P33" s="553"/>
      <c r="Q33" s="553"/>
      <c r="R33" s="553"/>
      <c r="S33" s="553">
        <f t="shared" ref="S33" si="172">ROUND(S14*$C$36,0)</f>
        <v>30</v>
      </c>
      <c r="T33" s="553"/>
      <c r="U33" s="553"/>
      <c r="V33" s="553"/>
      <c r="W33" s="553"/>
      <c r="X33" s="560">
        <f t="shared" si="26"/>
        <v>30</v>
      </c>
      <c r="Y33" s="565"/>
      <c r="Z33" s="556"/>
      <c r="AA33" s="556"/>
      <c r="AB33" s="553"/>
      <c r="AF33" s="556"/>
      <c r="AG33" s="563"/>
      <c r="AH33" s="553"/>
      <c r="AL33" s="560">
        <f t="shared" si="156"/>
        <v>0</v>
      </c>
      <c r="AM33" s="565"/>
      <c r="AN33" s="556"/>
      <c r="AO33" s="553">
        <f t="shared" ref="AO33" si="173">ROUND(AO14*$C$36,0)</f>
        <v>30</v>
      </c>
      <c r="AP33" s="553"/>
      <c r="AV33" s="553"/>
      <c r="AZ33" s="560">
        <f t="shared" si="157"/>
        <v>30</v>
      </c>
      <c r="BA33" s="565"/>
      <c r="BB33" s="556"/>
      <c r="BC33" s="563"/>
      <c r="BD33" s="553"/>
      <c r="BI33" s="553">
        <f t="shared" ref="BI33" si="174">ROUND(BI14*$C$36,0)</f>
        <v>30</v>
      </c>
      <c r="BJ33" s="553"/>
      <c r="BN33" s="560">
        <f t="shared" si="158"/>
        <v>30</v>
      </c>
      <c r="BO33" s="565"/>
      <c r="BP33" s="556"/>
      <c r="BQ33" s="556"/>
      <c r="BR33" s="553"/>
      <c r="BV33" s="556"/>
      <c r="BW33" s="563"/>
      <c r="BX33" s="553"/>
      <c r="CB33" s="560">
        <f t="shared" si="159"/>
        <v>0</v>
      </c>
      <c r="CC33" s="565"/>
      <c r="CD33" s="556"/>
      <c r="CE33" s="556"/>
      <c r="CF33" s="553">
        <f t="shared" ref="CF33" si="175">ROUND(CF14*$C$36,0)</f>
        <v>30</v>
      </c>
      <c r="CJ33" s="556"/>
      <c r="CK33" s="556"/>
      <c r="CL33" s="553"/>
      <c r="CP33" s="560">
        <f t="shared" si="160"/>
        <v>30</v>
      </c>
      <c r="CQ33" s="565"/>
      <c r="CR33" s="556"/>
      <c r="CS33" s="563"/>
      <c r="CT33" s="553"/>
      <c r="CY33" s="553">
        <f t="shared" ref="CY33" si="176">ROUND(CY14*$C$36,0)</f>
        <v>30</v>
      </c>
      <c r="CZ33" s="553"/>
      <c r="DD33" s="560">
        <f t="shared" si="161"/>
        <v>30</v>
      </c>
      <c r="DE33" s="565"/>
      <c r="DF33" s="556"/>
      <c r="DG33" s="556"/>
      <c r="DH33" s="553"/>
      <c r="DL33" s="556"/>
      <c r="DM33" s="563"/>
      <c r="DN33" s="553"/>
      <c r="DR33" s="560">
        <f t="shared" si="162"/>
        <v>0</v>
      </c>
      <c r="DS33" s="565"/>
      <c r="DT33" s="556"/>
      <c r="DU33" s="553">
        <f t="shared" ref="DU33" si="177">ROUND(DU14*$C$36,0)</f>
        <v>30</v>
      </c>
      <c r="DV33" s="553"/>
      <c r="DZ33" s="556"/>
      <c r="EA33" s="556"/>
      <c r="EB33" s="553"/>
      <c r="EF33" s="560">
        <f t="shared" si="163"/>
        <v>30</v>
      </c>
      <c r="EG33" s="565"/>
      <c r="EH33" s="556"/>
      <c r="EI33" s="563"/>
      <c r="EJ33" s="553"/>
      <c r="EO33" s="553">
        <f t="shared" ref="EO33" si="178">ROUND(EO14*$C$36,0)</f>
        <v>30</v>
      </c>
      <c r="EP33" s="553"/>
      <c r="ET33" s="560">
        <f t="shared" si="164"/>
        <v>30</v>
      </c>
      <c r="EU33" s="565"/>
    </row>
    <row r="34" spans="1:151" ht="10.5" customHeight="1" x14ac:dyDescent="0.35">
      <c r="B34" s="536" t="s">
        <v>472</v>
      </c>
      <c r="C34" s="555">
        <f>Asumsi!C63</f>
        <v>1E-3</v>
      </c>
      <c r="D34" s="552" t="s">
        <v>478</v>
      </c>
      <c r="E34" s="537" t="s">
        <v>444</v>
      </c>
      <c r="F34" s="553">
        <f>Asumsi!F63</f>
        <v>700000</v>
      </c>
      <c r="G34" s="552" t="s">
        <v>473</v>
      </c>
      <c r="I34" s="536">
        <v>1.6</v>
      </c>
      <c r="J34" s="531" t="s">
        <v>51</v>
      </c>
      <c r="K34" s="461"/>
      <c r="L34" s="553"/>
      <c r="X34" s="560"/>
      <c r="Y34" s="565"/>
      <c r="Z34" s="553"/>
      <c r="AF34" s="553"/>
      <c r="AG34" s="561"/>
      <c r="AL34" s="560"/>
      <c r="AM34" s="565"/>
      <c r="AN34" s="553"/>
      <c r="AV34" s="553"/>
      <c r="AZ34" s="560"/>
      <c r="BA34" s="565"/>
      <c r="BB34" s="553"/>
      <c r="BC34" s="561"/>
      <c r="BJ34" s="553"/>
      <c r="BN34" s="560"/>
      <c r="BO34" s="565"/>
      <c r="BP34" s="553"/>
      <c r="BV34" s="553"/>
      <c r="BW34" s="561"/>
      <c r="CB34" s="560"/>
      <c r="CC34" s="565"/>
      <c r="CD34" s="553"/>
      <c r="CJ34" s="553"/>
      <c r="CP34" s="560"/>
      <c r="CQ34" s="565"/>
      <c r="CR34" s="553"/>
      <c r="CS34" s="561"/>
      <c r="DD34" s="560"/>
      <c r="DE34" s="565"/>
      <c r="DF34" s="553"/>
      <c r="DL34" s="553"/>
      <c r="DM34" s="561"/>
      <c r="DR34" s="560"/>
      <c r="DS34" s="565"/>
      <c r="DT34" s="553"/>
      <c r="DZ34" s="553"/>
      <c r="EF34" s="560"/>
      <c r="EG34" s="565"/>
      <c r="EH34" s="553"/>
      <c r="EI34" s="561"/>
      <c r="EP34" s="553"/>
      <c r="ET34" s="560"/>
      <c r="EU34" s="565"/>
    </row>
    <row r="35" spans="1:151" ht="10.5" customHeight="1" x14ac:dyDescent="0.35">
      <c r="B35" s="536" t="s">
        <v>474</v>
      </c>
      <c r="C35" s="555">
        <f>Asumsi!C64</f>
        <v>1E-3</v>
      </c>
      <c r="D35" s="552" t="s">
        <v>477</v>
      </c>
      <c r="E35" s="537" t="s">
        <v>444</v>
      </c>
      <c r="F35" s="553">
        <f>Asumsi!F64</f>
        <v>680000</v>
      </c>
      <c r="G35" s="552" t="s">
        <v>473</v>
      </c>
      <c r="I35" s="536"/>
      <c r="J35" s="531" t="s">
        <v>9</v>
      </c>
      <c r="K35" s="531" t="s">
        <v>1078</v>
      </c>
      <c r="L35" s="553">
        <f>ROUND($C$38*L13,0)</f>
        <v>6</v>
      </c>
      <c r="M35" s="553"/>
      <c r="N35" s="553"/>
      <c r="O35" s="553"/>
      <c r="P35" s="553"/>
      <c r="Q35" s="553"/>
      <c r="R35" s="553"/>
      <c r="S35" s="553">
        <f t="shared" ref="S35" si="179">ROUND($C$38*S14,0)</f>
        <v>6</v>
      </c>
      <c r="T35" s="553"/>
      <c r="U35" s="553"/>
      <c r="V35" s="553"/>
      <c r="W35" s="553"/>
      <c r="X35" s="560">
        <f t="shared" si="26"/>
        <v>12</v>
      </c>
      <c r="Y35" s="565"/>
      <c r="Z35" s="553"/>
      <c r="AA35" s="553"/>
      <c r="AB35" s="553"/>
      <c r="AC35" s="553"/>
      <c r="AD35" s="553"/>
      <c r="AE35" s="553"/>
      <c r="AF35" s="553">
        <f>ROUND($C$38*AF13,0)</f>
        <v>6</v>
      </c>
      <c r="AG35" s="562"/>
      <c r="AH35" s="553"/>
      <c r="AI35" s="553"/>
      <c r="AJ35" s="553"/>
      <c r="AK35" s="553"/>
      <c r="AL35" s="560">
        <f t="shared" ref="AL35:AL41" si="180">SUM(Z35:AK35)</f>
        <v>6</v>
      </c>
      <c r="AM35" s="565"/>
      <c r="AN35" s="553"/>
      <c r="AO35" s="553">
        <f t="shared" ref="AO35" si="181">ROUND($C$38*AO14,0)</f>
        <v>6</v>
      </c>
      <c r="AP35" s="553"/>
      <c r="AQ35" s="553"/>
      <c r="AR35" s="553"/>
      <c r="AS35" s="553"/>
      <c r="AT35" s="553"/>
      <c r="AU35" s="553"/>
      <c r="AV35" s="553"/>
      <c r="AW35" s="553"/>
      <c r="AX35" s="553"/>
      <c r="AY35" s="553"/>
      <c r="AZ35" s="560">
        <f t="shared" ref="AZ35:AZ41" si="182">SUM(AN35:AY35)</f>
        <v>6</v>
      </c>
      <c r="BA35" s="565"/>
      <c r="BB35" s="553">
        <f>ROUND($C$38*BB13,0)</f>
        <v>6</v>
      </c>
      <c r="BC35" s="562"/>
      <c r="BD35" s="553"/>
      <c r="BE35" s="553"/>
      <c r="BF35" s="553"/>
      <c r="BG35" s="553"/>
      <c r="BH35" s="553"/>
      <c r="BI35" s="553">
        <f t="shared" ref="BI35" si="183">ROUND($C$38*BI14,0)</f>
        <v>6</v>
      </c>
      <c r="BJ35" s="553"/>
      <c r="BK35" s="553"/>
      <c r="BL35" s="553"/>
      <c r="BM35" s="553"/>
      <c r="BN35" s="560">
        <f t="shared" ref="BN35:BN41" si="184">SUM(BB35:BM35)</f>
        <v>12</v>
      </c>
      <c r="BO35" s="565"/>
      <c r="BP35" s="553"/>
      <c r="BQ35" s="553"/>
      <c r="BR35" s="553"/>
      <c r="BS35" s="553"/>
      <c r="BT35" s="553"/>
      <c r="BU35" s="553"/>
      <c r="BV35" s="553">
        <f>ROUND($C$38*BV13,0)</f>
        <v>6</v>
      </c>
      <c r="BW35" s="562"/>
      <c r="BX35" s="553"/>
      <c r="BY35" s="553"/>
      <c r="BZ35" s="553"/>
      <c r="CA35" s="553"/>
      <c r="CB35" s="560">
        <f t="shared" ref="CB35:CB41" si="185">SUM(BP35:CA35)</f>
        <v>6</v>
      </c>
      <c r="CC35" s="565"/>
      <c r="CD35" s="553"/>
      <c r="CE35" s="553"/>
      <c r="CF35" s="553">
        <f t="shared" ref="CF35" si="186">ROUND($C$38*CF14,0)</f>
        <v>6</v>
      </c>
      <c r="CG35" s="553"/>
      <c r="CH35" s="553"/>
      <c r="CI35" s="553"/>
      <c r="CJ35" s="553"/>
      <c r="CK35" s="553"/>
      <c r="CL35" s="553"/>
      <c r="CM35" s="553"/>
      <c r="CN35" s="553"/>
      <c r="CO35" s="553"/>
      <c r="CP35" s="560">
        <f t="shared" ref="CP35:CP41" si="187">SUM(CD35:CO35)</f>
        <v>6</v>
      </c>
      <c r="CQ35" s="565"/>
      <c r="CR35" s="553">
        <f>ROUND($C$38*CR13,0)</f>
        <v>6</v>
      </c>
      <c r="CS35" s="562"/>
      <c r="CT35" s="553"/>
      <c r="CU35" s="553"/>
      <c r="CV35" s="553"/>
      <c r="CW35" s="553"/>
      <c r="CX35" s="553"/>
      <c r="CY35" s="553">
        <f t="shared" ref="CY35" si="188">ROUND($C$38*CY14,0)</f>
        <v>6</v>
      </c>
      <c r="CZ35" s="553"/>
      <c r="DA35" s="553"/>
      <c r="DB35" s="553"/>
      <c r="DC35" s="553"/>
      <c r="DD35" s="560">
        <f t="shared" ref="DD35:DD41" si="189">SUM(CR35:DC35)</f>
        <v>12</v>
      </c>
      <c r="DE35" s="565"/>
      <c r="DF35" s="553"/>
      <c r="DG35" s="553"/>
      <c r="DH35" s="553"/>
      <c r="DI35" s="553"/>
      <c r="DJ35" s="553"/>
      <c r="DK35" s="553"/>
      <c r="DL35" s="553">
        <f>ROUND($C$38*DL13,0)</f>
        <v>6</v>
      </c>
      <c r="DM35" s="562"/>
      <c r="DN35" s="553"/>
      <c r="DO35" s="553"/>
      <c r="DP35" s="553"/>
      <c r="DQ35" s="553"/>
      <c r="DR35" s="560">
        <f t="shared" ref="DR35:DR41" si="190">SUM(DF35:DQ35)</f>
        <v>6</v>
      </c>
      <c r="DS35" s="565"/>
      <c r="DT35" s="553"/>
      <c r="DU35" s="553">
        <f t="shared" ref="DU35" si="191">ROUND($C$38*DU14,0)</f>
        <v>6</v>
      </c>
      <c r="DV35" s="553"/>
      <c r="DW35" s="553"/>
      <c r="DX35" s="553"/>
      <c r="DY35" s="553"/>
      <c r="DZ35" s="553"/>
      <c r="EA35" s="553"/>
      <c r="EB35" s="553"/>
      <c r="EC35" s="553"/>
      <c r="ED35" s="553"/>
      <c r="EE35" s="553"/>
      <c r="EF35" s="560">
        <f t="shared" ref="EF35:EF41" si="192">SUM(DT35:EE35)</f>
        <v>6</v>
      </c>
      <c r="EG35" s="565"/>
      <c r="EH35" s="553">
        <f>ROUND($C$38*EH13,0)</f>
        <v>6</v>
      </c>
      <c r="EI35" s="562"/>
      <c r="EJ35" s="553"/>
      <c r="EK35" s="553"/>
      <c r="EL35" s="553"/>
      <c r="EM35" s="553"/>
      <c r="EN35" s="553"/>
      <c r="EO35" s="553">
        <f t="shared" ref="EO35" si="193">ROUND($C$38*EO14,0)</f>
        <v>6</v>
      </c>
      <c r="EP35" s="553"/>
      <c r="EQ35" s="553"/>
      <c r="ER35" s="553"/>
      <c r="ES35" s="553"/>
      <c r="ET35" s="560">
        <f t="shared" ref="ET35:ET41" si="194">SUM(EH35:ES35)</f>
        <v>12</v>
      </c>
      <c r="EU35" s="565"/>
    </row>
    <row r="36" spans="1:151" ht="10.5" customHeight="1" x14ac:dyDescent="0.35">
      <c r="B36" s="536" t="s">
        <v>475</v>
      </c>
      <c r="C36" s="555">
        <f>Asumsi!C65</f>
        <v>0.01</v>
      </c>
      <c r="D36" s="552" t="s">
        <v>476</v>
      </c>
      <c r="E36" s="537" t="s">
        <v>445</v>
      </c>
      <c r="F36" s="553">
        <f>Asumsi!F65</f>
        <v>50000</v>
      </c>
      <c r="G36" s="552" t="s">
        <v>479</v>
      </c>
      <c r="I36" s="536"/>
      <c r="J36" s="531" t="s">
        <v>10</v>
      </c>
      <c r="K36" s="531" t="s">
        <v>1079</v>
      </c>
      <c r="L36" s="553"/>
      <c r="N36" s="531">
        <f>ROUND(N14*$C$39,0)</f>
        <v>15</v>
      </c>
      <c r="X36" s="560">
        <f t="shared" si="26"/>
        <v>15</v>
      </c>
      <c r="Y36" s="565"/>
      <c r="Z36" s="553"/>
      <c r="AF36" s="553"/>
      <c r="AG36" s="561"/>
      <c r="AH36" s="531">
        <f>ROUND(AH14*$C$39,0)</f>
        <v>15</v>
      </c>
      <c r="AL36" s="560">
        <f t="shared" si="180"/>
        <v>15</v>
      </c>
      <c r="AM36" s="565"/>
      <c r="AN36" s="553"/>
      <c r="AV36" s="553"/>
      <c r="AZ36" s="560">
        <f t="shared" si="182"/>
        <v>0</v>
      </c>
      <c r="BA36" s="565"/>
      <c r="BB36" s="553"/>
      <c r="BC36" s="561"/>
      <c r="BD36" s="531">
        <f>ROUND(BD14*$C$39,0)</f>
        <v>15</v>
      </c>
      <c r="BJ36" s="553"/>
      <c r="BN36" s="560">
        <f t="shared" si="184"/>
        <v>15</v>
      </c>
      <c r="BO36" s="565"/>
      <c r="BP36" s="553"/>
      <c r="BV36" s="553"/>
      <c r="BW36" s="561"/>
      <c r="BX36" s="531">
        <f>ROUND(BX14*$C$39,0)</f>
        <v>15</v>
      </c>
      <c r="CB36" s="560">
        <f t="shared" si="185"/>
        <v>15</v>
      </c>
      <c r="CC36" s="565"/>
      <c r="CD36" s="553"/>
      <c r="CJ36" s="553"/>
      <c r="CP36" s="560">
        <f t="shared" si="187"/>
        <v>0</v>
      </c>
      <c r="CQ36" s="565"/>
      <c r="CR36" s="553"/>
      <c r="CS36" s="561"/>
      <c r="CT36" s="531">
        <f>ROUND(CT14*$C$39,0)</f>
        <v>15</v>
      </c>
      <c r="DD36" s="560">
        <f t="shared" si="189"/>
        <v>15</v>
      </c>
      <c r="DE36" s="565"/>
      <c r="DF36" s="553"/>
      <c r="DL36" s="553"/>
      <c r="DM36" s="561"/>
      <c r="DN36" s="531">
        <f>ROUND(DN14*$C$39,0)</f>
        <v>15</v>
      </c>
      <c r="DR36" s="560">
        <f t="shared" si="190"/>
        <v>15</v>
      </c>
      <c r="DS36" s="565"/>
      <c r="DT36" s="553"/>
      <c r="DZ36" s="553"/>
      <c r="EF36" s="560">
        <f t="shared" si="192"/>
        <v>0</v>
      </c>
      <c r="EG36" s="565"/>
      <c r="EH36" s="553"/>
      <c r="EI36" s="561"/>
      <c r="EJ36" s="531">
        <f>ROUND(EJ14*$C$39,0)</f>
        <v>15</v>
      </c>
      <c r="EP36" s="553"/>
      <c r="ET36" s="560">
        <f t="shared" si="194"/>
        <v>15</v>
      </c>
      <c r="EU36" s="565"/>
    </row>
    <row r="37" spans="1:151" ht="10.5" customHeight="1" x14ac:dyDescent="0.35">
      <c r="A37" s="547" t="s">
        <v>1176</v>
      </c>
      <c r="B37" s="536" t="s">
        <v>51</v>
      </c>
      <c r="C37" s="555"/>
      <c r="D37" s="552"/>
      <c r="E37" s="537"/>
      <c r="F37" s="553"/>
      <c r="G37" s="552"/>
      <c r="I37" s="536">
        <v>1.7</v>
      </c>
      <c r="J37" s="531" t="s">
        <v>498</v>
      </c>
      <c r="K37" s="461"/>
      <c r="L37" s="553"/>
      <c r="S37" s="531">
        <f t="shared" ref="S37" si="195">ROUND(S14*$C$40,0)</f>
        <v>3</v>
      </c>
      <c r="X37" s="560">
        <f t="shared" si="26"/>
        <v>3</v>
      </c>
      <c r="Y37" s="565"/>
      <c r="Z37" s="553"/>
      <c r="AF37" s="553"/>
      <c r="AG37" s="561"/>
      <c r="AL37" s="560">
        <f t="shared" si="180"/>
        <v>0</v>
      </c>
      <c r="AM37" s="565"/>
      <c r="AN37" s="553"/>
      <c r="AO37" s="531">
        <f t="shared" ref="AO37" si="196">ROUND(AO14*$C$40,0)</f>
        <v>3</v>
      </c>
      <c r="AV37" s="553"/>
      <c r="AZ37" s="560">
        <f t="shared" si="182"/>
        <v>3</v>
      </c>
      <c r="BA37" s="565"/>
      <c r="BB37" s="553"/>
      <c r="BC37" s="561"/>
      <c r="BI37" s="531">
        <f t="shared" ref="BI37" si="197">ROUND(BI14*$C$40,0)</f>
        <v>3</v>
      </c>
      <c r="BJ37" s="553"/>
      <c r="BN37" s="560">
        <f t="shared" si="184"/>
        <v>3</v>
      </c>
      <c r="BO37" s="565"/>
      <c r="BP37" s="553"/>
      <c r="BV37" s="553"/>
      <c r="BW37" s="561"/>
      <c r="CB37" s="560">
        <f t="shared" si="185"/>
        <v>0</v>
      </c>
      <c r="CC37" s="565"/>
      <c r="CD37" s="553"/>
      <c r="CF37" s="531">
        <f t="shared" ref="CF37" si="198">ROUND(CF14*$C$40,0)</f>
        <v>3</v>
      </c>
      <c r="CJ37" s="553"/>
      <c r="CP37" s="560">
        <f t="shared" si="187"/>
        <v>3</v>
      </c>
      <c r="CQ37" s="565"/>
      <c r="CR37" s="553"/>
      <c r="CS37" s="561"/>
      <c r="CY37" s="531">
        <f t="shared" ref="CY37" si="199">ROUND(CY14*$C$40,0)</f>
        <v>3</v>
      </c>
      <c r="DD37" s="560">
        <f t="shared" si="189"/>
        <v>3</v>
      </c>
      <c r="DE37" s="565"/>
      <c r="DF37" s="553"/>
      <c r="DL37" s="553"/>
      <c r="DM37" s="561"/>
      <c r="DR37" s="560">
        <f t="shared" si="190"/>
        <v>0</v>
      </c>
      <c r="DS37" s="565"/>
      <c r="DT37" s="553"/>
      <c r="DU37" s="531">
        <f t="shared" ref="DU37" si="200">ROUND(DU14*$C$40,0)</f>
        <v>3</v>
      </c>
      <c r="DZ37" s="553"/>
      <c r="EF37" s="560">
        <f t="shared" si="192"/>
        <v>3</v>
      </c>
      <c r="EG37" s="565"/>
      <c r="EH37" s="553"/>
      <c r="EI37" s="561"/>
      <c r="EO37" s="531">
        <f t="shared" ref="EO37" si="201">ROUND(EO14*$C$40,0)</f>
        <v>3</v>
      </c>
      <c r="EP37" s="553"/>
      <c r="ET37" s="560">
        <f t="shared" si="194"/>
        <v>3</v>
      </c>
      <c r="EU37" s="565"/>
    </row>
    <row r="38" spans="1:151" ht="10.5" customHeight="1" x14ac:dyDescent="0.35">
      <c r="B38" s="536" t="s">
        <v>480</v>
      </c>
      <c r="C38" s="555">
        <f>Asumsi!C67</f>
        <v>2E-3</v>
      </c>
      <c r="D38" s="552" t="s">
        <v>483</v>
      </c>
      <c r="E38" s="537" t="s">
        <v>482</v>
      </c>
      <c r="F38" s="553">
        <f>Asumsi!F67</f>
        <v>60000</v>
      </c>
      <c r="G38" s="552" t="s">
        <v>254</v>
      </c>
      <c r="I38" s="536">
        <v>1.8</v>
      </c>
      <c r="J38" s="531" t="s">
        <v>499</v>
      </c>
      <c r="K38" s="461"/>
      <c r="L38" s="531">
        <f>ROUND(L13*$C$41,0)</f>
        <v>9</v>
      </c>
      <c r="S38" s="531">
        <f>ROUND(S14*$C$41,0)</f>
        <v>9</v>
      </c>
      <c r="X38" s="560">
        <f t="shared" si="26"/>
        <v>18</v>
      </c>
      <c r="Y38" s="565"/>
      <c r="AF38" s="531">
        <f>ROUND(AF13*$C$41,0)</f>
        <v>9</v>
      </c>
      <c r="AG38" s="561"/>
      <c r="AL38" s="560">
        <f t="shared" si="180"/>
        <v>9</v>
      </c>
      <c r="AM38" s="565"/>
      <c r="AO38" s="531">
        <f>ROUND(AO14*$C$41,0)</f>
        <v>9</v>
      </c>
      <c r="AV38" s="553"/>
      <c r="AZ38" s="560">
        <f t="shared" si="182"/>
        <v>9</v>
      </c>
      <c r="BA38" s="565"/>
      <c r="BB38" s="531">
        <f>ROUND(BB13*$C$41,0)</f>
        <v>9</v>
      </c>
      <c r="BC38" s="561"/>
      <c r="BI38" s="531">
        <f>ROUND(BI14*$C$41,0)</f>
        <v>9</v>
      </c>
      <c r="BJ38" s="553"/>
      <c r="BN38" s="560">
        <f t="shared" si="184"/>
        <v>18</v>
      </c>
      <c r="BO38" s="565"/>
      <c r="BV38" s="531">
        <f>ROUND(BV13*$C$41,0)</f>
        <v>9</v>
      </c>
      <c r="BW38" s="561"/>
      <c r="CB38" s="560">
        <f t="shared" si="185"/>
        <v>9</v>
      </c>
      <c r="CC38" s="565"/>
      <c r="CF38" s="531">
        <f>ROUND(CF14*$C$41,0)</f>
        <v>9</v>
      </c>
      <c r="CP38" s="560">
        <f t="shared" si="187"/>
        <v>9</v>
      </c>
      <c r="CQ38" s="565"/>
      <c r="CR38" s="531">
        <f>ROUND(CR13*$C$41,0)</f>
        <v>9</v>
      </c>
      <c r="CS38" s="561"/>
      <c r="CY38" s="531">
        <f>ROUND(CY14*$C$41,0)</f>
        <v>9</v>
      </c>
      <c r="DD38" s="560">
        <f t="shared" si="189"/>
        <v>18</v>
      </c>
      <c r="DE38" s="565"/>
      <c r="DL38" s="531">
        <f>ROUND(DL13*$C$41,0)</f>
        <v>9</v>
      </c>
      <c r="DM38" s="561"/>
      <c r="DR38" s="560">
        <f t="shared" si="190"/>
        <v>9</v>
      </c>
      <c r="DS38" s="565"/>
      <c r="DU38" s="531">
        <f>ROUND(DU14*$C$41,0)</f>
        <v>9</v>
      </c>
      <c r="EF38" s="560">
        <f t="shared" si="192"/>
        <v>9</v>
      </c>
      <c r="EG38" s="565"/>
      <c r="EH38" s="531">
        <f>ROUND(EH13*$C$41,0)</f>
        <v>9</v>
      </c>
      <c r="EI38" s="561"/>
      <c r="EO38" s="531">
        <f>ROUND(EO14*$C$41,0)</f>
        <v>9</v>
      </c>
      <c r="EP38" s="553"/>
      <c r="ET38" s="560">
        <f t="shared" si="194"/>
        <v>18</v>
      </c>
      <c r="EU38" s="565"/>
    </row>
    <row r="39" spans="1:151" ht="10.5" customHeight="1" x14ac:dyDescent="0.35">
      <c r="B39" s="531" t="s">
        <v>481</v>
      </c>
      <c r="C39" s="555">
        <f>Asumsi!C68</f>
        <v>5.0000000000000001E-3</v>
      </c>
      <c r="D39" s="552" t="s">
        <v>483</v>
      </c>
      <c r="E39" s="537" t="s">
        <v>445</v>
      </c>
      <c r="F39" s="553">
        <f>Asumsi!F68</f>
        <v>75000</v>
      </c>
      <c r="G39" s="552" t="s">
        <v>254</v>
      </c>
      <c r="I39" s="536">
        <v>1.9</v>
      </c>
      <c r="J39" s="531" t="s">
        <v>497</v>
      </c>
      <c r="K39" s="461"/>
      <c r="N39" s="553">
        <f>ROUND(N16/$C$42,0)</f>
        <v>2512</v>
      </c>
      <c r="O39" s="553">
        <f t="shared" ref="O39:W39" si="202">N39</f>
        <v>2512</v>
      </c>
      <c r="P39" s="553">
        <f t="shared" si="202"/>
        <v>2512</v>
      </c>
      <c r="Q39" s="553">
        <f t="shared" si="202"/>
        <v>2512</v>
      </c>
      <c r="R39" s="553">
        <f t="shared" si="202"/>
        <v>2512</v>
      </c>
      <c r="S39" s="553">
        <f t="shared" si="202"/>
        <v>2512</v>
      </c>
      <c r="T39" s="553">
        <f t="shared" si="202"/>
        <v>2512</v>
      </c>
      <c r="U39" s="553">
        <f t="shared" si="202"/>
        <v>2512</v>
      </c>
      <c r="V39" s="553">
        <f t="shared" si="202"/>
        <v>2512</v>
      </c>
      <c r="W39" s="553">
        <f t="shared" si="202"/>
        <v>2512</v>
      </c>
      <c r="X39" s="560">
        <f t="shared" si="26"/>
        <v>25120</v>
      </c>
      <c r="Y39" s="566"/>
      <c r="Z39" s="553">
        <f>W39</f>
        <v>2512</v>
      </c>
      <c r="AA39" s="553">
        <f>Z39</f>
        <v>2512</v>
      </c>
      <c r="AB39" s="553">
        <f>AA39</f>
        <v>2512</v>
      </c>
      <c r="AC39" s="553">
        <f t="shared" ref="AC39:AK39" si="203">AB39</f>
        <v>2512</v>
      </c>
      <c r="AD39" s="553">
        <f t="shared" si="203"/>
        <v>2512</v>
      </c>
      <c r="AE39" s="553">
        <f t="shared" si="203"/>
        <v>2512</v>
      </c>
      <c r="AF39" s="553">
        <f t="shared" si="203"/>
        <v>2512</v>
      </c>
      <c r="AG39" s="562">
        <f t="shared" si="203"/>
        <v>2512</v>
      </c>
      <c r="AH39" s="553">
        <f t="shared" si="203"/>
        <v>2512</v>
      </c>
      <c r="AI39" s="553">
        <f t="shared" si="203"/>
        <v>2512</v>
      </c>
      <c r="AJ39" s="553">
        <f t="shared" si="203"/>
        <v>2512</v>
      </c>
      <c r="AK39" s="553">
        <f t="shared" si="203"/>
        <v>2512</v>
      </c>
      <c r="AL39" s="560">
        <f t="shared" si="180"/>
        <v>30144</v>
      </c>
      <c r="AM39" s="566"/>
      <c r="AN39" s="553">
        <f>AK39</f>
        <v>2512</v>
      </c>
      <c r="AO39" s="553">
        <f>AN39</f>
        <v>2512</v>
      </c>
      <c r="AP39" s="553">
        <f>AO39</f>
        <v>2512</v>
      </c>
      <c r="AQ39" s="553">
        <f t="shared" ref="AQ39:AY39" si="204">AP39</f>
        <v>2512</v>
      </c>
      <c r="AR39" s="553">
        <f t="shared" si="204"/>
        <v>2512</v>
      </c>
      <c r="AS39" s="553">
        <f t="shared" si="204"/>
        <v>2512</v>
      </c>
      <c r="AT39" s="553">
        <f t="shared" si="204"/>
        <v>2512</v>
      </c>
      <c r="AU39" s="553">
        <f t="shared" si="204"/>
        <v>2512</v>
      </c>
      <c r="AV39" s="553">
        <f t="shared" si="204"/>
        <v>2512</v>
      </c>
      <c r="AW39" s="553">
        <f t="shared" si="204"/>
        <v>2512</v>
      </c>
      <c r="AX39" s="553">
        <f t="shared" si="204"/>
        <v>2512</v>
      </c>
      <c r="AY39" s="553">
        <f t="shared" si="204"/>
        <v>2512</v>
      </c>
      <c r="AZ39" s="560">
        <f t="shared" si="182"/>
        <v>30144</v>
      </c>
      <c r="BA39" s="566"/>
      <c r="BB39" s="553">
        <f>AY39</f>
        <v>2512</v>
      </c>
      <c r="BC39" s="562">
        <f>BB39</f>
        <v>2512</v>
      </c>
      <c r="BD39" s="553">
        <f>BC39</f>
        <v>2512</v>
      </c>
      <c r="BE39" s="553">
        <f t="shared" ref="BE39:BM39" si="205">BD39</f>
        <v>2512</v>
      </c>
      <c r="BF39" s="553">
        <f t="shared" si="205"/>
        <v>2512</v>
      </c>
      <c r="BG39" s="553">
        <f t="shared" si="205"/>
        <v>2512</v>
      </c>
      <c r="BH39" s="553">
        <f t="shared" si="205"/>
        <v>2512</v>
      </c>
      <c r="BI39" s="553">
        <f t="shared" si="205"/>
        <v>2512</v>
      </c>
      <c r="BJ39" s="553">
        <f t="shared" si="205"/>
        <v>2512</v>
      </c>
      <c r="BK39" s="553">
        <f t="shared" si="205"/>
        <v>2512</v>
      </c>
      <c r="BL39" s="553">
        <f t="shared" si="205"/>
        <v>2512</v>
      </c>
      <c r="BM39" s="553">
        <f t="shared" si="205"/>
        <v>2512</v>
      </c>
      <c r="BN39" s="560">
        <f t="shared" si="184"/>
        <v>30144</v>
      </c>
      <c r="BO39" s="566"/>
      <c r="BP39" s="553">
        <f>BM39</f>
        <v>2512</v>
      </c>
      <c r="BQ39" s="553">
        <f>BP39</f>
        <v>2512</v>
      </c>
      <c r="BR39" s="553">
        <f>BQ39</f>
        <v>2512</v>
      </c>
      <c r="BS39" s="553">
        <f t="shared" ref="BS39:CA39" si="206">BR39</f>
        <v>2512</v>
      </c>
      <c r="BT39" s="553">
        <f t="shared" si="206"/>
        <v>2512</v>
      </c>
      <c r="BU39" s="553">
        <f t="shared" si="206"/>
        <v>2512</v>
      </c>
      <c r="BV39" s="553">
        <f t="shared" si="206"/>
        <v>2512</v>
      </c>
      <c r="BW39" s="562">
        <f t="shared" si="206"/>
        <v>2512</v>
      </c>
      <c r="BX39" s="553">
        <f t="shared" si="206"/>
        <v>2512</v>
      </c>
      <c r="BY39" s="553">
        <f t="shared" si="206"/>
        <v>2512</v>
      </c>
      <c r="BZ39" s="553">
        <f t="shared" si="206"/>
        <v>2512</v>
      </c>
      <c r="CA39" s="553">
        <f t="shared" si="206"/>
        <v>2512</v>
      </c>
      <c r="CB39" s="560">
        <f t="shared" si="185"/>
        <v>30144</v>
      </c>
      <c r="CC39" s="566"/>
      <c r="CD39" s="553">
        <f>CA39</f>
        <v>2512</v>
      </c>
      <c r="CE39" s="553">
        <f>CD39</f>
        <v>2512</v>
      </c>
      <c r="CF39" s="553">
        <f>CE39</f>
        <v>2512</v>
      </c>
      <c r="CG39" s="553">
        <f t="shared" ref="CG39:CO39" si="207">CF39</f>
        <v>2512</v>
      </c>
      <c r="CH39" s="553">
        <f t="shared" si="207"/>
        <v>2512</v>
      </c>
      <c r="CI39" s="553">
        <f t="shared" si="207"/>
        <v>2512</v>
      </c>
      <c r="CJ39" s="553">
        <f t="shared" si="207"/>
        <v>2512</v>
      </c>
      <c r="CK39" s="553">
        <f t="shared" si="207"/>
        <v>2512</v>
      </c>
      <c r="CL39" s="553">
        <f t="shared" si="207"/>
        <v>2512</v>
      </c>
      <c r="CM39" s="553">
        <f t="shared" si="207"/>
        <v>2512</v>
      </c>
      <c r="CN39" s="553">
        <f t="shared" si="207"/>
        <v>2512</v>
      </c>
      <c r="CO39" s="553">
        <f t="shared" si="207"/>
        <v>2512</v>
      </c>
      <c r="CP39" s="560">
        <f t="shared" si="187"/>
        <v>30144</v>
      </c>
      <c r="CQ39" s="566"/>
      <c r="CR39" s="553">
        <f>CO39</f>
        <v>2512</v>
      </c>
      <c r="CS39" s="562">
        <f t="shared" ref="CS39:CT39" si="208">CR39</f>
        <v>2512</v>
      </c>
      <c r="CT39" s="553">
        <f t="shared" si="208"/>
        <v>2512</v>
      </c>
      <c r="CU39" s="553">
        <f t="shared" ref="CU39:DC39" si="209">CT39</f>
        <v>2512</v>
      </c>
      <c r="CV39" s="553">
        <f t="shared" si="209"/>
        <v>2512</v>
      </c>
      <c r="CW39" s="553">
        <f t="shared" si="209"/>
        <v>2512</v>
      </c>
      <c r="CX39" s="553">
        <f t="shared" si="209"/>
        <v>2512</v>
      </c>
      <c r="CY39" s="553">
        <f t="shared" si="209"/>
        <v>2512</v>
      </c>
      <c r="CZ39" s="553">
        <f t="shared" si="209"/>
        <v>2512</v>
      </c>
      <c r="DA39" s="553">
        <f t="shared" si="209"/>
        <v>2512</v>
      </c>
      <c r="DB39" s="553">
        <f t="shared" si="209"/>
        <v>2512</v>
      </c>
      <c r="DC39" s="553">
        <f t="shared" si="209"/>
        <v>2512</v>
      </c>
      <c r="DD39" s="560">
        <f t="shared" si="189"/>
        <v>30144</v>
      </c>
      <c r="DE39" s="566"/>
      <c r="DF39" s="553">
        <f>DC39</f>
        <v>2512</v>
      </c>
      <c r="DG39" s="553">
        <f>DF39</f>
        <v>2512</v>
      </c>
      <c r="DH39" s="553">
        <f>DG39</f>
        <v>2512</v>
      </c>
      <c r="DI39" s="553">
        <f t="shared" ref="DI39:DQ39" si="210">DH39</f>
        <v>2512</v>
      </c>
      <c r="DJ39" s="553">
        <f t="shared" si="210"/>
        <v>2512</v>
      </c>
      <c r="DK39" s="553">
        <f t="shared" si="210"/>
        <v>2512</v>
      </c>
      <c r="DL39" s="553">
        <f t="shared" si="210"/>
        <v>2512</v>
      </c>
      <c r="DM39" s="562">
        <f t="shared" si="210"/>
        <v>2512</v>
      </c>
      <c r="DN39" s="553">
        <f t="shared" si="210"/>
        <v>2512</v>
      </c>
      <c r="DO39" s="553">
        <f t="shared" si="210"/>
        <v>2512</v>
      </c>
      <c r="DP39" s="553">
        <f t="shared" si="210"/>
        <v>2512</v>
      </c>
      <c r="DQ39" s="553">
        <f t="shared" si="210"/>
        <v>2512</v>
      </c>
      <c r="DR39" s="560">
        <f t="shared" si="190"/>
        <v>30144</v>
      </c>
      <c r="DS39" s="566"/>
      <c r="DT39" s="553">
        <f>DQ39</f>
        <v>2512</v>
      </c>
      <c r="DU39" s="553">
        <f>DT39</f>
        <v>2512</v>
      </c>
      <c r="DV39" s="553">
        <f>DU39</f>
        <v>2512</v>
      </c>
      <c r="DW39" s="553">
        <f t="shared" ref="DW39:EE39" si="211">DV39</f>
        <v>2512</v>
      </c>
      <c r="DX39" s="553">
        <f t="shared" si="211"/>
        <v>2512</v>
      </c>
      <c r="DY39" s="553">
        <f t="shared" si="211"/>
        <v>2512</v>
      </c>
      <c r="DZ39" s="553">
        <f t="shared" si="211"/>
        <v>2512</v>
      </c>
      <c r="EA39" s="553">
        <f t="shared" si="211"/>
        <v>2512</v>
      </c>
      <c r="EB39" s="553">
        <f t="shared" si="211"/>
        <v>2512</v>
      </c>
      <c r="EC39" s="553">
        <f t="shared" si="211"/>
        <v>2512</v>
      </c>
      <c r="ED39" s="553">
        <f t="shared" si="211"/>
        <v>2512</v>
      </c>
      <c r="EE39" s="553">
        <f t="shared" si="211"/>
        <v>2512</v>
      </c>
      <c r="EF39" s="560">
        <f t="shared" si="192"/>
        <v>30144</v>
      </c>
      <c r="EG39" s="566"/>
      <c r="EH39" s="553">
        <f>EE39</f>
        <v>2512</v>
      </c>
      <c r="EI39" s="562">
        <f t="shared" ref="EI39:ES39" si="212">EH39</f>
        <v>2512</v>
      </c>
      <c r="EJ39" s="553">
        <f t="shared" si="212"/>
        <v>2512</v>
      </c>
      <c r="EK39" s="553">
        <f t="shared" si="212"/>
        <v>2512</v>
      </c>
      <c r="EL39" s="553">
        <f t="shared" si="212"/>
        <v>2512</v>
      </c>
      <c r="EM39" s="553">
        <f t="shared" si="212"/>
        <v>2512</v>
      </c>
      <c r="EN39" s="553">
        <f t="shared" si="212"/>
        <v>2512</v>
      </c>
      <c r="EO39" s="553">
        <f t="shared" si="212"/>
        <v>2512</v>
      </c>
      <c r="EP39" s="553">
        <f t="shared" si="212"/>
        <v>2512</v>
      </c>
      <c r="EQ39" s="553">
        <f t="shared" si="212"/>
        <v>2512</v>
      </c>
      <c r="ER39" s="553">
        <f t="shared" si="212"/>
        <v>2512</v>
      </c>
      <c r="ES39" s="553">
        <f t="shared" si="212"/>
        <v>2512</v>
      </c>
      <c r="ET39" s="560">
        <f t="shared" si="194"/>
        <v>30144</v>
      </c>
      <c r="EU39" s="566"/>
    </row>
    <row r="40" spans="1:151" ht="10.5" customHeight="1" x14ac:dyDescent="0.35">
      <c r="A40" s="547" t="s">
        <v>1177</v>
      </c>
      <c r="B40" s="531" t="s">
        <v>486</v>
      </c>
      <c r="C40" s="555">
        <f>Asumsi!C69</f>
        <v>1E-3</v>
      </c>
      <c r="D40" s="552" t="s">
        <v>488</v>
      </c>
      <c r="E40" s="537" t="s">
        <v>445</v>
      </c>
      <c r="F40" s="553">
        <f>Asumsi!F69</f>
        <v>325000</v>
      </c>
      <c r="G40" s="552" t="s">
        <v>485</v>
      </c>
      <c r="I40" s="547" t="s">
        <v>1171</v>
      </c>
      <c r="J40" s="531" t="s">
        <v>506</v>
      </c>
      <c r="K40" s="461"/>
      <c r="L40" s="553">
        <f>ROUND($C$43*L13,0)</f>
        <v>15</v>
      </c>
      <c r="X40" s="560">
        <f t="shared" si="26"/>
        <v>15</v>
      </c>
      <c r="Y40" s="565"/>
      <c r="Z40" s="553">
        <f>L40</f>
        <v>15</v>
      </c>
      <c r="AG40" s="561"/>
      <c r="AL40" s="560">
        <f t="shared" si="180"/>
        <v>15</v>
      </c>
      <c r="AM40" s="565"/>
      <c r="AN40" s="553">
        <f>Z40</f>
        <v>15</v>
      </c>
      <c r="AZ40" s="560">
        <f t="shared" si="182"/>
        <v>15</v>
      </c>
      <c r="BA40" s="565"/>
      <c r="BB40" s="553">
        <f>AN40</f>
        <v>15</v>
      </c>
      <c r="BC40" s="561"/>
      <c r="BN40" s="560">
        <f t="shared" si="184"/>
        <v>15</v>
      </c>
      <c r="BO40" s="565"/>
      <c r="BP40" s="553">
        <f>BB40</f>
        <v>15</v>
      </c>
      <c r="BW40" s="561"/>
      <c r="CB40" s="560">
        <f t="shared" si="185"/>
        <v>15</v>
      </c>
      <c r="CC40" s="565"/>
      <c r="CD40" s="553">
        <f>BP40</f>
        <v>15</v>
      </c>
      <c r="CP40" s="560">
        <f t="shared" si="187"/>
        <v>15</v>
      </c>
      <c r="CQ40" s="565"/>
      <c r="CR40" s="553">
        <f>CD40</f>
        <v>15</v>
      </c>
      <c r="CS40" s="561"/>
      <c r="DD40" s="560">
        <f t="shared" si="189"/>
        <v>15</v>
      </c>
      <c r="DE40" s="565"/>
      <c r="DF40" s="553">
        <f>CR40</f>
        <v>15</v>
      </c>
      <c r="DM40" s="561"/>
      <c r="DR40" s="560">
        <f t="shared" si="190"/>
        <v>15</v>
      </c>
      <c r="DS40" s="565"/>
      <c r="DT40" s="553">
        <f>DF40</f>
        <v>15</v>
      </c>
      <c r="EF40" s="560">
        <f t="shared" si="192"/>
        <v>15</v>
      </c>
      <c r="EG40" s="565"/>
      <c r="EH40" s="553">
        <f>DT40</f>
        <v>15</v>
      </c>
      <c r="EI40" s="561"/>
      <c r="ET40" s="560">
        <f t="shared" si="194"/>
        <v>15</v>
      </c>
      <c r="EU40" s="565"/>
    </row>
    <row r="41" spans="1:151" ht="10.5" customHeight="1" x14ac:dyDescent="0.35">
      <c r="A41" s="547" t="s">
        <v>1178</v>
      </c>
      <c r="B41" s="531" t="s">
        <v>487</v>
      </c>
      <c r="C41" s="555">
        <f>Asumsi!C70</f>
        <v>3.0000000000000001E-3</v>
      </c>
      <c r="D41" s="552" t="s">
        <v>489</v>
      </c>
      <c r="E41" s="537" t="s">
        <v>482</v>
      </c>
      <c r="F41" s="553">
        <f>Asumsi!F70</f>
        <v>200000</v>
      </c>
      <c r="G41" s="552" t="s">
        <v>12</v>
      </c>
      <c r="I41" s="547" t="s">
        <v>1172</v>
      </c>
      <c r="J41" s="531" t="s">
        <v>504</v>
      </c>
      <c r="K41" s="461"/>
      <c r="L41" s="553">
        <f>$C$44*L13*24*30</f>
        <v>1080</v>
      </c>
      <c r="M41" s="553">
        <f>L41</f>
        <v>1080</v>
      </c>
      <c r="N41" s="553">
        <f t="shared" ref="N41:W41" si="213">M41</f>
        <v>1080</v>
      </c>
      <c r="O41" s="553">
        <f t="shared" si="213"/>
        <v>1080</v>
      </c>
      <c r="P41" s="553">
        <f t="shared" si="213"/>
        <v>1080</v>
      </c>
      <c r="Q41" s="553">
        <f t="shared" si="213"/>
        <v>1080</v>
      </c>
      <c r="R41" s="553">
        <f t="shared" si="213"/>
        <v>1080</v>
      </c>
      <c r="S41" s="553">
        <f t="shared" si="213"/>
        <v>1080</v>
      </c>
      <c r="T41" s="553">
        <f t="shared" si="213"/>
        <v>1080</v>
      </c>
      <c r="U41" s="553">
        <f t="shared" si="213"/>
        <v>1080</v>
      </c>
      <c r="V41" s="553">
        <f t="shared" si="213"/>
        <v>1080</v>
      </c>
      <c r="W41" s="553">
        <f t="shared" si="213"/>
        <v>1080</v>
      </c>
      <c r="X41" s="560">
        <f t="shared" si="26"/>
        <v>12960</v>
      </c>
      <c r="Y41" s="565"/>
      <c r="Z41" s="553">
        <f>W41</f>
        <v>1080</v>
      </c>
      <c r="AA41" s="553">
        <f>Z41</f>
        <v>1080</v>
      </c>
      <c r="AB41" s="553">
        <f t="shared" ref="AB41:AK41" si="214">AA41</f>
        <v>1080</v>
      </c>
      <c r="AC41" s="553">
        <f t="shared" si="214"/>
        <v>1080</v>
      </c>
      <c r="AD41" s="553">
        <f t="shared" si="214"/>
        <v>1080</v>
      </c>
      <c r="AE41" s="553">
        <f t="shared" si="214"/>
        <v>1080</v>
      </c>
      <c r="AF41" s="553">
        <f t="shared" si="214"/>
        <v>1080</v>
      </c>
      <c r="AG41" s="562">
        <f t="shared" si="214"/>
        <v>1080</v>
      </c>
      <c r="AH41" s="553">
        <f t="shared" si="214"/>
        <v>1080</v>
      </c>
      <c r="AI41" s="553">
        <f t="shared" si="214"/>
        <v>1080</v>
      </c>
      <c r="AJ41" s="553">
        <f t="shared" si="214"/>
        <v>1080</v>
      </c>
      <c r="AK41" s="553">
        <f t="shared" si="214"/>
        <v>1080</v>
      </c>
      <c r="AL41" s="560">
        <f t="shared" si="180"/>
        <v>12960</v>
      </c>
      <c r="AM41" s="565"/>
      <c r="AN41" s="553">
        <f>AK41</f>
        <v>1080</v>
      </c>
      <c r="AO41" s="553">
        <f>AN41</f>
        <v>1080</v>
      </c>
      <c r="AP41" s="553">
        <f t="shared" ref="AP41:AY41" si="215">AO41</f>
        <v>1080</v>
      </c>
      <c r="AQ41" s="553">
        <f t="shared" si="215"/>
        <v>1080</v>
      </c>
      <c r="AR41" s="553">
        <f t="shared" si="215"/>
        <v>1080</v>
      </c>
      <c r="AS41" s="553">
        <f t="shared" si="215"/>
        <v>1080</v>
      </c>
      <c r="AT41" s="553">
        <f t="shared" si="215"/>
        <v>1080</v>
      </c>
      <c r="AU41" s="553">
        <f t="shared" si="215"/>
        <v>1080</v>
      </c>
      <c r="AV41" s="553">
        <f t="shared" si="215"/>
        <v>1080</v>
      </c>
      <c r="AW41" s="553">
        <f t="shared" si="215"/>
        <v>1080</v>
      </c>
      <c r="AX41" s="553">
        <f t="shared" si="215"/>
        <v>1080</v>
      </c>
      <c r="AY41" s="553">
        <f t="shared" si="215"/>
        <v>1080</v>
      </c>
      <c r="AZ41" s="560">
        <f t="shared" si="182"/>
        <v>12960</v>
      </c>
      <c r="BA41" s="565"/>
      <c r="BB41" s="553">
        <f>AY41</f>
        <v>1080</v>
      </c>
      <c r="BC41" s="562">
        <f>BB41</f>
        <v>1080</v>
      </c>
      <c r="BD41" s="553">
        <f t="shared" ref="BD41:BM41" si="216">BC41</f>
        <v>1080</v>
      </c>
      <c r="BE41" s="553">
        <f t="shared" si="216"/>
        <v>1080</v>
      </c>
      <c r="BF41" s="553">
        <f t="shared" si="216"/>
        <v>1080</v>
      </c>
      <c r="BG41" s="553">
        <f t="shared" si="216"/>
        <v>1080</v>
      </c>
      <c r="BH41" s="553">
        <f t="shared" si="216"/>
        <v>1080</v>
      </c>
      <c r="BI41" s="553">
        <f t="shared" si="216"/>
        <v>1080</v>
      </c>
      <c r="BJ41" s="553">
        <f t="shared" si="216"/>
        <v>1080</v>
      </c>
      <c r="BK41" s="553">
        <f t="shared" si="216"/>
        <v>1080</v>
      </c>
      <c r="BL41" s="553">
        <f t="shared" si="216"/>
        <v>1080</v>
      </c>
      <c r="BM41" s="553">
        <f t="shared" si="216"/>
        <v>1080</v>
      </c>
      <c r="BN41" s="560">
        <f t="shared" si="184"/>
        <v>12960</v>
      </c>
      <c r="BO41" s="565"/>
      <c r="BP41" s="553">
        <f>BM41</f>
        <v>1080</v>
      </c>
      <c r="BQ41" s="553">
        <f>BP41</f>
        <v>1080</v>
      </c>
      <c r="BR41" s="553">
        <f t="shared" ref="BR41:CA41" si="217">BQ41</f>
        <v>1080</v>
      </c>
      <c r="BS41" s="553">
        <f t="shared" si="217"/>
        <v>1080</v>
      </c>
      <c r="BT41" s="553">
        <f t="shared" si="217"/>
        <v>1080</v>
      </c>
      <c r="BU41" s="553">
        <f t="shared" si="217"/>
        <v>1080</v>
      </c>
      <c r="BV41" s="553">
        <f t="shared" si="217"/>
        <v>1080</v>
      </c>
      <c r="BW41" s="562">
        <f t="shared" si="217"/>
        <v>1080</v>
      </c>
      <c r="BX41" s="553">
        <f t="shared" si="217"/>
        <v>1080</v>
      </c>
      <c r="BY41" s="553">
        <f t="shared" si="217"/>
        <v>1080</v>
      </c>
      <c r="BZ41" s="553">
        <f t="shared" si="217"/>
        <v>1080</v>
      </c>
      <c r="CA41" s="553">
        <f t="shared" si="217"/>
        <v>1080</v>
      </c>
      <c r="CB41" s="560">
        <f t="shared" si="185"/>
        <v>12960</v>
      </c>
      <c r="CC41" s="565"/>
      <c r="CD41" s="553">
        <f>CA41</f>
        <v>1080</v>
      </c>
      <c r="CE41" s="553">
        <f>CD41</f>
        <v>1080</v>
      </c>
      <c r="CF41" s="553">
        <f t="shared" ref="CF41:CO41" si="218">CE41</f>
        <v>1080</v>
      </c>
      <c r="CG41" s="553">
        <f t="shared" si="218"/>
        <v>1080</v>
      </c>
      <c r="CH41" s="553">
        <f t="shared" si="218"/>
        <v>1080</v>
      </c>
      <c r="CI41" s="553">
        <f t="shared" si="218"/>
        <v>1080</v>
      </c>
      <c r="CJ41" s="553">
        <f t="shared" si="218"/>
        <v>1080</v>
      </c>
      <c r="CK41" s="553">
        <f t="shared" si="218"/>
        <v>1080</v>
      </c>
      <c r="CL41" s="553">
        <f t="shared" si="218"/>
        <v>1080</v>
      </c>
      <c r="CM41" s="553">
        <f t="shared" si="218"/>
        <v>1080</v>
      </c>
      <c r="CN41" s="553">
        <f t="shared" si="218"/>
        <v>1080</v>
      </c>
      <c r="CO41" s="553">
        <f t="shared" si="218"/>
        <v>1080</v>
      </c>
      <c r="CP41" s="560">
        <f t="shared" si="187"/>
        <v>12960</v>
      </c>
      <c r="CQ41" s="565"/>
      <c r="CR41" s="553">
        <f>CD41</f>
        <v>1080</v>
      </c>
      <c r="CS41" s="562">
        <f t="shared" ref="CS41:CT41" si="219">CR41</f>
        <v>1080</v>
      </c>
      <c r="CT41" s="553">
        <f t="shared" si="219"/>
        <v>1080</v>
      </c>
      <c r="CU41" s="553">
        <f t="shared" ref="CU41:DC41" si="220">CT41</f>
        <v>1080</v>
      </c>
      <c r="CV41" s="553">
        <f t="shared" si="220"/>
        <v>1080</v>
      </c>
      <c r="CW41" s="553">
        <f t="shared" si="220"/>
        <v>1080</v>
      </c>
      <c r="CX41" s="553">
        <f t="shared" si="220"/>
        <v>1080</v>
      </c>
      <c r="CY41" s="553">
        <f t="shared" si="220"/>
        <v>1080</v>
      </c>
      <c r="CZ41" s="553">
        <f t="shared" si="220"/>
        <v>1080</v>
      </c>
      <c r="DA41" s="553">
        <f t="shared" si="220"/>
        <v>1080</v>
      </c>
      <c r="DB41" s="553">
        <f t="shared" si="220"/>
        <v>1080</v>
      </c>
      <c r="DC41" s="553">
        <f t="shared" si="220"/>
        <v>1080</v>
      </c>
      <c r="DD41" s="560">
        <f t="shared" si="189"/>
        <v>12960</v>
      </c>
      <c r="DE41" s="565"/>
      <c r="DF41" s="553">
        <f>DC41</f>
        <v>1080</v>
      </c>
      <c r="DG41" s="553">
        <f>DF41</f>
        <v>1080</v>
      </c>
      <c r="DH41" s="553">
        <f t="shared" ref="DH41:DQ41" si="221">DG41</f>
        <v>1080</v>
      </c>
      <c r="DI41" s="553">
        <f t="shared" si="221"/>
        <v>1080</v>
      </c>
      <c r="DJ41" s="553">
        <f t="shared" si="221"/>
        <v>1080</v>
      </c>
      <c r="DK41" s="553">
        <f t="shared" si="221"/>
        <v>1080</v>
      </c>
      <c r="DL41" s="553">
        <f t="shared" si="221"/>
        <v>1080</v>
      </c>
      <c r="DM41" s="562">
        <f t="shared" si="221"/>
        <v>1080</v>
      </c>
      <c r="DN41" s="553">
        <f t="shared" si="221"/>
        <v>1080</v>
      </c>
      <c r="DO41" s="553">
        <f t="shared" si="221"/>
        <v>1080</v>
      </c>
      <c r="DP41" s="553">
        <f t="shared" si="221"/>
        <v>1080</v>
      </c>
      <c r="DQ41" s="553">
        <f t="shared" si="221"/>
        <v>1080</v>
      </c>
      <c r="DR41" s="560">
        <f t="shared" si="190"/>
        <v>12960</v>
      </c>
      <c r="DS41" s="565"/>
      <c r="DT41" s="553">
        <f>DQ41</f>
        <v>1080</v>
      </c>
      <c r="DU41" s="553">
        <f>DT41</f>
        <v>1080</v>
      </c>
      <c r="DV41" s="553">
        <f t="shared" ref="DV41:EE41" si="222">DU41</f>
        <v>1080</v>
      </c>
      <c r="DW41" s="553">
        <f t="shared" si="222"/>
        <v>1080</v>
      </c>
      <c r="DX41" s="553">
        <f t="shared" si="222"/>
        <v>1080</v>
      </c>
      <c r="DY41" s="553">
        <f t="shared" si="222"/>
        <v>1080</v>
      </c>
      <c r="DZ41" s="553">
        <f t="shared" si="222"/>
        <v>1080</v>
      </c>
      <c r="EA41" s="553">
        <f t="shared" si="222"/>
        <v>1080</v>
      </c>
      <c r="EB41" s="553">
        <f t="shared" si="222"/>
        <v>1080</v>
      </c>
      <c r="EC41" s="553">
        <f t="shared" si="222"/>
        <v>1080</v>
      </c>
      <c r="ED41" s="553">
        <f t="shared" si="222"/>
        <v>1080</v>
      </c>
      <c r="EE41" s="553">
        <f t="shared" si="222"/>
        <v>1080</v>
      </c>
      <c r="EF41" s="560">
        <f t="shared" si="192"/>
        <v>12960</v>
      </c>
      <c r="EG41" s="565"/>
      <c r="EH41" s="553">
        <f>DT41</f>
        <v>1080</v>
      </c>
      <c r="EI41" s="562">
        <f t="shared" ref="EI41:ES41" si="223">EH41</f>
        <v>1080</v>
      </c>
      <c r="EJ41" s="553">
        <f t="shared" si="223"/>
        <v>1080</v>
      </c>
      <c r="EK41" s="553">
        <f t="shared" si="223"/>
        <v>1080</v>
      </c>
      <c r="EL41" s="553">
        <f t="shared" si="223"/>
        <v>1080</v>
      </c>
      <c r="EM41" s="553">
        <f t="shared" si="223"/>
        <v>1080</v>
      </c>
      <c r="EN41" s="553">
        <f t="shared" si="223"/>
        <v>1080</v>
      </c>
      <c r="EO41" s="553">
        <f t="shared" si="223"/>
        <v>1080</v>
      </c>
      <c r="EP41" s="553">
        <f t="shared" si="223"/>
        <v>1080</v>
      </c>
      <c r="EQ41" s="553">
        <f t="shared" si="223"/>
        <v>1080</v>
      </c>
      <c r="ER41" s="553">
        <f t="shared" si="223"/>
        <v>1080</v>
      </c>
      <c r="ES41" s="553">
        <f t="shared" si="223"/>
        <v>1080</v>
      </c>
      <c r="ET41" s="560">
        <f t="shared" si="194"/>
        <v>12960</v>
      </c>
      <c r="EU41" s="565"/>
    </row>
    <row r="42" spans="1:151" ht="10.5" customHeight="1" x14ac:dyDescent="0.35">
      <c r="A42" s="547" t="s">
        <v>1179</v>
      </c>
      <c r="B42" s="531" t="s">
        <v>34</v>
      </c>
      <c r="C42" s="555">
        <f>Asumsi!C71</f>
        <v>30</v>
      </c>
      <c r="D42" s="552" t="s">
        <v>495</v>
      </c>
      <c r="F42" s="553">
        <f>Asumsi!F71</f>
        <v>1000</v>
      </c>
      <c r="G42" s="531" t="s">
        <v>496</v>
      </c>
    </row>
    <row r="43" spans="1:151" ht="10.5" customHeight="1" x14ac:dyDescent="0.35">
      <c r="A43" s="547" t="s">
        <v>1180</v>
      </c>
      <c r="B43" s="531" t="s">
        <v>507</v>
      </c>
      <c r="C43" s="555">
        <f>Asumsi!C72</f>
        <v>5.0000000000000001E-3</v>
      </c>
      <c r="D43" s="552" t="s">
        <v>470</v>
      </c>
      <c r="F43" s="553">
        <f>Asumsi!F72</f>
        <v>50000</v>
      </c>
      <c r="G43" s="531" t="s">
        <v>250</v>
      </c>
    </row>
    <row r="44" spans="1:151" ht="10.5" customHeight="1" x14ac:dyDescent="0.35">
      <c r="A44" s="547" t="s">
        <v>1181</v>
      </c>
      <c r="B44" s="531" t="s">
        <v>33</v>
      </c>
      <c r="C44" s="555">
        <f>Asumsi!C73</f>
        <v>5.0000000000000001E-4</v>
      </c>
      <c r="D44" s="531" t="s">
        <v>503</v>
      </c>
      <c r="F44" s="553">
        <f>Asumsi!F73</f>
        <v>1500</v>
      </c>
      <c r="G44" s="531" t="s">
        <v>16</v>
      </c>
    </row>
    <row r="45" spans="1:151" ht="10.5" customHeight="1" x14ac:dyDescent="0.35">
      <c r="A45" s="559"/>
      <c r="B45" s="558"/>
      <c r="C45" s="558"/>
      <c r="D45" s="558"/>
      <c r="E45" s="558"/>
      <c r="F45" s="558"/>
      <c r="G45" s="558"/>
      <c r="I45" s="558"/>
      <c r="J45" s="558"/>
      <c r="K45" s="558"/>
      <c r="L45" s="558"/>
      <c r="M45" s="558"/>
      <c r="N45" s="558"/>
      <c r="O45" s="558"/>
      <c r="P45" s="558"/>
      <c r="Q45" s="558"/>
      <c r="R45" s="558"/>
      <c r="S45" s="558"/>
      <c r="T45" s="558"/>
      <c r="U45" s="558"/>
      <c r="V45" s="558"/>
      <c r="W45" s="558"/>
      <c r="X45" s="558"/>
      <c r="Z45" s="558"/>
      <c r="AA45" s="558"/>
      <c r="AB45" s="558"/>
      <c r="AC45" s="558"/>
      <c r="AD45" s="558"/>
      <c r="AE45" s="558"/>
      <c r="AF45" s="558"/>
      <c r="AG45" s="558"/>
      <c r="AH45" s="558"/>
      <c r="AI45" s="558"/>
      <c r="AJ45" s="558"/>
      <c r="AK45" s="558"/>
      <c r="AL45" s="558"/>
      <c r="AN45" s="558"/>
      <c r="AO45" s="558"/>
      <c r="AP45" s="558"/>
      <c r="AQ45" s="558"/>
      <c r="AR45" s="558"/>
      <c r="AS45" s="558"/>
      <c r="AT45" s="558"/>
      <c r="AU45" s="558"/>
      <c r="AV45" s="558"/>
      <c r="AW45" s="558"/>
      <c r="AX45" s="558"/>
      <c r="AY45" s="558"/>
      <c r="AZ45" s="558"/>
      <c r="BB45" s="558"/>
      <c r="BC45" s="558"/>
      <c r="BD45" s="558"/>
      <c r="BE45" s="558"/>
      <c r="BF45" s="558"/>
      <c r="BG45" s="558"/>
      <c r="BH45" s="558"/>
      <c r="BI45" s="558"/>
      <c r="BJ45" s="558"/>
      <c r="BK45" s="558"/>
      <c r="BL45" s="558"/>
      <c r="BM45" s="558"/>
      <c r="BN45" s="558"/>
      <c r="BP45" s="558"/>
      <c r="BQ45" s="558"/>
      <c r="BR45" s="558"/>
      <c r="BS45" s="558"/>
      <c r="BT45" s="558"/>
      <c r="BU45" s="558"/>
      <c r="BV45" s="558"/>
      <c r="BW45" s="558"/>
      <c r="BX45" s="558"/>
      <c r="BY45" s="558"/>
      <c r="BZ45" s="558"/>
      <c r="CA45" s="558"/>
      <c r="CB45" s="558"/>
      <c r="CD45" s="558"/>
      <c r="CE45" s="558"/>
      <c r="CF45" s="558"/>
      <c r="CG45" s="558"/>
      <c r="CH45" s="558"/>
      <c r="CI45" s="558"/>
      <c r="CJ45" s="558"/>
      <c r="CK45" s="558"/>
      <c r="CL45" s="558"/>
      <c r="CM45" s="558"/>
      <c r="CN45" s="558"/>
      <c r="CO45" s="558"/>
      <c r="CP45" s="558"/>
      <c r="CR45" s="558"/>
      <c r="CS45" s="558"/>
      <c r="CT45" s="558"/>
      <c r="CU45" s="558"/>
      <c r="CV45" s="558"/>
      <c r="CW45" s="558"/>
      <c r="CX45" s="558"/>
      <c r="CY45" s="558"/>
      <c r="CZ45" s="558"/>
      <c r="DA45" s="558"/>
      <c r="DB45" s="558"/>
      <c r="DC45" s="558"/>
      <c r="DD45" s="558"/>
      <c r="DF45" s="558"/>
      <c r="DG45" s="558"/>
      <c r="DH45" s="558"/>
      <c r="DI45" s="558"/>
      <c r="DJ45" s="558"/>
      <c r="DK45" s="558"/>
      <c r="DL45" s="558"/>
      <c r="DM45" s="558"/>
      <c r="DN45" s="558"/>
      <c r="DO45" s="558"/>
      <c r="DP45" s="558"/>
      <c r="DQ45" s="558"/>
      <c r="DR45" s="558"/>
      <c r="DT45" s="558"/>
      <c r="DU45" s="558"/>
      <c r="DV45" s="558"/>
      <c r="DW45" s="558"/>
      <c r="DX45" s="558"/>
      <c r="DY45" s="558"/>
      <c r="DZ45" s="558"/>
      <c r="EA45" s="558"/>
      <c r="EB45" s="558"/>
      <c r="EC45" s="558"/>
      <c r="ED45" s="558"/>
      <c r="EE45" s="558"/>
      <c r="EF45" s="558"/>
      <c r="EH45" s="558"/>
      <c r="EI45" s="558"/>
      <c r="EJ45" s="558"/>
      <c r="EK45" s="558"/>
      <c r="EL45" s="558"/>
      <c r="EM45" s="558"/>
      <c r="EN45" s="558"/>
      <c r="EO45" s="558"/>
      <c r="EP45" s="558"/>
      <c r="EQ45" s="558"/>
      <c r="ER45" s="558"/>
      <c r="ES45" s="558"/>
      <c r="ET45" s="558"/>
    </row>
    <row r="46" spans="1:151" ht="10.5" customHeight="1" x14ac:dyDescent="0.35">
      <c r="I46" s="549" t="s">
        <v>492</v>
      </c>
      <c r="J46" s="550" t="s">
        <v>1166</v>
      </c>
      <c r="K46" s="461"/>
      <c r="Y46" s="565"/>
      <c r="AL46" s="558"/>
      <c r="AM46" s="565"/>
      <c r="AU46" s="561"/>
      <c r="AZ46" s="558"/>
      <c r="BA46" s="565"/>
      <c r="BN46" s="558"/>
      <c r="BO46" s="565"/>
      <c r="BQ46" s="561"/>
      <c r="CB46" s="558"/>
      <c r="CC46" s="565"/>
      <c r="CK46" s="561"/>
      <c r="CP46" s="558"/>
      <c r="CQ46" s="565"/>
      <c r="DD46" s="558"/>
      <c r="DE46" s="565"/>
      <c r="DG46" s="561"/>
      <c r="DR46" s="558"/>
      <c r="DS46" s="565"/>
      <c r="EA46" s="561"/>
      <c r="EF46" s="558"/>
      <c r="EG46" s="565"/>
      <c r="ET46" s="558"/>
      <c r="EU46" s="565"/>
    </row>
    <row r="47" spans="1:151" ht="10.5" customHeight="1" x14ac:dyDescent="0.35">
      <c r="B47" s="531"/>
      <c r="C47" s="531"/>
      <c r="I47" s="547">
        <v>2.1</v>
      </c>
      <c r="J47" s="531" t="s">
        <v>1072</v>
      </c>
      <c r="Y47" s="565"/>
      <c r="AL47" s="558"/>
      <c r="AM47" s="565"/>
      <c r="AU47" s="561"/>
      <c r="AZ47" s="558"/>
      <c r="BA47" s="565"/>
      <c r="BN47" s="558"/>
      <c r="BO47" s="565"/>
      <c r="BQ47" s="561"/>
      <c r="CB47" s="558"/>
      <c r="CC47" s="565"/>
      <c r="CK47" s="561"/>
      <c r="CP47" s="558"/>
      <c r="CQ47" s="565"/>
      <c r="DD47" s="558"/>
      <c r="DE47" s="565"/>
      <c r="DG47" s="561"/>
      <c r="DR47" s="558"/>
      <c r="DS47" s="565"/>
      <c r="EA47" s="561"/>
      <c r="EF47" s="558"/>
      <c r="EG47" s="565"/>
      <c r="ET47" s="558"/>
      <c r="EU47" s="565"/>
    </row>
    <row r="48" spans="1:151" ht="10.5" customHeight="1" x14ac:dyDescent="0.35">
      <c r="B48" s="531"/>
      <c r="C48" s="531"/>
      <c r="I48" s="536"/>
      <c r="J48" s="531" t="s">
        <v>9</v>
      </c>
      <c r="K48" s="531" t="s">
        <v>505</v>
      </c>
      <c r="Y48" s="565"/>
      <c r="Z48" s="553">
        <f>$C$13</f>
        <v>9000</v>
      </c>
      <c r="AA48" s="553">
        <f>Z48</f>
        <v>9000</v>
      </c>
      <c r="AL48" s="560">
        <f>Z48</f>
        <v>9000</v>
      </c>
      <c r="AM48" s="565"/>
      <c r="AN48" s="553"/>
      <c r="AO48" s="553"/>
      <c r="AT48" s="553">
        <f>$C$13</f>
        <v>9000</v>
      </c>
      <c r="AU48" s="562">
        <f>AT48</f>
        <v>9000</v>
      </c>
      <c r="AZ48" s="560">
        <f>AT48</f>
        <v>9000</v>
      </c>
      <c r="BA48" s="565"/>
      <c r="BB48" s="553"/>
      <c r="BC48" s="553"/>
      <c r="BH48" s="553"/>
      <c r="BI48" s="553"/>
      <c r="BN48" s="560">
        <f>BH48</f>
        <v>0</v>
      </c>
      <c r="BO48" s="565"/>
      <c r="BP48" s="553">
        <f>$C$13</f>
        <v>9000</v>
      </c>
      <c r="BQ48" s="562">
        <f>BP48</f>
        <v>9000</v>
      </c>
      <c r="BV48" s="553"/>
      <c r="BW48" s="553"/>
      <c r="CB48" s="560">
        <f>BV48</f>
        <v>0</v>
      </c>
      <c r="CC48" s="565"/>
      <c r="CD48" s="553"/>
      <c r="CE48" s="553"/>
      <c r="CJ48" s="553">
        <f>$C$13</f>
        <v>9000</v>
      </c>
      <c r="CK48" s="562">
        <f>CJ48</f>
        <v>9000</v>
      </c>
      <c r="CP48" s="560">
        <f>CJ48</f>
        <v>9000</v>
      </c>
      <c r="CQ48" s="565"/>
      <c r="CR48" s="553"/>
      <c r="CS48" s="553"/>
      <c r="CX48" s="553"/>
      <c r="CY48" s="553"/>
      <c r="DD48" s="560">
        <f>CX48</f>
        <v>0</v>
      </c>
      <c r="DE48" s="565"/>
      <c r="DF48" s="553">
        <f>$C$13</f>
        <v>9000</v>
      </c>
      <c r="DG48" s="562">
        <f>DF48</f>
        <v>9000</v>
      </c>
      <c r="DL48" s="553"/>
      <c r="DM48" s="553"/>
      <c r="DR48" s="560">
        <f>DF48</f>
        <v>9000</v>
      </c>
      <c r="DS48" s="565"/>
      <c r="DT48" s="553"/>
      <c r="DU48" s="553"/>
      <c r="DZ48" s="553">
        <f>$C$13</f>
        <v>9000</v>
      </c>
      <c r="EA48" s="562">
        <f>DZ48</f>
        <v>9000</v>
      </c>
      <c r="EF48" s="560">
        <f>DZ48</f>
        <v>9000</v>
      </c>
      <c r="EG48" s="565"/>
      <c r="EH48" s="553"/>
      <c r="EI48" s="553"/>
      <c r="EN48" s="553"/>
      <c r="EO48" s="553"/>
      <c r="ET48" s="560">
        <f>EN48</f>
        <v>0</v>
      </c>
      <c r="EU48" s="565"/>
    </row>
    <row r="49" spans="2:151" ht="10.5" customHeight="1" x14ac:dyDescent="0.35">
      <c r="B49" s="531"/>
      <c r="C49" s="531"/>
      <c r="I49" s="536"/>
      <c r="J49" s="531" t="s">
        <v>10</v>
      </c>
      <c r="K49" s="531" t="s">
        <v>1073</v>
      </c>
      <c r="Y49" s="565"/>
      <c r="AB49" s="553">
        <f>C13*(1-Asumsi!C20%)</f>
        <v>8865</v>
      </c>
      <c r="AC49" s="553">
        <f>AB49</f>
        <v>8865</v>
      </c>
      <c r="AD49" s="553">
        <f t="shared" ref="AD49:AK49" si="224">AC49</f>
        <v>8865</v>
      </c>
      <c r="AE49" s="553">
        <f t="shared" si="224"/>
        <v>8865</v>
      </c>
      <c r="AF49" s="553">
        <f t="shared" si="224"/>
        <v>8865</v>
      </c>
      <c r="AG49" s="553">
        <f t="shared" si="224"/>
        <v>8865</v>
      </c>
      <c r="AH49" s="553">
        <f t="shared" si="224"/>
        <v>8865</v>
      </c>
      <c r="AI49" s="553">
        <f t="shared" si="224"/>
        <v>8865</v>
      </c>
      <c r="AJ49" s="553">
        <f t="shared" si="224"/>
        <v>8865</v>
      </c>
      <c r="AK49" s="553">
        <f t="shared" si="224"/>
        <v>8865</v>
      </c>
      <c r="AL49" s="560">
        <f>AB49</f>
        <v>8865</v>
      </c>
      <c r="AM49" s="565"/>
      <c r="AN49" s="553">
        <f>AK49</f>
        <v>8865</v>
      </c>
      <c r="AO49" s="553">
        <f>AN49</f>
        <v>8865</v>
      </c>
      <c r="AP49" s="553">
        <f t="shared" ref="AP49:AY49" si="225">AO49</f>
        <v>8865</v>
      </c>
      <c r="AQ49" s="553">
        <f t="shared" si="225"/>
        <v>8865</v>
      </c>
      <c r="AR49" s="553">
        <f t="shared" si="225"/>
        <v>8865</v>
      </c>
      <c r="AS49" s="553">
        <f t="shared" si="225"/>
        <v>8865</v>
      </c>
      <c r="AT49" s="553">
        <f t="shared" si="225"/>
        <v>8865</v>
      </c>
      <c r="AU49" s="562">
        <f t="shared" si="225"/>
        <v>8865</v>
      </c>
      <c r="AV49" s="553">
        <f t="shared" si="225"/>
        <v>8865</v>
      </c>
      <c r="AW49" s="553">
        <f t="shared" si="225"/>
        <v>8865</v>
      </c>
      <c r="AX49" s="553">
        <f t="shared" si="225"/>
        <v>8865</v>
      </c>
      <c r="AY49" s="553">
        <f t="shared" si="225"/>
        <v>8865</v>
      </c>
      <c r="AZ49" s="560">
        <f>AP49</f>
        <v>8865</v>
      </c>
      <c r="BA49" s="565"/>
      <c r="BB49" s="553">
        <f>AY49</f>
        <v>8865</v>
      </c>
      <c r="BC49" s="553">
        <f>BB49</f>
        <v>8865</v>
      </c>
      <c r="BD49" s="553">
        <f t="shared" ref="BD49:BM49" si="226">BC49</f>
        <v>8865</v>
      </c>
      <c r="BE49" s="553">
        <f t="shared" si="226"/>
        <v>8865</v>
      </c>
      <c r="BF49" s="553">
        <f t="shared" si="226"/>
        <v>8865</v>
      </c>
      <c r="BG49" s="553">
        <f t="shared" si="226"/>
        <v>8865</v>
      </c>
      <c r="BH49" s="553">
        <f t="shared" si="226"/>
        <v>8865</v>
      </c>
      <c r="BI49" s="553">
        <f t="shared" si="226"/>
        <v>8865</v>
      </c>
      <c r="BJ49" s="553">
        <f t="shared" si="226"/>
        <v>8865</v>
      </c>
      <c r="BK49" s="553">
        <f t="shared" si="226"/>
        <v>8865</v>
      </c>
      <c r="BL49" s="553">
        <f t="shared" si="226"/>
        <v>8865</v>
      </c>
      <c r="BM49" s="553">
        <f t="shared" si="226"/>
        <v>8865</v>
      </c>
      <c r="BN49" s="560">
        <f>BD49</f>
        <v>8865</v>
      </c>
      <c r="BO49" s="565"/>
      <c r="BP49" s="553">
        <f>BM49</f>
        <v>8865</v>
      </c>
      <c r="BQ49" s="562">
        <f>BP49</f>
        <v>8865</v>
      </c>
      <c r="BR49" s="553">
        <f t="shared" ref="BR49:CA49" si="227">BQ49</f>
        <v>8865</v>
      </c>
      <c r="BS49" s="553">
        <f t="shared" si="227"/>
        <v>8865</v>
      </c>
      <c r="BT49" s="553">
        <f t="shared" si="227"/>
        <v>8865</v>
      </c>
      <c r="BU49" s="553">
        <f t="shared" si="227"/>
        <v>8865</v>
      </c>
      <c r="BV49" s="553">
        <f t="shared" si="227"/>
        <v>8865</v>
      </c>
      <c r="BW49" s="553">
        <f t="shared" si="227"/>
        <v>8865</v>
      </c>
      <c r="BX49" s="553">
        <f t="shared" si="227"/>
        <v>8865</v>
      </c>
      <c r="BY49" s="553">
        <f t="shared" si="227"/>
        <v>8865</v>
      </c>
      <c r="BZ49" s="553">
        <f t="shared" si="227"/>
        <v>8865</v>
      </c>
      <c r="CA49" s="553">
        <f t="shared" si="227"/>
        <v>8865</v>
      </c>
      <c r="CB49" s="560">
        <f>BR49</f>
        <v>8865</v>
      </c>
      <c r="CC49" s="565"/>
      <c r="CD49" s="553">
        <f>CA49</f>
        <v>8865</v>
      </c>
      <c r="CE49" s="553">
        <f>CD49</f>
        <v>8865</v>
      </c>
      <c r="CF49" s="553">
        <f t="shared" ref="CF49:CO49" si="228">CE49</f>
        <v>8865</v>
      </c>
      <c r="CG49" s="553">
        <f t="shared" si="228"/>
        <v>8865</v>
      </c>
      <c r="CH49" s="553">
        <f t="shared" si="228"/>
        <v>8865</v>
      </c>
      <c r="CI49" s="553">
        <f t="shared" si="228"/>
        <v>8865</v>
      </c>
      <c r="CJ49" s="553">
        <f t="shared" si="228"/>
        <v>8865</v>
      </c>
      <c r="CK49" s="562">
        <f t="shared" si="228"/>
        <v>8865</v>
      </c>
      <c r="CL49" s="553">
        <f t="shared" si="228"/>
        <v>8865</v>
      </c>
      <c r="CM49" s="553">
        <f t="shared" si="228"/>
        <v>8865</v>
      </c>
      <c r="CN49" s="553">
        <f t="shared" si="228"/>
        <v>8865</v>
      </c>
      <c r="CO49" s="553">
        <f t="shared" si="228"/>
        <v>8865</v>
      </c>
      <c r="CP49" s="560">
        <f>CF49</f>
        <v>8865</v>
      </c>
      <c r="CQ49" s="565"/>
      <c r="CR49" s="553">
        <f>CO49</f>
        <v>8865</v>
      </c>
      <c r="CS49" s="553">
        <f>CR49</f>
        <v>8865</v>
      </c>
      <c r="CT49" s="553">
        <f t="shared" ref="CT49:DC49" si="229">CS49</f>
        <v>8865</v>
      </c>
      <c r="CU49" s="553">
        <f t="shared" si="229"/>
        <v>8865</v>
      </c>
      <c r="CV49" s="553">
        <f t="shared" si="229"/>
        <v>8865</v>
      </c>
      <c r="CW49" s="553">
        <f t="shared" si="229"/>
        <v>8865</v>
      </c>
      <c r="CX49" s="553">
        <f t="shared" si="229"/>
        <v>8865</v>
      </c>
      <c r="CY49" s="553">
        <f t="shared" si="229"/>
        <v>8865</v>
      </c>
      <c r="CZ49" s="553">
        <f t="shared" si="229"/>
        <v>8865</v>
      </c>
      <c r="DA49" s="553">
        <f t="shared" si="229"/>
        <v>8865</v>
      </c>
      <c r="DB49" s="553">
        <f t="shared" si="229"/>
        <v>8865</v>
      </c>
      <c r="DC49" s="553">
        <f t="shared" si="229"/>
        <v>8865</v>
      </c>
      <c r="DD49" s="560">
        <f>CT49</f>
        <v>8865</v>
      </c>
      <c r="DE49" s="565"/>
      <c r="DF49" s="553">
        <f>DC49</f>
        <v>8865</v>
      </c>
      <c r="DG49" s="562">
        <f t="shared" ref="DG49:DQ49" si="230">DF49</f>
        <v>8865</v>
      </c>
      <c r="DH49" s="553">
        <f t="shared" si="230"/>
        <v>8865</v>
      </c>
      <c r="DI49" s="553">
        <f t="shared" si="230"/>
        <v>8865</v>
      </c>
      <c r="DJ49" s="553">
        <f t="shared" si="230"/>
        <v>8865</v>
      </c>
      <c r="DK49" s="553">
        <f t="shared" si="230"/>
        <v>8865</v>
      </c>
      <c r="DL49" s="553">
        <f t="shared" si="230"/>
        <v>8865</v>
      </c>
      <c r="DM49" s="553">
        <f t="shared" si="230"/>
        <v>8865</v>
      </c>
      <c r="DN49" s="553">
        <f t="shared" si="230"/>
        <v>8865</v>
      </c>
      <c r="DO49" s="553">
        <f t="shared" si="230"/>
        <v>8865</v>
      </c>
      <c r="DP49" s="553">
        <f t="shared" si="230"/>
        <v>8865</v>
      </c>
      <c r="DQ49" s="553">
        <f t="shared" si="230"/>
        <v>8865</v>
      </c>
      <c r="DR49" s="560">
        <f>DH49</f>
        <v>8865</v>
      </c>
      <c r="DS49" s="565"/>
      <c r="DT49" s="553">
        <f>DQ49</f>
        <v>8865</v>
      </c>
      <c r="DU49" s="553">
        <f>DT49</f>
        <v>8865</v>
      </c>
      <c r="DV49" s="553">
        <f t="shared" ref="DV49:EE49" si="231">DU49</f>
        <v>8865</v>
      </c>
      <c r="DW49" s="553">
        <f t="shared" si="231"/>
        <v>8865</v>
      </c>
      <c r="DX49" s="553">
        <f t="shared" si="231"/>
        <v>8865</v>
      </c>
      <c r="DY49" s="553">
        <f t="shared" si="231"/>
        <v>8865</v>
      </c>
      <c r="DZ49" s="553">
        <f t="shared" si="231"/>
        <v>8865</v>
      </c>
      <c r="EA49" s="562">
        <f t="shared" si="231"/>
        <v>8865</v>
      </c>
      <c r="EB49" s="553">
        <f t="shared" si="231"/>
        <v>8865</v>
      </c>
      <c r="EC49" s="553">
        <f t="shared" si="231"/>
        <v>8865</v>
      </c>
      <c r="ED49" s="553">
        <f t="shared" si="231"/>
        <v>8865</v>
      </c>
      <c r="EE49" s="553">
        <f t="shared" si="231"/>
        <v>8865</v>
      </c>
      <c r="EF49" s="560">
        <f>DV49</f>
        <v>8865</v>
      </c>
      <c r="EG49" s="565"/>
      <c r="EH49" s="553">
        <f>EE49</f>
        <v>8865</v>
      </c>
      <c r="EI49" s="553">
        <f>EH49</f>
        <v>8865</v>
      </c>
      <c r="EJ49" s="553">
        <f t="shared" ref="EJ49:ES49" si="232">EI49</f>
        <v>8865</v>
      </c>
      <c r="EK49" s="553">
        <f t="shared" si="232"/>
        <v>8865</v>
      </c>
      <c r="EL49" s="553">
        <f t="shared" si="232"/>
        <v>8865</v>
      </c>
      <c r="EM49" s="553">
        <f t="shared" si="232"/>
        <v>8865</v>
      </c>
      <c r="EN49" s="553">
        <f t="shared" si="232"/>
        <v>8865</v>
      </c>
      <c r="EO49" s="553">
        <f t="shared" si="232"/>
        <v>8865</v>
      </c>
      <c r="EP49" s="553">
        <f t="shared" si="232"/>
        <v>8865</v>
      </c>
      <c r="EQ49" s="553">
        <f t="shared" si="232"/>
        <v>8865</v>
      </c>
      <c r="ER49" s="553">
        <f t="shared" si="232"/>
        <v>8865</v>
      </c>
      <c r="ES49" s="553">
        <f t="shared" si="232"/>
        <v>8865</v>
      </c>
      <c r="ET49" s="560">
        <f>EJ49</f>
        <v>8865</v>
      </c>
      <c r="EU49" s="565"/>
    </row>
    <row r="50" spans="2:151" ht="10.5" customHeight="1" x14ac:dyDescent="0.35">
      <c r="B50" s="531"/>
      <c r="C50" s="531"/>
      <c r="J50" s="531" t="s">
        <v>13</v>
      </c>
      <c r="K50" s="531" t="s">
        <v>456</v>
      </c>
      <c r="Y50" s="565"/>
      <c r="AL50" s="560"/>
      <c r="AM50" s="565"/>
      <c r="AU50" s="561"/>
      <c r="AV50" s="553">
        <f>$C$13*(1-(Asumsi!$C$20%+Asumsi!$C$21%))</f>
        <v>7650</v>
      </c>
      <c r="AZ50" s="560">
        <f>SUM(AN50:AY50)</f>
        <v>7650</v>
      </c>
      <c r="BA50" s="565"/>
      <c r="BN50" s="560">
        <f>SUM(BB50:BM50)</f>
        <v>0</v>
      </c>
      <c r="BO50" s="565"/>
      <c r="BQ50" s="561"/>
      <c r="BR50" s="553">
        <f>$C$13*(1-(Asumsi!$C$20%+Asumsi!$C$21%))</f>
        <v>7650</v>
      </c>
      <c r="CB50" s="560">
        <f>SUM(BP50:CA50)</f>
        <v>7650</v>
      </c>
      <c r="CC50" s="565"/>
      <c r="CK50" s="561"/>
      <c r="CL50" s="553">
        <f>$C$13*(1-(Asumsi!$C$20%+Asumsi!$C$21%))</f>
        <v>7650</v>
      </c>
      <c r="CP50" s="560">
        <f>SUM(CD50:CO50)</f>
        <v>7650</v>
      </c>
      <c r="CQ50" s="565"/>
      <c r="CZ50" s="553"/>
      <c r="DD50" s="560">
        <f>SUM(CR50:DC50)</f>
        <v>0</v>
      </c>
      <c r="DE50" s="565"/>
      <c r="DG50" s="561"/>
      <c r="DH50" s="553">
        <f>$C$13*(1-(Asumsi!$C$20%+Asumsi!$C$21%))</f>
        <v>7650</v>
      </c>
      <c r="DR50" s="560">
        <f>SUM(DF50:DQ50)</f>
        <v>7650</v>
      </c>
      <c r="DS50" s="565"/>
      <c r="EA50" s="561"/>
      <c r="EB50" s="553">
        <f>$C$13*(1-(Asumsi!$C$20%+Asumsi!$C$21%))</f>
        <v>7650</v>
      </c>
      <c r="EF50" s="560">
        <f>SUM(DT50:EE50)</f>
        <v>7650</v>
      </c>
      <c r="EG50" s="565"/>
      <c r="EP50" s="553"/>
      <c r="ES50" s="553">
        <f>$C$13*(1-(Asumsi!$C$20%+Asumsi!$C$21%))</f>
        <v>7650</v>
      </c>
      <c r="ET50" s="560">
        <f>SUM(EH50:ES50)</f>
        <v>7650</v>
      </c>
      <c r="EU50" s="565"/>
    </row>
    <row r="51" spans="2:151" ht="10.5" customHeight="1" x14ac:dyDescent="0.35">
      <c r="B51" s="531"/>
      <c r="C51" s="531"/>
      <c r="I51" s="547">
        <v>2.2000000000000002</v>
      </c>
      <c r="J51" s="531" t="s">
        <v>1074</v>
      </c>
      <c r="Y51" s="565"/>
      <c r="AB51" s="553">
        <f>AB49*Asumsi!C22%*30</f>
        <v>226057.5</v>
      </c>
      <c r="AC51" s="553">
        <f>AB51</f>
        <v>226057.5</v>
      </c>
      <c r="AD51" s="553">
        <f t="shared" ref="AD51:AK51" si="233">AC51</f>
        <v>226057.5</v>
      </c>
      <c r="AE51" s="553">
        <f t="shared" si="233"/>
        <v>226057.5</v>
      </c>
      <c r="AF51" s="553">
        <f t="shared" si="233"/>
        <v>226057.5</v>
      </c>
      <c r="AG51" s="553">
        <f t="shared" si="233"/>
        <v>226057.5</v>
      </c>
      <c r="AH51" s="553">
        <f t="shared" si="233"/>
        <v>226057.5</v>
      </c>
      <c r="AI51" s="553">
        <f t="shared" si="233"/>
        <v>226057.5</v>
      </c>
      <c r="AJ51" s="553">
        <f t="shared" si="233"/>
        <v>226057.5</v>
      </c>
      <c r="AK51" s="553">
        <f t="shared" si="233"/>
        <v>226057.5</v>
      </c>
      <c r="AL51" s="560">
        <f>SUM(Z51:AK51)</f>
        <v>2260575</v>
      </c>
      <c r="AM51" s="565"/>
      <c r="AN51" s="553">
        <f>AK51</f>
        <v>226057.5</v>
      </c>
      <c r="AO51" s="553">
        <f>AN51</f>
        <v>226057.5</v>
      </c>
      <c r="AP51" s="553">
        <f t="shared" ref="AP51:AY51" si="234">AO51</f>
        <v>226057.5</v>
      </c>
      <c r="AQ51" s="553">
        <f t="shared" si="234"/>
        <v>226057.5</v>
      </c>
      <c r="AR51" s="553">
        <f t="shared" si="234"/>
        <v>226057.5</v>
      </c>
      <c r="AS51" s="553">
        <f t="shared" si="234"/>
        <v>226057.5</v>
      </c>
      <c r="AT51" s="553">
        <f t="shared" si="234"/>
        <v>226057.5</v>
      </c>
      <c r="AU51" s="562">
        <f t="shared" si="234"/>
        <v>226057.5</v>
      </c>
      <c r="AV51" s="553">
        <f t="shared" si="234"/>
        <v>226057.5</v>
      </c>
      <c r="AW51" s="553">
        <f t="shared" si="234"/>
        <v>226057.5</v>
      </c>
      <c r="AX51" s="553">
        <f t="shared" si="234"/>
        <v>226057.5</v>
      </c>
      <c r="AY51" s="553">
        <f t="shared" si="234"/>
        <v>226057.5</v>
      </c>
      <c r="AZ51" s="560">
        <f>SUM(AN51:AY51)</f>
        <v>2712690</v>
      </c>
      <c r="BA51" s="565"/>
      <c r="BB51" s="553">
        <f>AY51</f>
        <v>226057.5</v>
      </c>
      <c r="BC51" s="553">
        <f>BB51</f>
        <v>226057.5</v>
      </c>
      <c r="BD51" s="553">
        <f t="shared" ref="BD51:BM51" si="235">BC51</f>
        <v>226057.5</v>
      </c>
      <c r="BE51" s="553">
        <f t="shared" si="235"/>
        <v>226057.5</v>
      </c>
      <c r="BF51" s="553">
        <f t="shared" si="235"/>
        <v>226057.5</v>
      </c>
      <c r="BG51" s="553">
        <f t="shared" si="235"/>
        <v>226057.5</v>
      </c>
      <c r="BH51" s="553">
        <f t="shared" si="235"/>
        <v>226057.5</v>
      </c>
      <c r="BI51" s="553">
        <f t="shared" si="235"/>
        <v>226057.5</v>
      </c>
      <c r="BJ51" s="553">
        <f t="shared" si="235"/>
        <v>226057.5</v>
      </c>
      <c r="BK51" s="553">
        <f t="shared" si="235"/>
        <v>226057.5</v>
      </c>
      <c r="BL51" s="553">
        <f t="shared" si="235"/>
        <v>226057.5</v>
      </c>
      <c r="BM51" s="553">
        <f t="shared" si="235"/>
        <v>226057.5</v>
      </c>
      <c r="BN51" s="560">
        <f>SUM(BB51:BM51)</f>
        <v>2712690</v>
      </c>
      <c r="BO51" s="565"/>
      <c r="BP51" s="553">
        <f>BM51</f>
        <v>226057.5</v>
      </c>
      <c r="BQ51" s="562">
        <f>BP51</f>
        <v>226057.5</v>
      </c>
      <c r="BR51" s="553">
        <f t="shared" ref="BR51:CA51" si="236">BQ51</f>
        <v>226057.5</v>
      </c>
      <c r="BS51" s="553">
        <f t="shared" si="236"/>
        <v>226057.5</v>
      </c>
      <c r="BT51" s="553">
        <f t="shared" si="236"/>
        <v>226057.5</v>
      </c>
      <c r="BU51" s="553">
        <f t="shared" si="236"/>
        <v>226057.5</v>
      </c>
      <c r="BV51" s="553">
        <f t="shared" si="236"/>
        <v>226057.5</v>
      </c>
      <c r="BW51" s="553">
        <f t="shared" si="236"/>
        <v>226057.5</v>
      </c>
      <c r="BX51" s="553">
        <f t="shared" si="236"/>
        <v>226057.5</v>
      </c>
      <c r="BY51" s="553">
        <f t="shared" si="236"/>
        <v>226057.5</v>
      </c>
      <c r="BZ51" s="553">
        <f t="shared" si="236"/>
        <v>226057.5</v>
      </c>
      <c r="CA51" s="553">
        <f t="shared" si="236"/>
        <v>226057.5</v>
      </c>
      <c r="CB51" s="560">
        <f>SUM(BP51:CA51)</f>
        <v>2712690</v>
      </c>
      <c r="CC51" s="565"/>
      <c r="CD51" s="553">
        <f>CA51</f>
        <v>226057.5</v>
      </c>
      <c r="CE51" s="553">
        <f>CD51</f>
        <v>226057.5</v>
      </c>
      <c r="CF51" s="553">
        <f t="shared" ref="CF51:CO51" si="237">CE51</f>
        <v>226057.5</v>
      </c>
      <c r="CG51" s="553">
        <f t="shared" si="237"/>
        <v>226057.5</v>
      </c>
      <c r="CH51" s="553">
        <f t="shared" si="237"/>
        <v>226057.5</v>
      </c>
      <c r="CI51" s="553">
        <f t="shared" si="237"/>
        <v>226057.5</v>
      </c>
      <c r="CJ51" s="553">
        <f t="shared" si="237"/>
        <v>226057.5</v>
      </c>
      <c r="CK51" s="562">
        <f t="shared" si="237"/>
        <v>226057.5</v>
      </c>
      <c r="CL51" s="553">
        <f t="shared" si="237"/>
        <v>226057.5</v>
      </c>
      <c r="CM51" s="553">
        <f t="shared" si="237"/>
        <v>226057.5</v>
      </c>
      <c r="CN51" s="553">
        <f t="shared" si="237"/>
        <v>226057.5</v>
      </c>
      <c r="CO51" s="553">
        <f t="shared" si="237"/>
        <v>226057.5</v>
      </c>
      <c r="CP51" s="560">
        <f>SUM(CD51:CO51)</f>
        <v>2712690</v>
      </c>
      <c r="CQ51" s="565"/>
      <c r="CR51" s="553">
        <f>CO51</f>
        <v>226057.5</v>
      </c>
      <c r="CS51" s="553">
        <f>CR51</f>
        <v>226057.5</v>
      </c>
      <c r="CT51" s="553">
        <f t="shared" ref="CT51:DC51" si="238">CS51</f>
        <v>226057.5</v>
      </c>
      <c r="CU51" s="553">
        <f t="shared" si="238"/>
        <v>226057.5</v>
      </c>
      <c r="CV51" s="553">
        <f t="shared" si="238"/>
        <v>226057.5</v>
      </c>
      <c r="CW51" s="553">
        <f t="shared" si="238"/>
        <v>226057.5</v>
      </c>
      <c r="CX51" s="553">
        <f t="shared" si="238"/>
        <v>226057.5</v>
      </c>
      <c r="CY51" s="553">
        <f t="shared" si="238"/>
        <v>226057.5</v>
      </c>
      <c r="CZ51" s="553">
        <f t="shared" si="238"/>
        <v>226057.5</v>
      </c>
      <c r="DA51" s="553">
        <f t="shared" si="238"/>
        <v>226057.5</v>
      </c>
      <c r="DB51" s="553">
        <f t="shared" si="238"/>
        <v>226057.5</v>
      </c>
      <c r="DC51" s="553">
        <f t="shared" si="238"/>
        <v>226057.5</v>
      </c>
      <c r="DD51" s="560">
        <f>SUM(CR51:DC51)</f>
        <v>2712690</v>
      </c>
      <c r="DE51" s="565"/>
      <c r="DF51" s="553">
        <f>DC51</f>
        <v>226057.5</v>
      </c>
      <c r="DG51" s="562">
        <f t="shared" ref="DG51:DQ51" si="239">DF51</f>
        <v>226057.5</v>
      </c>
      <c r="DH51" s="553">
        <f t="shared" si="239"/>
        <v>226057.5</v>
      </c>
      <c r="DI51" s="553">
        <f t="shared" si="239"/>
        <v>226057.5</v>
      </c>
      <c r="DJ51" s="553">
        <f t="shared" si="239"/>
        <v>226057.5</v>
      </c>
      <c r="DK51" s="553">
        <f t="shared" si="239"/>
        <v>226057.5</v>
      </c>
      <c r="DL51" s="553">
        <f t="shared" si="239"/>
        <v>226057.5</v>
      </c>
      <c r="DM51" s="553">
        <f t="shared" si="239"/>
        <v>226057.5</v>
      </c>
      <c r="DN51" s="553">
        <f t="shared" si="239"/>
        <v>226057.5</v>
      </c>
      <c r="DO51" s="553">
        <f t="shared" si="239"/>
        <v>226057.5</v>
      </c>
      <c r="DP51" s="553">
        <f t="shared" si="239"/>
        <v>226057.5</v>
      </c>
      <c r="DQ51" s="553">
        <f t="shared" si="239"/>
        <v>226057.5</v>
      </c>
      <c r="DR51" s="560">
        <f>SUM(DF51:DQ51)</f>
        <v>2712690</v>
      </c>
      <c r="DS51" s="565"/>
      <c r="DT51" s="553">
        <f>DQ51</f>
        <v>226057.5</v>
      </c>
      <c r="DU51" s="553">
        <f>DT51</f>
        <v>226057.5</v>
      </c>
      <c r="DV51" s="553">
        <f t="shared" ref="DV51:EE51" si="240">DU51</f>
        <v>226057.5</v>
      </c>
      <c r="DW51" s="553">
        <f t="shared" si="240"/>
        <v>226057.5</v>
      </c>
      <c r="DX51" s="553">
        <f t="shared" si="240"/>
        <v>226057.5</v>
      </c>
      <c r="DY51" s="553">
        <f t="shared" si="240"/>
        <v>226057.5</v>
      </c>
      <c r="DZ51" s="553">
        <f t="shared" si="240"/>
        <v>226057.5</v>
      </c>
      <c r="EA51" s="562">
        <f t="shared" si="240"/>
        <v>226057.5</v>
      </c>
      <c r="EB51" s="553">
        <f t="shared" si="240"/>
        <v>226057.5</v>
      </c>
      <c r="EC51" s="553">
        <f t="shared" si="240"/>
        <v>226057.5</v>
      </c>
      <c r="ED51" s="553">
        <f t="shared" si="240"/>
        <v>226057.5</v>
      </c>
      <c r="EE51" s="553">
        <f t="shared" si="240"/>
        <v>226057.5</v>
      </c>
      <c r="EF51" s="560">
        <f>SUM(DT51:EE51)</f>
        <v>2712690</v>
      </c>
      <c r="EG51" s="565"/>
      <c r="EH51" s="553">
        <f>EE51</f>
        <v>226057.5</v>
      </c>
      <c r="EI51" s="553">
        <f>EH51</f>
        <v>226057.5</v>
      </c>
      <c r="EJ51" s="553">
        <f t="shared" ref="EJ51:ES51" si="241">EI51</f>
        <v>226057.5</v>
      </c>
      <c r="EK51" s="553">
        <f t="shared" si="241"/>
        <v>226057.5</v>
      </c>
      <c r="EL51" s="553">
        <f t="shared" si="241"/>
        <v>226057.5</v>
      </c>
      <c r="EM51" s="553">
        <f t="shared" si="241"/>
        <v>226057.5</v>
      </c>
      <c r="EN51" s="553">
        <f t="shared" si="241"/>
        <v>226057.5</v>
      </c>
      <c r="EO51" s="553">
        <f t="shared" si="241"/>
        <v>226057.5</v>
      </c>
      <c r="EP51" s="553">
        <f t="shared" si="241"/>
        <v>226057.5</v>
      </c>
      <c r="EQ51" s="553">
        <f t="shared" si="241"/>
        <v>226057.5</v>
      </c>
      <c r="ER51" s="553">
        <f t="shared" si="241"/>
        <v>226057.5</v>
      </c>
      <c r="ES51" s="553">
        <f t="shared" si="241"/>
        <v>226057.5</v>
      </c>
      <c r="ET51" s="560">
        <f>SUM(EH51:ES51)</f>
        <v>2712690</v>
      </c>
      <c r="EU51" s="565"/>
    </row>
    <row r="52" spans="2:151" ht="10.5" customHeight="1" x14ac:dyDescent="0.35">
      <c r="B52" s="531"/>
      <c r="C52" s="531"/>
      <c r="I52" s="547">
        <v>2.2999999999999998</v>
      </c>
      <c r="J52" s="531" t="s">
        <v>494</v>
      </c>
      <c r="Y52" s="565"/>
      <c r="AL52" s="560"/>
      <c r="AM52" s="565"/>
      <c r="AU52" s="561"/>
      <c r="AZ52" s="560"/>
      <c r="BA52" s="565"/>
      <c r="BN52" s="560"/>
      <c r="BO52" s="565"/>
      <c r="BQ52" s="561"/>
      <c r="CB52" s="560"/>
      <c r="CC52" s="565"/>
      <c r="CK52" s="561"/>
      <c r="CP52" s="560"/>
      <c r="CQ52" s="565"/>
      <c r="DD52" s="560"/>
      <c r="DE52" s="565"/>
      <c r="DG52" s="561"/>
      <c r="DR52" s="560"/>
      <c r="DS52" s="565"/>
      <c r="EA52" s="561"/>
      <c r="EF52" s="560"/>
      <c r="EG52" s="565"/>
      <c r="ET52" s="560"/>
      <c r="EU52" s="565"/>
    </row>
    <row r="53" spans="2:151" ht="10.5" customHeight="1" x14ac:dyDescent="0.35">
      <c r="B53" s="531"/>
      <c r="C53" s="531"/>
      <c r="I53" s="536"/>
      <c r="J53" s="531" t="s">
        <v>9</v>
      </c>
      <c r="K53" s="531" t="s">
        <v>1061</v>
      </c>
      <c r="Y53" s="565"/>
      <c r="Z53" s="553">
        <f>Z48*$C$21*30</f>
        <v>24300</v>
      </c>
      <c r="AA53" s="553">
        <f>AA48*$C$21*30</f>
        <v>24300</v>
      </c>
      <c r="AL53" s="560">
        <f t="shared" ref="AL53:AL54" si="242">SUM(Z53:AK53)</f>
        <v>48600</v>
      </c>
      <c r="AM53" s="565"/>
      <c r="AN53" s="553"/>
      <c r="AO53" s="553"/>
      <c r="AT53" s="553">
        <f>AT48*$C$21*30</f>
        <v>24300</v>
      </c>
      <c r="AU53" s="562">
        <f>AU48*$C$21*30</f>
        <v>24300</v>
      </c>
      <c r="AZ53" s="560">
        <f t="shared" ref="AZ53:AZ54" si="243">SUM(AN53:AY53)</f>
        <v>48600</v>
      </c>
      <c r="BA53" s="565"/>
      <c r="BB53" s="553"/>
      <c r="BC53" s="553"/>
      <c r="BN53" s="560">
        <f t="shared" ref="BN53:BN54" si="244">SUM(BB53:BM53)</f>
        <v>0</v>
      </c>
      <c r="BO53" s="565"/>
      <c r="BP53" s="553">
        <f>BP48*$C$21*30</f>
        <v>24300</v>
      </c>
      <c r="BQ53" s="562">
        <f>BQ48*$C$21*30</f>
        <v>24300</v>
      </c>
      <c r="CB53" s="560">
        <f t="shared" ref="CB53:CB54" si="245">SUM(BP53:CA53)</f>
        <v>48600</v>
      </c>
      <c r="CC53" s="565"/>
      <c r="CD53" s="553"/>
      <c r="CE53" s="553"/>
      <c r="CJ53" s="553">
        <f>CJ48*$C$21*30</f>
        <v>24300</v>
      </c>
      <c r="CK53" s="562">
        <f>CK48*$C$21*30</f>
        <v>24300</v>
      </c>
      <c r="CP53" s="560">
        <f t="shared" ref="CP53:CP54" si="246">SUM(CD53:CO53)</f>
        <v>48600</v>
      </c>
      <c r="CQ53" s="565"/>
      <c r="CR53" s="553"/>
      <c r="CS53" s="553"/>
      <c r="CX53" s="553"/>
      <c r="CY53" s="553"/>
      <c r="DD53" s="560">
        <f t="shared" ref="DD53:DD54" si="247">SUM(CR53:DC53)</f>
        <v>0</v>
      </c>
      <c r="DE53" s="565"/>
      <c r="DF53" s="553">
        <f>DF48*$C$21*30</f>
        <v>24300</v>
      </c>
      <c r="DG53" s="562">
        <f>DG48*$C$21*30</f>
        <v>24300</v>
      </c>
      <c r="DR53" s="560">
        <f t="shared" ref="DR53:DR54" si="248">SUM(DF53:DQ53)</f>
        <v>48600</v>
      </c>
      <c r="DS53" s="565"/>
      <c r="DT53" s="553"/>
      <c r="DU53" s="553"/>
      <c r="DZ53" s="553">
        <f>DZ48*$C$21*30</f>
        <v>24300</v>
      </c>
      <c r="EA53" s="562">
        <f>EA48*$C$21*30</f>
        <v>24300</v>
      </c>
      <c r="EF53" s="560">
        <f t="shared" ref="EF53:EF54" si="249">SUM(DT53:EE53)</f>
        <v>48600</v>
      </c>
      <c r="EG53" s="565"/>
      <c r="EH53" s="553"/>
      <c r="EI53" s="553"/>
      <c r="EN53" s="553"/>
      <c r="EO53" s="553"/>
      <c r="ET53" s="560">
        <f t="shared" ref="ET53:ET54" si="250">SUM(EH53:ES53)</f>
        <v>0</v>
      </c>
      <c r="EU53" s="565"/>
    </row>
    <row r="54" spans="2:151" ht="10.5" customHeight="1" x14ac:dyDescent="0.35">
      <c r="B54" s="531"/>
      <c r="C54" s="531"/>
      <c r="I54" s="536"/>
      <c r="J54" s="531" t="s">
        <v>10</v>
      </c>
      <c r="K54" s="531" t="s">
        <v>1062</v>
      </c>
      <c r="Y54" s="565"/>
      <c r="Z54" s="553"/>
      <c r="AA54" s="553"/>
      <c r="AB54" s="553">
        <f>AB49*$C$22*30</f>
        <v>29254.5</v>
      </c>
      <c r="AC54" s="553">
        <f>AB54</f>
        <v>29254.5</v>
      </c>
      <c r="AD54" s="553">
        <f t="shared" ref="AD54:AK54" si="251">AC54</f>
        <v>29254.5</v>
      </c>
      <c r="AE54" s="553">
        <f t="shared" si="251"/>
        <v>29254.5</v>
      </c>
      <c r="AF54" s="553">
        <f t="shared" si="251"/>
        <v>29254.5</v>
      </c>
      <c r="AG54" s="553">
        <f t="shared" si="251"/>
        <v>29254.5</v>
      </c>
      <c r="AH54" s="553">
        <f t="shared" si="251"/>
        <v>29254.5</v>
      </c>
      <c r="AI54" s="553">
        <f t="shared" si="251"/>
        <v>29254.5</v>
      </c>
      <c r="AJ54" s="553">
        <f t="shared" si="251"/>
        <v>29254.5</v>
      </c>
      <c r="AK54" s="553">
        <f t="shared" si="251"/>
        <v>29254.5</v>
      </c>
      <c r="AL54" s="560">
        <f t="shared" si="242"/>
        <v>292545</v>
      </c>
      <c r="AM54" s="566"/>
      <c r="AN54" s="553">
        <f>AK54</f>
        <v>29254.5</v>
      </c>
      <c r="AO54" s="553">
        <f>AN54</f>
        <v>29254.5</v>
      </c>
      <c r="AP54" s="553">
        <f>AP49*$C$22*30</f>
        <v>29254.5</v>
      </c>
      <c r="AQ54" s="553">
        <f>AP54</f>
        <v>29254.5</v>
      </c>
      <c r="AR54" s="553">
        <f t="shared" ref="AR54:AY54" si="252">AQ54</f>
        <v>29254.5</v>
      </c>
      <c r="AS54" s="553">
        <f t="shared" si="252"/>
        <v>29254.5</v>
      </c>
      <c r="AT54" s="553">
        <f t="shared" si="252"/>
        <v>29254.5</v>
      </c>
      <c r="AU54" s="562">
        <f t="shared" si="252"/>
        <v>29254.5</v>
      </c>
      <c r="AV54" s="553">
        <f t="shared" si="252"/>
        <v>29254.5</v>
      </c>
      <c r="AW54" s="553">
        <f t="shared" si="252"/>
        <v>29254.5</v>
      </c>
      <c r="AX54" s="553">
        <f t="shared" si="252"/>
        <v>29254.5</v>
      </c>
      <c r="AY54" s="553">
        <f t="shared" si="252"/>
        <v>29254.5</v>
      </c>
      <c r="AZ54" s="560">
        <f t="shared" si="243"/>
        <v>351054</v>
      </c>
      <c r="BA54" s="566"/>
      <c r="BB54" s="553">
        <f>AY54</f>
        <v>29254.5</v>
      </c>
      <c r="BC54" s="553">
        <f>BB54</f>
        <v>29254.5</v>
      </c>
      <c r="BD54" s="553">
        <f>BD49*$C$22*30</f>
        <v>29254.5</v>
      </c>
      <c r="BE54" s="553">
        <f t="shared" ref="BE54:BM54" si="253">BE49*$C$22*30</f>
        <v>29254.5</v>
      </c>
      <c r="BF54" s="553">
        <f t="shared" si="253"/>
        <v>29254.5</v>
      </c>
      <c r="BG54" s="553">
        <f t="shared" si="253"/>
        <v>29254.5</v>
      </c>
      <c r="BH54" s="553">
        <f t="shared" si="253"/>
        <v>29254.5</v>
      </c>
      <c r="BI54" s="553">
        <f t="shared" si="253"/>
        <v>29254.5</v>
      </c>
      <c r="BJ54" s="553">
        <f t="shared" si="253"/>
        <v>29254.5</v>
      </c>
      <c r="BK54" s="553">
        <f t="shared" si="253"/>
        <v>29254.5</v>
      </c>
      <c r="BL54" s="553">
        <f t="shared" si="253"/>
        <v>29254.5</v>
      </c>
      <c r="BM54" s="553">
        <f t="shared" si="253"/>
        <v>29254.5</v>
      </c>
      <c r="BN54" s="560">
        <f t="shared" si="244"/>
        <v>351054</v>
      </c>
      <c r="BO54" s="566"/>
      <c r="BP54" s="553">
        <f>BM54</f>
        <v>29254.5</v>
      </c>
      <c r="BQ54" s="562">
        <f>BP54</f>
        <v>29254.5</v>
      </c>
      <c r="BR54" s="553">
        <f>BR49*$C$22*30</f>
        <v>29254.5</v>
      </c>
      <c r="BS54" s="553">
        <f t="shared" ref="BS54:CA54" si="254">BS49*$C$22*30</f>
        <v>29254.5</v>
      </c>
      <c r="BT54" s="553">
        <f t="shared" si="254"/>
        <v>29254.5</v>
      </c>
      <c r="BU54" s="553">
        <f t="shared" si="254"/>
        <v>29254.5</v>
      </c>
      <c r="BV54" s="553">
        <f t="shared" si="254"/>
        <v>29254.5</v>
      </c>
      <c r="BW54" s="553">
        <f t="shared" si="254"/>
        <v>29254.5</v>
      </c>
      <c r="BX54" s="553">
        <f t="shared" si="254"/>
        <v>29254.5</v>
      </c>
      <c r="BY54" s="553">
        <f t="shared" si="254"/>
        <v>29254.5</v>
      </c>
      <c r="BZ54" s="553">
        <f t="shared" si="254"/>
        <v>29254.5</v>
      </c>
      <c r="CA54" s="553">
        <f t="shared" si="254"/>
        <v>29254.5</v>
      </c>
      <c r="CB54" s="560">
        <f t="shared" si="245"/>
        <v>351054</v>
      </c>
      <c r="CC54" s="566"/>
      <c r="CD54" s="553">
        <f>CA54</f>
        <v>29254.5</v>
      </c>
      <c r="CE54" s="553">
        <f>CD54</f>
        <v>29254.5</v>
      </c>
      <c r="CF54" s="553">
        <f>CF49*$C$22*30</f>
        <v>29254.5</v>
      </c>
      <c r="CG54" s="553">
        <f>CF54</f>
        <v>29254.5</v>
      </c>
      <c r="CH54" s="553">
        <f t="shared" ref="CH54:CO54" si="255">CG54</f>
        <v>29254.5</v>
      </c>
      <c r="CI54" s="553">
        <f t="shared" si="255"/>
        <v>29254.5</v>
      </c>
      <c r="CJ54" s="553">
        <f t="shared" si="255"/>
        <v>29254.5</v>
      </c>
      <c r="CK54" s="562">
        <f t="shared" si="255"/>
        <v>29254.5</v>
      </c>
      <c r="CL54" s="553">
        <f t="shared" si="255"/>
        <v>29254.5</v>
      </c>
      <c r="CM54" s="553">
        <f t="shared" si="255"/>
        <v>29254.5</v>
      </c>
      <c r="CN54" s="553">
        <f t="shared" si="255"/>
        <v>29254.5</v>
      </c>
      <c r="CO54" s="553">
        <f t="shared" si="255"/>
        <v>29254.5</v>
      </c>
      <c r="CP54" s="560">
        <f t="shared" si="246"/>
        <v>351054</v>
      </c>
      <c r="CQ54" s="566"/>
      <c r="CR54" s="553">
        <f>CO54</f>
        <v>29254.5</v>
      </c>
      <c r="CS54" s="553">
        <f>CR54</f>
        <v>29254.5</v>
      </c>
      <c r="CT54" s="553">
        <f>CT49*$C$22*30</f>
        <v>29254.5</v>
      </c>
      <c r="CU54" s="553">
        <f>CT54</f>
        <v>29254.5</v>
      </c>
      <c r="CV54" s="553">
        <f t="shared" ref="CV54:DC54" si="256">CU54</f>
        <v>29254.5</v>
      </c>
      <c r="CW54" s="553">
        <f t="shared" si="256"/>
        <v>29254.5</v>
      </c>
      <c r="CX54" s="553">
        <f t="shared" si="256"/>
        <v>29254.5</v>
      </c>
      <c r="CY54" s="553">
        <f t="shared" si="256"/>
        <v>29254.5</v>
      </c>
      <c r="CZ54" s="553">
        <f t="shared" si="256"/>
        <v>29254.5</v>
      </c>
      <c r="DA54" s="553">
        <f t="shared" si="256"/>
        <v>29254.5</v>
      </c>
      <c r="DB54" s="553">
        <f t="shared" si="256"/>
        <v>29254.5</v>
      </c>
      <c r="DC54" s="553">
        <f t="shared" si="256"/>
        <v>29254.5</v>
      </c>
      <c r="DD54" s="560">
        <f t="shared" si="247"/>
        <v>351054</v>
      </c>
      <c r="DE54" s="566"/>
      <c r="DF54" s="553">
        <f>DC54</f>
        <v>29254.5</v>
      </c>
      <c r="DG54" s="562">
        <f t="shared" ref="DG54:DH54" si="257">DF54</f>
        <v>29254.5</v>
      </c>
      <c r="DH54" s="553">
        <f t="shared" si="257"/>
        <v>29254.5</v>
      </c>
      <c r="DI54" s="553">
        <f t="shared" ref="DI54:DQ54" si="258">DI49*$C$22*30</f>
        <v>29254.5</v>
      </c>
      <c r="DJ54" s="553">
        <f t="shared" si="258"/>
        <v>29254.5</v>
      </c>
      <c r="DK54" s="553">
        <f t="shared" si="258"/>
        <v>29254.5</v>
      </c>
      <c r="DL54" s="553">
        <f t="shared" si="258"/>
        <v>29254.5</v>
      </c>
      <c r="DM54" s="553">
        <f t="shared" si="258"/>
        <v>29254.5</v>
      </c>
      <c r="DN54" s="553">
        <f t="shared" si="258"/>
        <v>29254.5</v>
      </c>
      <c r="DO54" s="553">
        <f t="shared" si="258"/>
        <v>29254.5</v>
      </c>
      <c r="DP54" s="553">
        <f t="shared" si="258"/>
        <v>29254.5</v>
      </c>
      <c r="DQ54" s="553">
        <f t="shared" si="258"/>
        <v>29254.5</v>
      </c>
      <c r="DR54" s="560">
        <f t="shared" si="248"/>
        <v>351054</v>
      </c>
      <c r="DS54" s="566"/>
      <c r="DT54" s="553">
        <f>DQ54</f>
        <v>29254.5</v>
      </c>
      <c r="DU54" s="553">
        <f>DT54</f>
        <v>29254.5</v>
      </c>
      <c r="DV54" s="553">
        <f>DV49*$C$22*30</f>
        <v>29254.5</v>
      </c>
      <c r="DW54" s="553">
        <f>DV54</f>
        <v>29254.5</v>
      </c>
      <c r="DX54" s="553">
        <f t="shared" ref="DX54:EE54" si="259">DW54</f>
        <v>29254.5</v>
      </c>
      <c r="DY54" s="553">
        <f t="shared" si="259"/>
        <v>29254.5</v>
      </c>
      <c r="DZ54" s="553">
        <f t="shared" si="259"/>
        <v>29254.5</v>
      </c>
      <c r="EA54" s="562">
        <f t="shared" si="259"/>
        <v>29254.5</v>
      </c>
      <c r="EB54" s="553">
        <f t="shared" si="259"/>
        <v>29254.5</v>
      </c>
      <c r="EC54" s="553">
        <f t="shared" si="259"/>
        <v>29254.5</v>
      </c>
      <c r="ED54" s="553">
        <f t="shared" si="259"/>
        <v>29254.5</v>
      </c>
      <c r="EE54" s="553">
        <f t="shared" si="259"/>
        <v>29254.5</v>
      </c>
      <c r="EF54" s="560">
        <f t="shared" si="249"/>
        <v>351054</v>
      </c>
      <c r="EG54" s="566"/>
      <c r="EH54" s="553">
        <f>EE54</f>
        <v>29254.5</v>
      </c>
      <c r="EI54" s="553">
        <f>EH54</f>
        <v>29254.5</v>
      </c>
      <c r="EJ54" s="553">
        <f>EJ49*$C$22*30</f>
        <v>29254.5</v>
      </c>
      <c r="EK54" s="553">
        <f>EJ54</f>
        <v>29254.5</v>
      </c>
      <c r="EL54" s="553">
        <f t="shared" ref="EL54:ES54" si="260">EK54</f>
        <v>29254.5</v>
      </c>
      <c r="EM54" s="553">
        <f t="shared" si="260"/>
        <v>29254.5</v>
      </c>
      <c r="EN54" s="553">
        <f t="shared" si="260"/>
        <v>29254.5</v>
      </c>
      <c r="EO54" s="553">
        <f t="shared" si="260"/>
        <v>29254.5</v>
      </c>
      <c r="EP54" s="553">
        <f t="shared" si="260"/>
        <v>29254.5</v>
      </c>
      <c r="EQ54" s="553">
        <f t="shared" si="260"/>
        <v>29254.5</v>
      </c>
      <c r="ER54" s="553">
        <f t="shared" si="260"/>
        <v>29254.5</v>
      </c>
      <c r="ES54" s="553">
        <f t="shared" si="260"/>
        <v>29254.5</v>
      </c>
      <c r="ET54" s="560">
        <f t="shared" si="250"/>
        <v>351054</v>
      </c>
      <c r="EU54" s="566"/>
    </row>
    <row r="55" spans="2:151" ht="10.5" customHeight="1" x14ac:dyDescent="0.35">
      <c r="B55" s="531"/>
      <c r="C55" s="531"/>
      <c r="I55" s="547">
        <v>2.4</v>
      </c>
      <c r="J55" s="531" t="s">
        <v>667</v>
      </c>
      <c r="Y55" s="565"/>
      <c r="AL55" s="560"/>
      <c r="AM55" s="565"/>
      <c r="AU55" s="561"/>
      <c r="AZ55" s="560"/>
      <c r="BA55" s="565"/>
      <c r="BB55" s="553"/>
      <c r="BN55" s="560"/>
      <c r="BO55" s="565"/>
      <c r="BP55" s="553"/>
      <c r="BQ55" s="561"/>
      <c r="CB55" s="560"/>
      <c r="CC55" s="565"/>
      <c r="CK55" s="561"/>
      <c r="CP55" s="560"/>
      <c r="CQ55" s="565"/>
      <c r="DD55" s="560"/>
      <c r="DE55" s="565"/>
      <c r="DG55" s="561"/>
      <c r="DR55" s="560"/>
      <c r="DS55" s="565"/>
      <c r="EA55" s="561"/>
      <c r="EF55" s="560"/>
      <c r="EG55" s="565"/>
      <c r="ET55" s="560"/>
      <c r="EU55" s="565"/>
    </row>
    <row r="56" spans="2:151" ht="10.5" customHeight="1" x14ac:dyDescent="0.35">
      <c r="B56" s="531"/>
      <c r="C56" s="531"/>
      <c r="I56" s="536"/>
      <c r="J56" s="531" t="s">
        <v>9</v>
      </c>
      <c r="K56" s="531" t="s">
        <v>1063</v>
      </c>
      <c r="Y56" s="565"/>
      <c r="Z56" s="553">
        <f>(Z53+Z54)*$C$24</f>
        <v>11421</v>
      </c>
      <c r="AA56" s="553">
        <f t="shared" ref="AA56:AK56" si="261">(AA53+AA54)*$C$24</f>
        <v>11421</v>
      </c>
      <c r="AB56" s="553">
        <f t="shared" si="261"/>
        <v>13749.615</v>
      </c>
      <c r="AC56" s="553">
        <f t="shared" si="261"/>
        <v>13749.615</v>
      </c>
      <c r="AD56" s="553">
        <f t="shared" si="261"/>
        <v>13749.615</v>
      </c>
      <c r="AE56" s="553">
        <f t="shared" si="261"/>
        <v>13749.615</v>
      </c>
      <c r="AF56" s="553">
        <f t="shared" si="261"/>
        <v>13749.615</v>
      </c>
      <c r="AG56" s="553">
        <f t="shared" si="261"/>
        <v>13749.615</v>
      </c>
      <c r="AH56" s="553">
        <f t="shared" si="261"/>
        <v>13749.615</v>
      </c>
      <c r="AI56" s="553">
        <f t="shared" si="261"/>
        <v>13749.615</v>
      </c>
      <c r="AJ56" s="553">
        <f t="shared" si="261"/>
        <v>13749.615</v>
      </c>
      <c r="AK56" s="553">
        <f t="shared" si="261"/>
        <v>13749.615</v>
      </c>
      <c r="AL56" s="560">
        <f t="shared" ref="AL56:AL64" si="262">SUM(Z56:AK56)</f>
        <v>160338.15</v>
      </c>
      <c r="AM56" s="565"/>
      <c r="AN56" s="553">
        <f t="shared" ref="AN56:AY56" si="263">(AN53+AN54)*$C$24</f>
        <v>13749.615</v>
      </c>
      <c r="AO56" s="553">
        <f t="shared" si="263"/>
        <v>13749.615</v>
      </c>
      <c r="AP56" s="553">
        <f t="shared" si="263"/>
        <v>13749.615</v>
      </c>
      <c r="AQ56" s="553">
        <f t="shared" si="263"/>
        <v>13749.615</v>
      </c>
      <c r="AR56" s="553">
        <f t="shared" si="263"/>
        <v>13749.615</v>
      </c>
      <c r="AS56" s="553">
        <f t="shared" si="263"/>
        <v>13749.615</v>
      </c>
      <c r="AT56" s="553">
        <f t="shared" si="263"/>
        <v>25170.614999999998</v>
      </c>
      <c r="AU56" s="562">
        <f t="shared" si="263"/>
        <v>25170.614999999998</v>
      </c>
      <c r="AV56" s="553">
        <f t="shared" si="263"/>
        <v>13749.615</v>
      </c>
      <c r="AW56" s="553">
        <f t="shared" si="263"/>
        <v>13749.615</v>
      </c>
      <c r="AX56" s="553">
        <f t="shared" si="263"/>
        <v>13749.615</v>
      </c>
      <c r="AY56" s="553">
        <f t="shared" si="263"/>
        <v>13749.615</v>
      </c>
      <c r="AZ56" s="560">
        <f t="shared" ref="AZ56:AZ64" si="264">SUM(AN56:AY56)</f>
        <v>187837.37999999995</v>
      </c>
      <c r="BA56" s="565"/>
      <c r="BB56" s="553">
        <f t="shared" ref="BB56:BM56" si="265">(BB53+BB54)*$C$24</f>
        <v>13749.615</v>
      </c>
      <c r="BC56" s="553">
        <f t="shared" si="265"/>
        <v>13749.615</v>
      </c>
      <c r="BD56" s="553">
        <f t="shared" si="265"/>
        <v>13749.615</v>
      </c>
      <c r="BE56" s="553">
        <f t="shared" si="265"/>
        <v>13749.615</v>
      </c>
      <c r="BF56" s="553">
        <f t="shared" si="265"/>
        <v>13749.615</v>
      </c>
      <c r="BG56" s="553">
        <f t="shared" si="265"/>
        <v>13749.615</v>
      </c>
      <c r="BH56" s="553">
        <f t="shared" si="265"/>
        <v>13749.615</v>
      </c>
      <c r="BI56" s="553">
        <f t="shared" si="265"/>
        <v>13749.615</v>
      </c>
      <c r="BJ56" s="553">
        <f t="shared" si="265"/>
        <v>13749.615</v>
      </c>
      <c r="BK56" s="553">
        <f t="shared" si="265"/>
        <v>13749.615</v>
      </c>
      <c r="BL56" s="553">
        <f t="shared" si="265"/>
        <v>13749.615</v>
      </c>
      <c r="BM56" s="553">
        <f t="shared" si="265"/>
        <v>13749.615</v>
      </c>
      <c r="BN56" s="560">
        <f t="shared" ref="BN56:BN64" si="266">SUM(BB56:BM56)</f>
        <v>164995.38</v>
      </c>
      <c r="BO56" s="565"/>
      <c r="BP56" s="553">
        <f t="shared" ref="BP56:CA56" si="267">(BP53+BP54)*$C$24</f>
        <v>25170.614999999998</v>
      </c>
      <c r="BQ56" s="562">
        <f t="shared" si="267"/>
        <v>25170.614999999998</v>
      </c>
      <c r="BR56" s="553">
        <f t="shared" si="267"/>
        <v>13749.615</v>
      </c>
      <c r="BS56" s="553">
        <f t="shared" si="267"/>
        <v>13749.615</v>
      </c>
      <c r="BT56" s="553">
        <f t="shared" si="267"/>
        <v>13749.615</v>
      </c>
      <c r="BU56" s="553">
        <f t="shared" si="267"/>
        <v>13749.615</v>
      </c>
      <c r="BV56" s="553">
        <f t="shared" si="267"/>
        <v>13749.615</v>
      </c>
      <c r="BW56" s="553">
        <f t="shared" si="267"/>
        <v>13749.615</v>
      </c>
      <c r="BX56" s="553">
        <f t="shared" si="267"/>
        <v>13749.615</v>
      </c>
      <c r="BY56" s="553">
        <f t="shared" si="267"/>
        <v>13749.615</v>
      </c>
      <c r="BZ56" s="553">
        <f t="shared" si="267"/>
        <v>13749.615</v>
      </c>
      <c r="CA56" s="553">
        <f t="shared" si="267"/>
        <v>13749.615</v>
      </c>
      <c r="CB56" s="560">
        <f t="shared" ref="CB56:CB64" si="268">SUM(BP56:CA56)</f>
        <v>187837.37999999998</v>
      </c>
      <c r="CC56" s="565"/>
      <c r="CD56" s="553">
        <f t="shared" ref="CD56:CO56" si="269">(CD53+CD54)*$C$24</f>
        <v>13749.615</v>
      </c>
      <c r="CE56" s="553">
        <f t="shared" si="269"/>
        <v>13749.615</v>
      </c>
      <c r="CF56" s="553">
        <f t="shared" si="269"/>
        <v>13749.615</v>
      </c>
      <c r="CG56" s="553">
        <f t="shared" si="269"/>
        <v>13749.615</v>
      </c>
      <c r="CH56" s="553">
        <f t="shared" si="269"/>
        <v>13749.615</v>
      </c>
      <c r="CI56" s="553">
        <f t="shared" si="269"/>
        <v>13749.615</v>
      </c>
      <c r="CJ56" s="553">
        <f t="shared" si="269"/>
        <v>25170.614999999998</v>
      </c>
      <c r="CK56" s="562">
        <f t="shared" si="269"/>
        <v>25170.614999999998</v>
      </c>
      <c r="CL56" s="553">
        <f t="shared" si="269"/>
        <v>13749.615</v>
      </c>
      <c r="CM56" s="553">
        <f t="shared" si="269"/>
        <v>13749.615</v>
      </c>
      <c r="CN56" s="553">
        <f t="shared" si="269"/>
        <v>13749.615</v>
      </c>
      <c r="CO56" s="553">
        <f t="shared" si="269"/>
        <v>13749.615</v>
      </c>
      <c r="CP56" s="560">
        <f t="shared" ref="CP56:CP64" si="270">SUM(CD56:CO56)</f>
        <v>187837.37999999995</v>
      </c>
      <c r="CQ56" s="565"/>
      <c r="CR56" s="553">
        <f t="shared" ref="CR56:DC56" si="271">(CR53+CR54)*$C$24</f>
        <v>13749.615</v>
      </c>
      <c r="CS56" s="553">
        <f t="shared" si="271"/>
        <v>13749.615</v>
      </c>
      <c r="CT56" s="553">
        <f t="shared" si="271"/>
        <v>13749.615</v>
      </c>
      <c r="CU56" s="553">
        <f t="shared" si="271"/>
        <v>13749.615</v>
      </c>
      <c r="CV56" s="553">
        <f t="shared" si="271"/>
        <v>13749.615</v>
      </c>
      <c r="CW56" s="553">
        <f t="shared" si="271"/>
        <v>13749.615</v>
      </c>
      <c r="CX56" s="553">
        <f t="shared" si="271"/>
        <v>13749.615</v>
      </c>
      <c r="CY56" s="553">
        <f t="shared" si="271"/>
        <v>13749.615</v>
      </c>
      <c r="CZ56" s="553">
        <f t="shared" si="271"/>
        <v>13749.615</v>
      </c>
      <c r="DA56" s="553">
        <f t="shared" si="271"/>
        <v>13749.615</v>
      </c>
      <c r="DB56" s="553">
        <f t="shared" si="271"/>
        <v>13749.615</v>
      </c>
      <c r="DC56" s="553">
        <f t="shared" si="271"/>
        <v>13749.615</v>
      </c>
      <c r="DD56" s="560">
        <f t="shared" ref="DD56:DD64" si="272">SUM(CR56:DC56)</f>
        <v>164995.38</v>
      </c>
      <c r="DE56" s="565"/>
      <c r="DF56" s="553">
        <f t="shared" ref="DF56:DQ56" si="273">(DF53+DF54)*$C$24</f>
        <v>25170.614999999998</v>
      </c>
      <c r="DG56" s="562">
        <f t="shared" si="273"/>
        <v>25170.614999999998</v>
      </c>
      <c r="DH56" s="553">
        <f t="shared" si="273"/>
        <v>13749.615</v>
      </c>
      <c r="DI56" s="553">
        <f t="shared" si="273"/>
        <v>13749.615</v>
      </c>
      <c r="DJ56" s="553">
        <f t="shared" si="273"/>
        <v>13749.615</v>
      </c>
      <c r="DK56" s="553">
        <f t="shared" si="273"/>
        <v>13749.615</v>
      </c>
      <c r="DL56" s="553">
        <f t="shared" si="273"/>
        <v>13749.615</v>
      </c>
      <c r="DM56" s="553">
        <f t="shared" si="273"/>
        <v>13749.615</v>
      </c>
      <c r="DN56" s="553">
        <f t="shared" si="273"/>
        <v>13749.615</v>
      </c>
      <c r="DO56" s="553">
        <f t="shared" si="273"/>
        <v>13749.615</v>
      </c>
      <c r="DP56" s="553">
        <f t="shared" si="273"/>
        <v>13749.615</v>
      </c>
      <c r="DQ56" s="553">
        <f t="shared" si="273"/>
        <v>13749.615</v>
      </c>
      <c r="DR56" s="560">
        <f t="shared" ref="DR56:DR64" si="274">SUM(DF56:DQ56)</f>
        <v>187837.37999999998</v>
      </c>
      <c r="DS56" s="565"/>
      <c r="DT56" s="553">
        <f t="shared" ref="DT56:EE56" si="275">(DT53+DT54)*$C$24</f>
        <v>13749.615</v>
      </c>
      <c r="DU56" s="553">
        <f t="shared" si="275"/>
        <v>13749.615</v>
      </c>
      <c r="DV56" s="553">
        <f t="shared" si="275"/>
        <v>13749.615</v>
      </c>
      <c r="DW56" s="553">
        <f t="shared" si="275"/>
        <v>13749.615</v>
      </c>
      <c r="DX56" s="553">
        <f t="shared" si="275"/>
        <v>13749.615</v>
      </c>
      <c r="DY56" s="553">
        <f t="shared" si="275"/>
        <v>13749.615</v>
      </c>
      <c r="DZ56" s="553">
        <f t="shared" si="275"/>
        <v>25170.614999999998</v>
      </c>
      <c r="EA56" s="562">
        <f t="shared" si="275"/>
        <v>25170.614999999998</v>
      </c>
      <c r="EB56" s="553">
        <f t="shared" si="275"/>
        <v>13749.615</v>
      </c>
      <c r="EC56" s="553">
        <f t="shared" si="275"/>
        <v>13749.615</v>
      </c>
      <c r="ED56" s="553">
        <f t="shared" si="275"/>
        <v>13749.615</v>
      </c>
      <c r="EE56" s="553">
        <f t="shared" si="275"/>
        <v>13749.615</v>
      </c>
      <c r="EF56" s="560">
        <f t="shared" ref="EF56:EF64" si="276">SUM(DT56:EE56)</f>
        <v>187837.37999999995</v>
      </c>
      <c r="EG56" s="565"/>
      <c r="EH56" s="553">
        <f t="shared" ref="EH56:ES56" si="277">(EH53+EH54)*$C$24</f>
        <v>13749.615</v>
      </c>
      <c r="EI56" s="553">
        <f t="shared" si="277"/>
        <v>13749.615</v>
      </c>
      <c r="EJ56" s="553">
        <f t="shared" si="277"/>
        <v>13749.615</v>
      </c>
      <c r="EK56" s="553">
        <f t="shared" si="277"/>
        <v>13749.615</v>
      </c>
      <c r="EL56" s="553">
        <f t="shared" si="277"/>
        <v>13749.615</v>
      </c>
      <c r="EM56" s="553">
        <f t="shared" si="277"/>
        <v>13749.615</v>
      </c>
      <c r="EN56" s="553">
        <f t="shared" si="277"/>
        <v>13749.615</v>
      </c>
      <c r="EO56" s="553">
        <f t="shared" si="277"/>
        <v>13749.615</v>
      </c>
      <c r="EP56" s="553">
        <f t="shared" si="277"/>
        <v>13749.615</v>
      </c>
      <c r="EQ56" s="553">
        <f t="shared" si="277"/>
        <v>13749.615</v>
      </c>
      <c r="ER56" s="553">
        <f t="shared" si="277"/>
        <v>13749.615</v>
      </c>
      <c r="ES56" s="553">
        <f t="shared" si="277"/>
        <v>13749.615</v>
      </c>
      <c r="ET56" s="560">
        <f t="shared" ref="ET56:ET64" si="278">SUM(EH56:ES56)</f>
        <v>164995.38</v>
      </c>
      <c r="EU56" s="565"/>
    </row>
    <row r="57" spans="2:151" ht="10.5" customHeight="1" x14ac:dyDescent="0.35">
      <c r="B57" s="531"/>
      <c r="C57" s="531"/>
      <c r="I57" s="536"/>
      <c r="J57" s="531" t="s">
        <v>10</v>
      </c>
      <c r="K57" s="531" t="s">
        <v>1064</v>
      </c>
      <c r="Y57" s="565"/>
      <c r="Z57" s="553">
        <f>(Z53+Z54)*$C$25</f>
        <v>3280.5</v>
      </c>
      <c r="AA57" s="553">
        <f t="shared" ref="AA57:AK57" si="279">(AA53+AA54)*$C$25</f>
        <v>3280.5</v>
      </c>
      <c r="AB57" s="553">
        <f t="shared" si="279"/>
        <v>3949.3575000000001</v>
      </c>
      <c r="AC57" s="553">
        <f t="shared" si="279"/>
        <v>3949.3575000000001</v>
      </c>
      <c r="AD57" s="553">
        <f t="shared" si="279"/>
        <v>3949.3575000000001</v>
      </c>
      <c r="AE57" s="553">
        <f t="shared" si="279"/>
        <v>3949.3575000000001</v>
      </c>
      <c r="AF57" s="553">
        <f t="shared" si="279"/>
        <v>3949.3575000000001</v>
      </c>
      <c r="AG57" s="553">
        <f t="shared" si="279"/>
        <v>3949.3575000000001</v>
      </c>
      <c r="AH57" s="553">
        <f t="shared" si="279"/>
        <v>3949.3575000000001</v>
      </c>
      <c r="AI57" s="553">
        <f t="shared" si="279"/>
        <v>3949.3575000000001</v>
      </c>
      <c r="AJ57" s="553">
        <f t="shared" si="279"/>
        <v>3949.3575000000001</v>
      </c>
      <c r="AK57" s="553">
        <f t="shared" si="279"/>
        <v>3949.3575000000001</v>
      </c>
      <c r="AL57" s="560">
        <f t="shared" si="262"/>
        <v>46054.57499999999</v>
      </c>
      <c r="AM57" s="565"/>
      <c r="AN57" s="553">
        <f t="shared" ref="AN57:AY57" si="280">(AN53+AN54)*$C$25</f>
        <v>3949.3575000000001</v>
      </c>
      <c r="AO57" s="553">
        <f t="shared" si="280"/>
        <v>3949.3575000000001</v>
      </c>
      <c r="AP57" s="553">
        <f t="shared" si="280"/>
        <v>3949.3575000000001</v>
      </c>
      <c r="AQ57" s="553">
        <f t="shared" si="280"/>
        <v>3949.3575000000001</v>
      </c>
      <c r="AR57" s="553">
        <f t="shared" si="280"/>
        <v>3949.3575000000001</v>
      </c>
      <c r="AS57" s="553">
        <f t="shared" si="280"/>
        <v>3949.3575000000001</v>
      </c>
      <c r="AT57" s="553">
        <f t="shared" si="280"/>
        <v>7229.8575000000001</v>
      </c>
      <c r="AU57" s="562">
        <f t="shared" si="280"/>
        <v>7229.8575000000001</v>
      </c>
      <c r="AV57" s="553">
        <f t="shared" si="280"/>
        <v>3949.3575000000001</v>
      </c>
      <c r="AW57" s="553">
        <f t="shared" si="280"/>
        <v>3949.3575000000001</v>
      </c>
      <c r="AX57" s="553">
        <f t="shared" si="280"/>
        <v>3949.3575000000001</v>
      </c>
      <c r="AY57" s="553">
        <f t="shared" si="280"/>
        <v>3949.3575000000001</v>
      </c>
      <c r="AZ57" s="560">
        <f t="shared" si="264"/>
        <v>53953.289999999986</v>
      </c>
      <c r="BA57" s="565"/>
      <c r="BB57" s="553">
        <f t="shared" ref="BB57:BM57" si="281">(BB53+BB54)*$C$25</f>
        <v>3949.3575000000001</v>
      </c>
      <c r="BC57" s="553">
        <f t="shared" si="281"/>
        <v>3949.3575000000001</v>
      </c>
      <c r="BD57" s="553">
        <f t="shared" si="281"/>
        <v>3949.3575000000001</v>
      </c>
      <c r="BE57" s="553">
        <f t="shared" si="281"/>
        <v>3949.3575000000001</v>
      </c>
      <c r="BF57" s="553">
        <f t="shared" si="281"/>
        <v>3949.3575000000001</v>
      </c>
      <c r="BG57" s="553">
        <f t="shared" si="281"/>
        <v>3949.3575000000001</v>
      </c>
      <c r="BH57" s="553">
        <f t="shared" si="281"/>
        <v>3949.3575000000001</v>
      </c>
      <c r="BI57" s="553">
        <f t="shared" si="281"/>
        <v>3949.3575000000001</v>
      </c>
      <c r="BJ57" s="553">
        <f t="shared" si="281"/>
        <v>3949.3575000000001</v>
      </c>
      <c r="BK57" s="553">
        <f t="shared" si="281"/>
        <v>3949.3575000000001</v>
      </c>
      <c r="BL57" s="553">
        <f t="shared" si="281"/>
        <v>3949.3575000000001</v>
      </c>
      <c r="BM57" s="553">
        <f t="shared" si="281"/>
        <v>3949.3575000000001</v>
      </c>
      <c r="BN57" s="560">
        <f t="shared" si="266"/>
        <v>47392.289999999986</v>
      </c>
      <c r="BO57" s="565"/>
      <c r="BP57" s="553">
        <f t="shared" ref="BP57:CA57" si="282">(BP53+BP54)*$C$25</f>
        <v>7229.8575000000001</v>
      </c>
      <c r="BQ57" s="562">
        <f t="shared" si="282"/>
        <v>7229.8575000000001</v>
      </c>
      <c r="BR57" s="553">
        <f t="shared" si="282"/>
        <v>3949.3575000000001</v>
      </c>
      <c r="BS57" s="553">
        <f t="shared" si="282"/>
        <v>3949.3575000000001</v>
      </c>
      <c r="BT57" s="553">
        <f t="shared" si="282"/>
        <v>3949.3575000000001</v>
      </c>
      <c r="BU57" s="553">
        <f t="shared" si="282"/>
        <v>3949.3575000000001</v>
      </c>
      <c r="BV57" s="553">
        <f t="shared" si="282"/>
        <v>3949.3575000000001</v>
      </c>
      <c r="BW57" s="553">
        <f t="shared" si="282"/>
        <v>3949.3575000000001</v>
      </c>
      <c r="BX57" s="553">
        <f t="shared" si="282"/>
        <v>3949.3575000000001</v>
      </c>
      <c r="BY57" s="553">
        <f t="shared" si="282"/>
        <v>3949.3575000000001</v>
      </c>
      <c r="BZ57" s="553">
        <f t="shared" si="282"/>
        <v>3949.3575000000001</v>
      </c>
      <c r="CA57" s="553">
        <f t="shared" si="282"/>
        <v>3949.3575000000001</v>
      </c>
      <c r="CB57" s="560">
        <f t="shared" si="268"/>
        <v>53953.289999999986</v>
      </c>
      <c r="CC57" s="565"/>
      <c r="CD57" s="553">
        <f t="shared" ref="CD57:CO57" si="283">(CD53+CD54)*$C$25</f>
        <v>3949.3575000000001</v>
      </c>
      <c r="CE57" s="553">
        <f t="shared" si="283"/>
        <v>3949.3575000000001</v>
      </c>
      <c r="CF57" s="553">
        <f t="shared" si="283"/>
        <v>3949.3575000000001</v>
      </c>
      <c r="CG57" s="553">
        <f t="shared" si="283"/>
        <v>3949.3575000000001</v>
      </c>
      <c r="CH57" s="553">
        <f t="shared" si="283"/>
        <v>3949.3575000000001</v>
      </c>
      <c r="CI57" s="553">
        <f t="shared" si="283"/>
        <v>3949.3575000000001</v>
      </c>
      <c r="CJ57" s="553">
        <f t="shared" si="283"/>
        <v>7229.8575000000001</v>
      </c>
      <c r="CK57" s="562">
        <f t="shared" si="283"/>
        <v>7229.8575000000001</v>
      </c>
      <c r="CL57" s="553">
        <f t="shared" si="283"/>
        <v>3949.3575000000001</v>
      </c>
      <c r="CM57" s="553">
        <f t="shared" si="283"/>
        <v>3949.3575000000001</v>
      </c>
      <c r="CN57" s="553">
        <f t="shared" si="283"/>
        <v>3949.3575000000001</v>
      </c>
      <c r="CO57" s="553">
        <f t="shared" si="283"/>
        <v>3949.3575000000001</v>
      </c>
      <c r="CP57" s="560">
        <f t="shared" si="270"/>
        <v>53953.289999999986</v>
      </c>
      <c r="CQ57" s="565"/>
      <c r="CR57" s="553">
        <f t="shared" ref="CR57:DC57" si="284">(CR53+CR54)*$C$25</f>
        <v>3949.3575000000001</v>
      </c>
      <c r="CS57" s="553">
        <f t="shared" si="284"/>
        <v>3949.3575000000001</v>
      </c>
      <c r="CT57" s="553">
        <f t="shared" si="284"/>
        <v>3949.3575000000001</v>
      </c>
      <c r="CU57" s="553">
        <f t="shared" si="284"/>
        <v>3949.3575000000001</v>
      </c>
      <c r="CV57" s="553">
        <f t="shared" si="284"/>
        <v>3949.3575000000001</v>
      </c>
      <c r="CW57" s="553">
        <f t="shared" si="284"/>
        <v>3949.3575000000001</v>
      </c>
      <c r="CX57" s="553">
        <f t="shared" si="284"/>
        <v>3949.3575000000001</v>
      </c>
      <c r="CY57" s="553">
        <f t="shared" si="284"/>
        <v>3949.3575000000001</v>
      </c>
      <c r="CZ57" s="553">
        <f t="shared" si="284"/>
        <v>3949.3575000000001</v>
      </c>
      <c r="DA57" s="553">
        <f t="shared" si="284"/>
        <v>3949.3575000000001</v>
      </c>
      <c r="DB57" s="553">
        <f t="shared" si="284"/>
        <v>3949.3575000000001</v>
      </c>
      <c r="DC57" s="553">
        <f t="shared" si="284"/>
        <v>3949.3575000000001</v>
      </c>
      <c r="DD57" s="560">
        <f t="shared" si="272"/>
        <v>47392.289999999986</v>
      </c>
      <c r="DE57" s="565"/>
      <c r="DF57" s="553">
        <f t="shared" ref="DF57:DQ57" si="285">(DF53+DF54)*$C$25</f>
        <v>7229.8575000000001</v>
      </c>
      <c r="DG57" s="562">
        <f t="shared" si="285"/>
        <v>7229.8575000000001</v>
      </c>
      <c r="DH57" s="553">
        <f t="shared" si="285"/>
        <v>3949.3575000000001</v>
      </c>
      <c r="DI57" s="553">
        <f t="shared" si="285"/>
        <v>3949.3575000000001</v>
      </c>
      <c r="DJ57" s="553">
        <f t="shared" si="285"/>
        <v>3949.3575000000001</v>
      </c>
      <c r="DK57" s="553">
        <f t="shared" si="285"/>
        <v>3949.3575000000001</v>
      </c>
      <c r="DL57" s="553">
        <f t="shared" si="285"/>
        <v>3949.3575000000001</v>
      </c>
      <c r="DM57" s="553">
        <f t="shared" si="285"/>
        <v>3949.3575000000001</v>
      </c>
      <c r="DN57" s="553">
        <f t="shared" si="285"/>
        <v>3949.3575000000001</v>
      </c>
      <c r="DO57" s="553">
        <f t="shared" si="285"/>
        <v>3949.3575000000001</v>
      </c>
      <c r="DP57" s="553">
        <f t="shared" si="285"/>
        <v>3949.3575000000001</v>
      </c>
      <c r="DQ57" s="553">
        <f t="shared" si="285"/>
        <v>3949.3575000000001</v>
      </c>
      <c r="DR57" s="560">
        <f t="shared" si="274"/>
        <v>53953.289999999986</v>
      </c>
      <c r="DS57" s="565"/>
      <c r="DT57" s="553">
        <f t="shared" ref="DT57:EE57" si="286">(DT53+DT54)*$C$25</f>
        <v>3949.3575000000001</v>
      </c>
      <c r="DU57" s="553">
        <f t="shared" si="286"/>
        <v>3949.3575000000001</v>
      </c>
      <c r="DV57" s="553">
        <f t="shared" si="286"/>
        <v>3949.3575000000001</v>
      </c>
      <c r="DW57" s="553">
        <f t="shared" si="286"/>
        <v>3949.3575000000001</v>
      </c>
      <c r="DX57" s="553">
        <f t="shared" si="286"/>
        <v>3949.3575000000001</v>
      </c>
      <c r="DY57" s="553">
        <f t="shared" si="286"/>
        <v>3949.3575000000001</v>
      </c>
      <c r="DZ57" s="553">
        <f t="shared" si="286"/>
        <v>7229.8575000000001</v>
      </c>
      <c r="EA57" s="562">
        <f t="shared" si="286"/>
        <v>7229.8575000000001</v>
      </c>
      <c r="EB57" s="553">
        <f t="shared" si="286"/>
        <v>3949.3575000000001</v>
      </c>
      <c r="EC57" s="553">
        <f t="shared" si="286"/>
        <v>3949.3575000000001</v>
      </c>
      <c r="ED57" s="553">
        <f t="shared" si="286"/>
        <v>3949.3575000000001</v>
      </c>
      <c r="EE57" s="553">
        <f t="shared" si="286"/>
        <v>3949.3575000000001</v>
      </c>
      <c r="EF57" s="560">
        <f t="shared" si="276"/>
        <v>53953.289999999986</v>
      </c>
      <c r="EG57" s="565"/>
      <c r="EH57" s="553">
        <f t="shared" ref="EH57:ES57" si="287">(EH53+EH54)*$C$25</f>
        <v>3949.3575000000001</v>
      </c>
      <c r="EI57" s="553">
        <f t="shared" si="287"/>
        <v>3949.3575000000001</v>
      </c>
      <c r="EJ57" s="553">
        <f t="shared" si="287"/>
        <v>3949.3575000000001</v>
      </c>
      <c r="EK57" s="553">
        <f t="shared" si="287"/>
        <v>3949.3575000000001</v>
      </c>
      <c r="EL57" s="553">
        <f t="shared" si="287"/>
        <v>3949.3575000000001</v>
      </c>
      <c r="EM57" s="553">
        <f t="shared" si="287"/>
        <v>3949.3575000000001</v>
      </c>
      <c r="EN57" s="553">
        <f t="shared" si="287"/>
        <v>3949.3575000000001</v>
      </c>
      <c r="EO57" s="553">
        <f t="shared" si="287"/>
        <v>3949.3575000000001</v>
      </c>
      <c r="EP57" s="553">
        <f t="shared" si="287"/>
        <v>3949.3575000000001</v>
      </c>
      <c r="EQ57" s="553">
        <f t="shared" si="287"/>
        <v>3949.3575000000001</v>
      </c>
      <c r="ER57" s="553">
        <f t="shared" si="287"/>
        <v>3949.3575000000001</v>
      </c>
      <c r="ES57" s="553">
        <f t="shared" si="287"/>
        <v>3949.3575000000001</v>
      </c>
      <c r="ET57" s="560">
        <f t="shared" si="278"/>
        <v>47392.289999999986</v>
      </c>
      <c r="EU57" s="565"/>
    </row>
    <row r="58" spans="2:151" ht="10.5" customHeight="1" x14ac:dyDescent="0.35">
      <c r="B58" s="531"/>
      <c r="C58" s="531"/>
      <c r="I58" s="536"/>
      <c r="J58" s="531" t="s">
        <v>13</v>
      </c>
      <c r="K58" s="531" t="s">
        <v>1065</v>
      </c>
      <c r="Y58" s="565"/>
      <c r="Z58" s="553">
        <f>(Z53+Z54)*$C$26</f>
        <v>7776</v>
      </c>
      <c r="AA58" s="553">
        <f t="shared" ref="AA58:AK58" si="288">(AA53+AA54)*$C$26</f>
        <v>7776</v>
      </c>
      <c r="AB58" s="553">
        <f t="shared" si="288"/>
        <v>9361.44</v>
      </c>
      <c r="AC58" s="553">
        <f t="shared" si="288"/>
        <v>9361.44</v>
      </c>
      <c r="AD58" s="553">
        <f t="shared" si="288"/>
        <v>9361.44</v>
      </c>
      <c r="AE58" s="553">
        <f t="shared" si="288"/>
        <v>9361.44</v>
      </c>
      <c r="AF58" s="553">
        <f t="shared" si="288"/>
        <v>9361.44</v>
      </c>
      <c r="AG58" s="553">
        <f t="shared" si="288"/>
        <v>9361.44</v>
      </c>
      <c r="AH58" s="553">
        <f t="shared" si="288"/>
        <v>9361.44</v>
      </c>
      <c r="AI58" s="553">
        <f t="shared" si="288"/>
        <v>9361.44</v>
      </c>
      <c r="AJ58" s="553">
        <f t="shared" si="288"/>
        <v>9361.44</v>
      </c>
      <c r="AK58" s="553">
        <f t="shared" si="288"/>
        <v>9361.44</v>
      </c>
      <c r="AL58" s="560">
        <f t="shared" si="262"/>
        <v>109166.40000000002</v>
      </c>
      <c r="AM58" s="565"/>
      <c r="AN58" s="553">
        <f t="shared" ref="AN58:AY58" si="289">(AN53+AN54)*$C$26</f>
        <v>9361.44</v>
      </c>
      <c r="AO58" s="553">
        <f t="shared" si="289"/>
        <v>9361.44</v>
      </c>
      <c r="AP58" s="553">
        <f t="shared" si="289"/>
        <v>9361.44</v>
      </c>
      <c r="AQ58" s="553">
        <f t="shared" si="289"/>
        <v>9361.44</v>
      </c>
      <c r="AR58" s="553">
        <f t="shared" si="289"/>
        <v>9361.44</v>
      </c>
      <c r="AS58" s="553">
        <f t="shared" si="289"/>
        <v>9361.44</v>
      </c>
      <c r="AT58" s="553">
        <f t="shared" si="289"/>
        <v>17137.439999999999</v>
      </c>
      <c r="AU58" s="562">
        <f t="shared" si="289"/>
        <v>17137.439999999999</v>
      </c>
      <c r="AV58" s="553">
        <f t="shared" si="289"/>
        <v>9361.44</v>
      </c>
      <c r="AW58" s="553">
        <f t="shared" si="289"/>
        <v>9361.44</v>
      </c>
      <c r="AX58" s="553">
        <f t="shared" si="289"/>
        <v>9361.44</v>
      </c>
      <c r="AY58" s="553">
        <f t="shared" si="289"/>
        <v>9361.44</v>
      </c>
      <c r="AZ58" s="560">
        <f t="shared" si="264"/>
        <v>127889.28000000001</v>
      </c>
      <c r="BA58" s="565"/>
      <c r="BB58" s="553">
        <f t="shared" ref="BB58:BM58" si="290">(BB53+BB54)*$C$26</f>
        <v>9361.44</v>
      </c>
      <c r="BC58" s="553">
        <f t="shared" si="290"/>
        <v>9361.44</v>
      </c>
      <c r="BD58" s="553">
        <f t="shared" si="290"/>
        <v>9361.44</v>
      </c>
      <c r="BE58" s="553">
        <f t="shared" si="290"/>
        <v>9361.44</v>
      </c>
      <c r="BF58" s="553">
        <f t="shared" si="290"/>
        <v>9361.44</v>
      </c>
      <c r="BG58" s="553">
        <f t="shared" si="290"/>
        <v>9361.44</v>
      </c>
      <c r="BH58" s="553">
        <f t="shared" si="290"/>
        <v>9361.44</v>
      </c>
      <c r="BI58" s="553">
        <f t="shared" si="290"/>
        <v>9361.44</v>
      </c>
      <c r="BJ58" s="553">
        <f t="shared" si="290"/>
        <v>9361.44</v>
      </c>
      <c r="BK58" s="553">
        <f t="shared" si="290"/>
        <v>9361.44</v>
      </c>
      <c r="BL58" s="553">
        <f t="shared" si="290"/>
        <v>9361.44</v>
      </c>
      <c r="BM58" s="553">
        <f t="shared" si="290"/>
        <v>9361.44</v>
      </c>
      <c r="BN58" s="560">
        <f t="shared" si="266"/>
        <v>112337.28000000001</v>
      </c>
      <c r="BO58" s="565"/>
      <c r="BP58" s="553">
        <f t="shared" ref="BP58:CA58" si="291">(BP53+BP54)*$C$26</f>
        <v>17137.439999999999</v>
      </c>
      <c r="BQ58" s="562">
        <f t="shared" si="291"/>
        <v>17137.439999999999</v>
      </c>
      <c r="BR58" s="553">
        <f t="shared" si="291"/>
        <v>9361.44</v>
      </c>
      <c r="BS58" s="553">
        <f t="shared" si="291"/>
        <v>9361.44</v>
      </c>
      <c r="BT58" s="553">
        <f t="shared" si="291"/>
        <v>9361.44</v>
      </c>
      <c r="BU58" s="553">
        <f t="shared" si="291"/>
        <v>9361.44</v>
      </c>
      <c r="BV58" s="553">
        <f t="shared" si="291"/>
        <v>9361.44</v>
      </c>
      <c r="BW58" s="553">
        <f t="shared" si="291"/>
        <v>9361.44</v>
      </c>
      <c r="BX58" s="553">
        <f t="shared" si="291"/>
        <v>9361.44</v>
      </c>
      <c r="BY58" s="553">
        <f t="shared" si="291"/>
        <v>9361.44</v>
      </c>
      <c r="BZ58" s="553">
        <f t="shared" si="291"/>
        <v>9361.44</v>
      </c>
      <c r="CA58" s="553">
        <f t="shared" si="291"/>
        <v>9361.44</v>
      </c>
      <c r="CB58" s="560">
        <f t="shared" si="268"/>
        <v>127889.28000000001</v>
      </c>
      <c r="CC58" s="565"/>
      <c r="CD58" s="553">
        <f t="shared" ref="CD58:CO58" si="292">(CD53+CD54)*$C$26</f>
        <v>9361.44</v>
      </c>
      <c r="CE58" s="553">
        <f t="shared" si="292"/>
        <v>9361.44</v>
      </c>
      <c r="CF58" s="553">
        <f t="shared" si="292"/>
        <v>9361.44</v>
      </c>
      <c r="CG58" s="553">
        <f t="shared" si="292"/>
        <v>9361.44</v>
      </c>
      <c r="CH58" s="553">
        <f t="shared" si="292"/>
        <v>9361.44</v>
      </c>
      <c r="CI58" s="553">
        <f t="shared" si="292"/>
        <v>9361.44</v>
      </c>
      <c r="CJ58" s="553">
        <f t="shared" si="292"/>
        <v>17137.439999999999</v>
      </c>
      <c r="CK58" s="562">
        <f t="shared" si="292"/>
        <v>17137.439999999999</v>
      </c>
      <c r="CL58" s="553">
        <f t="shared" si="292"/>
        <v>9361.44</v>
      </c>
      <c r="CM58" s="553">
        <f t="shared" si="292"/>
        <v>9361.44</v>
      </c>
      <c r="CN58" s="553">
        <f t="shared" si="292"/>
        <v>9361.44</v>
      </c>
      <c r="CO58" s="553">
        <f t="shared" si="292"/>
        <v>9361.44</v>
      </c>
      <c r="CP58" s="560">
        <f t="shared" si="270"/>
        <v>127889.28000000001</v>
      </c>
      <c r="CQ58" s="565"/>
      <c r="CR58" s="553">
        <f t="shared" ref="CR58:DC58" si="293">(CR53+CR54)*$C$26</f>
        <v>9361.44</v>
      </c>
      <c r="CS58" s="553">
        <f t="shared" si="293"/>
        <v>9361.44</v>
      </c>
      <c r="CT58" s="553">
        <f t="shared" si="293"/>
        <v>9361.44</v>
      </c>
      <c r="CU58" s="553">
        <f t="shared" si="293"/>
        <v>9361.44</v>
      </c>
      <c r="CV58" s="553">
        <f t="shared" si="293"/>
        <v>9361.44</v>
      </c>
      <c r="CW58" s="553">
        <f t="shared" si="293"/>
        <v>9361.44</v>
      </c>
      <c r="CX58" s="553">
        <f t="shared" si="293"/>
        <v>9361.44</v>
      </c>
      <c r="CY58" s="553">
        <f t="shared" si="293"/>
        <v>9361.44</v>
      </c>
      <c r="CZ58" s="553">
        <f t="shared" si="293"/>
        <v>9361.44</v>
      </c>
      <c r="DA58" s="553">
        <f t="shared" si="293"/>
        <v>9361.44</v>
      </c>
      <c r="DB58" s="553">
        <f t="shared" si="293"/>
        <v>9361.44</v>
      </c>
      <c r="DC58" s="553">
        <f t="shared" si="293"/>
        <v>9361.44</v>
      </c>
      <c r="DD58" s="560">
        <f t="shared" si="272"/>
        <v>112337.28000000001</v>
      </c>
      <c r="DE58" s="565"/>
      <c r="DF58" s="553">
        <f t="shared" ref="DF58:DQ58" si="294">(DF53+DF54)*$C$26</f>
        <v>17137.439999999999</v>
      </c>
      <c r="DG58" s="562">
        <f t="shared" si="294"/>
        <v>17137.439999999999</v>
      </c>
      <c r="DH58" s="553">
        <f t="shared" si="294"/>
        <v>9361.44</v>
      </c>
      <c r="DI58" s="553">
        <f t="shared" si="294"/>
        <v>9361.44</v>
      </c>
      <c r="DJ58" s="553">
        <f t="shared" si="294"/>
        <v>9361.44</v>
      </c>
      <c r="DK58" s="553">
        <f t="shared" si="294"/>
        <v>9361.44</v>
      </c>
      <c r="DL58" s="553">
        <f t="shared" si="294"/>
        <v>9361.44</v>
      </c>
      <c r="DM58" s="553">
        <f t="shared" si="294"/>
        <v>9361.44</v>
      </c>
      <c r="DN58" s="553">
        <f t="shared" si="294"/>
        <v>9361.44</v>
      </c>
      <c r="DO58" s="553">
        <f t="shared" si="294"/>
        <v>9361.44</v>
      </c>
      <c r="DP58" s="553">
        <f t="shared" si="294"/>
        <v>9361.44</v>
      </c>
      <c r="DQ58" s="553">
        <f t="shared" si="294"/>
        <v>9361.44</v>
      </c>
      <c r="DR58" s="560">
        <f t="shared" si="274"/>
        <v>127889.28000000001</v>
      </c>
      <c r="DS58" s="565"/>
      <c r="DT58" s="553">
        <f t="shared" ref="DT58:EE58" si="295">(DT53+DT54)*$C$26</f>
        <v>9361.44</v>
      </c>
      <c r="DU58" s="553">
        <f t="shared" si="295"/>
        <v>9361.44</v>
      </c>
      <c r="DV58" s="553">
        <f t="shared" si="295"/>
        <v>9361.44</v>
      </c>
      <c r="DW58" s="553">
        <f t="shared" si="295"/>
        <v>9361.44</v>
      </c>
      <c r="DX58" s="553">
        <f t="shared" si="295"/>
        <v>9361.44</v>
      </c>
      <c r="DY58" s="553">
        <f t="shared" si="295"/>
        <v>9361.44</v>
      </c>
      <c r="DZ58" s="553">
        <f t="shared" si="295"/>
        <v>17137.439999999999</v>
      </c>
      <c r="EA58" s="562">
        <f t="shared" si="295"/>
        <v>17137.439999999999</v>
      </c>
      <c r="EB58" s="553">
        <f t="shared" si="295"/>
        <v>9361.44</v>
      </c>
      <c r="EC58" s="553">
        <f t="shared" si="295"/>
        <v>9361.44</v>
      </c>
      <c r="ED58" s="553">
        <f t="shared" si="295"/>
        <v>9361.44</v>
      </c>
      <c r="EE58" s="553">
        <f t="shared" si="295"/>
        <v>9361.44</v>
      </c>
      <c r="EF58" s="560">
        <f t="shared" si="276"/>
        <v>127889.28000000001</v>
      </c>
      <c r="EG58" s="565"/>
      <c r="EH58" s="553">
        <f t="shared" ref="EH58:ES58" si="296">(EH53+EH54)*$C$26</f>
        <v>9361.44</v>
      </c>
      <c r="EI58" s="553">
        <f t="shared" si="296"/>
        <v>9361.44</v>
      </c>
      <c r="EJ58" s="553">
        <f t="shared" si="296"/>
        <v>9361.44</v>
      </c>
      <c r="EK58" s="553">
        <f t="shared" si="296"/>
        <v>9361.44</v>
      </c>
      <c r="EL58" s="553">
        <f t="shared" si="296"/>
        <v>9361.44</v>
      </c>
      <c r="EM58" s="553">
        <f t="shared" si="296"/>
        <v>9361.44</v>
      </c>
      <c r="EN58" s="553">
        <f t="shared" si="296"/>
        <v>9361.44</v>
      </c>
      <c r="EO58" s="553">
        <f t="shared" si="296"/>
        <v>9361.44</v>
      </c>
      <c r="EP58" s="553">
        <f t="shared" si="296"/>
        <v>9361.44</v>
      </c>
      <c r="EQ58" s="553">
        <f t="shared" si="296"/>
        <v>9361.44</v>
      </c>
      <c r="ER58" s="553">
        <f t="shared" si="296"/>
        <v>9361.44</v>
      </c>
      <c r="ES58" s="553">
        <f t="shared" si="296"/>
        <v>9361.44</v>
      </c>
      <c r="ET58" s="560">
        <f t="shared" si="278"/>
        <v>112337.28000000001</v>
      </c>
      <c r="EU58" s="565"/>
    </row>
    <row r="59" spans="2:151" ht="10.5" customHeight="1" x14ac:dyDescent="0.35">
      <c r="B59" s="531"/>
      <c r="C59" s="531"/>
      <c r="I59" s="536"/>
      <c r="J59" s="531" t="s">
        <v>15</v>
      </c>
      <c r="K59" s="531" t="s">
        <v>1066</v>
      </c>
      <c r="Y59" s="565"/>
      <c r="Z59" s="553">
        <f>(Z53+Z54)*$C$27</f>
        <v>243</v>
      </c>
      <c r="AA59" s="553">
        <f t="shared" ref="AA59:AK59" si="297">(AA53+AA54)*$C$27</f>
        <v>243</v>
      </c>
      <c r="AB59" s="553">
        <f t="shared" si="297"/>
        <v>292.54500000000002</v>
      </c>
      <c r="AC59" s="553">
        <f t="shared" si="297"/>
        <v>292.54500000000002</v>
      </c>
      <c r="AD59" s="553">
        <f t="shared" si="297"/>
        <v>292.54500000000002</v>
      </c>
      <c r="AE59" s="553">
        <f t="shared" si="297"/>
        <v>292.54500000000002</v>
      </c>
      <c r="AF59" s="553">
        <f t="shared" si="297"/>
        <v>292.54500000000002</v>
      </c>
      <c r="AG59" s="553">
        <f t="shared" si="297"/>
        <v>292.54500000000002</v>
      </c>
      <c r="AH59" s="553">
        <f t="shared" si="297"/>
        <v>292.54500000000002</v>
      </c>
      <c r="AI59" s="553">
        <f t="shared" si="297"/>
        <v>292.54500000000002</v>
      </c>
      <c r="AJ59" s="553">
        <f t="shared" si="297"/>
        <v>292.54500000000002</v>
      </c>
      <c r="AK59" s="553">
        <f t="shared" si="297"/>
        <v>292.54500000000002</v>
      </c>
      <c r="AL59" s="560">
        <f t="shared" si="262"/>
        <v>3411.4500000000007</v>
      </c>
      <c r="AM59" s="565"/>
      <c r="AN59" s="553">
        <f t="shared" ref="AN59:AY59" si="298">(AN53+AN54)*$C$27</f>
        <v>292.54500000000002</v>
      </c>
      <c r="AO59" s="553">
        <f t="shared" si="298"/>
        <v>292.54500000000002</v>
      </c>
      <c r="AP59" s="553">
        <f t="shared" si="298"/>
        <v>292.54500000000002</v>
      </c>
      <c r="AQ59" s="553">
        <f t="shared" si="298"/>
        <v>292.54500000000002</v>
      </c>
      <c r="AR59" s="553">
        <f t="shared" si="298"/>
        <v>292.54500000000002</v>
      </c>
      <c r="AS59" s="553">
        <f t="shared" si="298"/>
        <v>292.54500000000002</v>
      </c>
      <c r="AT59" s="553">
        <f t="shared" si="298"/>
        <v>535.54499999999996</v>
      </c>
      <c r="AU59" s="562">
        <f t="shared" si="298"/>
        <v>535.54499999999996</v>
      </c>
      <c r="AV59" s="553">
        <f t="shared" si="298"/>
        <v>292.54500000000002</v>
      </c>
      <c r="AW59" s="553">
        <f t="shared" si="298"/>
        <v>292.54500000000002</v>
      </c>
      <c r="AX59" s="553">
        <f t="shared" si="298"/>
        <v>292.54500000000002</v>
      </c>
      <c r="AY59" s="553">
        <f t="shared" si="298"/>
        <v>292.54500000000002</v>
      </c>
      <c r="AZ59" s="560">
        <f t="shared" si="264"/>
        <v>3996.5400000000004</v>
      </c>
      <c r="BA59" s="565"/>
      <c r="BB59" s="553">
        <f t="shared" ref="BB59:BM59" si="299">(BB53+BB54)*$C$27</f>
        <v>292.54500000000002</v>
      </c>
      <c r="BC59" s="553">
        <f t="shared" si="299"/>
        <v>292.54500000000002</v>
      </c>
      <c r="BD59" s="553">
        <f t="shared" si="299"/>
        <v>292.54500000000002</v>
      </c>
      <c r="BE59" s="553">
        <f t="shared" si="299"/>
        <v>292.54500000000002</v>
      </c>
      <c r="BF59" s="553">
        <f t="shared" si="299"/>
        <v>292.54500000000002</v>
      </c>
      <c r="BG59" s="553">
        <f t="shared" si="299"/>
        <v>292.54500000000002</v>
      </c>
      <c r="BH59" s="553">
        <f t="shared" si="299"/>
        <v>292.54500000000002</v>
      </c>
      <c r="BI59" s="553">
        <f t="shared" si="299"/>
        <v>292.54500000000002</v>
      </c>
      <c r="BJ59" s="553">
        <f t="shared" si="299"/>
        <v>292.54500000000002</v>
      </c>
      <c r="BK59" s="553">
        <f t="shared" si="299"/>
        <v>292.54500000000002</v>
      </c>
      <c r="BL59" s="553">
        <f t="shared" si="299"/>
        <v>292.54500000000002</v>
      </c>
      <c r="BM59" s="553">
        <f t="shared" si="299"/>
        <v>292.54500000000002</v>
      </c>
      <c r="BN59" s="560">
        <f t="shared" si="266"/>
        <v>3510.5400000000004</v>
      </c>
      <c r="BO59" s="565"/>
      <c r="BP59" s="553">
        <f t="shared" ref="BP59:CA59" si="300">(BP53+BP54)*$C$27</f>
        <v>535.54499999999996</v>
      </c>
      <c r="BQ59" s="562">
        <f t="shared" si="300"/>
        <v>535.54499999999996</v>
      </c>
      <c r="BR59" s="553">
        <f t="shared" si="300"/>
        <v>292.54500000000002</v>
      </c>
      <c r="BS59" s="553">
        <f t="shared" si="300"/>
        <v>292.54500000000002</v>
      </c>
      <c r="BT59" s="553">
        <f t="shared" si="300"/>
        <v>292.54500000000002</v>
      </c>
      <c r="BU59" s="553">
        <f t="shared" si="300"/>
        <v>292.54500000000002</v>
      </c>
      <c r="BV59" s="553">
        <f t="shared" si="300"/>
        <v>292.54500000000002</v>
      </c>
      <c r="BW59" s="553">
        <f t="shared" si="300"/>
        <v>292.54500000000002</v>
      </c>
      <c r="BX59" s="553">
        <f t="shared" si="300"/>
        <v>292.54500000000002</v>
      </c>
      <c r="BY59" s="553">
        <f t="shared" si="300"/>
        <v>292.54500000000002</v>
      </c>
      <c r="BZ59" s="553">
        <f t="shared" si="300"/>
        <v>292.54500000000002</v>
      </c>
      <c r="CA59" s="553">
        <f t="shared" si="300"/>
        <v>292.54500000000002</v>
      </c>
      <c r="CB59" s="560">
        <f t="shared" si="268"/>
        <v>3996.5400000000004</v>
      </c>
      <c r="CC59" s="565"/>
      <c r="CD59" s="553">
        <f t="shared" ref="CD59:CO59" si="301">(CD53+CD54)*$C$27</f>
        <v>292.54500000000002</v>
      </c>
      <c r="CE59" s="553">
        <f t="shared" si="301"/>
        <v>292.54500000000002</v>
      </c>
      <c r="CF59" s="553">
        <f t="shared" si="301"/>
        <v>292.54500000000002</v>
      </c>
      <c r="CG59" s="553">
        <f t="shared" si="301"/>
        <v>292.54500000000002</v>
      </c>
      <c r="CH59" s="553">
        <f t="shared" si="301"/>
        <v>292.54500000000002</v>
      </c>
      <c r="CI59" s="553">
        <f t="shared" si="301"/>
        <v>292.54500000000002</v>
      </c>
      <c r="CJ59" s="553">
        <f t="shared" si="301"/>
        <v>535.54499999999996</v>
      </c>
      <c r="CK59" s="562">
        <f t="shared" si="301"/>
        <v>535.54499999999996</v>
      </c>
      <c r="CL59" s="553">
        <f t="shared" si="301"/>
        <v>292.54500000000002</v>
      </c>
      <c r="CM59" s="553">
        <f t="shared" si="301"/>
        <v>292.54500000000002</v>
      </c>
      <c r="CN59" s="553">
        <f t="shared" si="301"/>
        <v>292.54500000000002</v>
      </c>
      <c r="CO59" s="553">
        <f t="shared" si="301"/>
        <v>292.54500000000002</v>
      </c>
      <c r="CP59" s="560">
        <f t="shared" si="270"/>
        <v>3996.5400000000004</v>
      </c>
      <c r="CQ59" s="565"/>
      <c r="CR59" s="553">
        <f t="shared" ref="CR59:DC59" si="302">(CR53+CR54)*$C$27</f>
        <v>292.54500000000002</v>
      </c>
      <c r="CS59" s="553">
        <f t="shared" si="302"/>
        <v>292.54500000000002</v>
      </c>
      <c r="CT59" s="553">
        <f t="shared" si="302"/>
        <v>292.54500000000002</v>
      </c>
      <c r="CU59" s="553">
        <f t="shared" si="302"/>
        <v>292.54500000000002</v>
      </c>
      <c r="CV59" s="553">
        <f t="shared" si="302"/>
        <v>292.54500000000002</v>
      </c>
      <c r="CW59" s="553">
        <f t="shared" si="302"/>
        <v>292.54500000000002</v>
      </c>
      <c r="CX59" s="553">
        <f t="shared" si="302"/>
        <v>292.54500000000002</v>
      </c>
      <c r="CY59" s="553">
        <f t="shared" si="302"/>
        <v>292.54500000000002</v>
      </c>
      <c r="CZ59" s="553">
        <f t="shared" si="302"/>
        <v>292.54500000000002</v>
      </c>
      <c r="DA59" s="553">
        <f t="shared" si="302"/>
        <v>292.54500000000002</v>
      </c>
      <c r="DB59" s="553">
        <f t="shared" si="302"/>
        <v>292.54500000000002</v>
      </c>
      <c r="DC59" s="553">
        <f t="shared" si="302"/>
        <v>292.54500000000002</v>
      </c>
      <c r="DD59" s="560">
        <f t="shared" si="272"/>
        <v>3510.5400000000004</v>
      </c>
      <c r="DE59" s="565"/>
      <c r="DF59" s="553">
        <f t="shared" ref="DF59:DQ59" si="303">(DF53+DF54)*$C$27</f>
        <v>535.54499999999996</v>
      </c>
      <c r="DG59" s="562">
        <f t="shared" si="303"/>
        <v>535.54499999999996</v>
      </c>
      <c r="DH59" s="553">
        <f t="shared" si="303"/>
        <v>292.54500000000002</v>
      </c>
      <c r="DI59" s="553">
        <f t="shared" si="303"/>
        <v>292.54500000000002</v>
      </c>
      <c r="DJ59" s="553">
        <f t="shared" si="303"/>
        <v>292.54500000000002</v>
      </c>
      <c r="DK59" s="553">
        <f t="shared" si="303"/>
        <v>292.54500000000002</v>
      </c>
      <c r="DL59" s="553">
        <f t="shared" si="303"/>
        <v>292.54500000000002</v>
      </c>
      <c r="DM59" s="553">
        <f t="shared" si="303"/>
        <v>292.54500000000002</v>
      </c>
      <c r="DN59" s="553">
        <f t="shared" si="303"/>
        <v>292.54500000000002</v>
      </c>
      <c r="DO59" s="553">
        <f t="shared" si="303"/>
        <v>292.54500000000002</v>
      </c>
      <c r="DP59" s="553">
        <f t="shared" si="303"/>
        <v>292.54500000000002</v>
      </c>
      <c r="DQ59" s="553">
        <f t="shared" si="303"/>
        <v>292.54500000000002</v>
      </c>
      <c r="DR59" s="560">
        <f t="shared" si="274"/>
        <v>3996.5400000000004</v>
      </c>
      <c r="DS59" s="565"/>
      <c r="DT59" s="553">
        <f t="shared" ref="DT59:EE59" si="304">(DT53+DT54)*$C$27</f>
        <v>292.54500000000002</v>
      </c>
      <c r="DU59" s="553">
        <f t="shared" si="304"/>
        <v>292.54500000000002</v>
      </c>
      <c r="DV59" s="553">
        <f t="shared" si="304"/>
        <v>292.54500000000002</v>
      </c>
      <c r="DW59" s="553">
        <f t="shared" si="304"/>
        <v>292.54500000000002</v>
      </c>
      <c r="DX59" s="553">
        <f t="shared" si="304"/>
        <v>292.54500000000002</v>
      </c>
      <c r="DY59" s="553">
        <f t="shared" si="304"/>
        <v>292.54500000000002</v>
      </c>
      <c r="DZ59" s="553">
        <f t="shared" si="304"/>
        <v>535.54499999999996</v>
      </c>
      <c r="EA59" s="562">
        <f t="shared" si="304"/>
        <v>535.54499999999996</v>
      </c>
      <c r="EB59" s="553">
        <f t="shared" si="304"/>
        <v>292.54500000000002</v>
      </c>
      <c r="EC59" s="553">
        <f t="shared" si="304"/>
        <v>292.54500000000002</v>
      </c>
      <c r="ED59" s="553">
        <f t="shared" si="304"/>
        <v>292.54500000000002</v>
      </c>
      <c r="EE59" s="553">
        <f t="shared" si="304"/>
        <v>292.54500000000002</v>
      </c>
      <c r="EF59" s="560">
        <f t="shared" si="276"/>
        <v>3996.5400000000004</v>
      </c>
      <c r="EG59" s="565"/>
      <c r="EH59" s="553">
        <f t="shared" ref="EH59:ES59" si="305">(EH53+EH54)*$C$27</f>
        <v>292.54500000000002</v>
      </c>
      <c r="EI59" s="553">
        <f t="shared" si="305"/>
        <v>292.54500000000002</v>
      </c>
      <c r="EJ59" s="553">
        <f t="shared" si="305"/>
        <v>292.54500000000002</v>
      </c>
      <c r="EK59" s="553">
        <f t="shared" si="305"/>
        <v>292.54500000000002</v>
      </c>
      <c r="EL59" s="553">
        <f t="shared" si="305"/>
        <v>292.54500000000002</v>
      </c>
      <c r="EM59" s="553">
        <f t="shared" si="305"/>
        <v>292.54500000000002</v>
      </c>
      <c r="EN59" s="553">
        <f t="shared" si="305"/>
        <v>292.54500000000002</v>
      </c>
      <c r="EO59" s="553">
        <f t="shared" si="305"/>
        <v>292.54500000000002</v>
      </c>
      <c r="EP59" s="553">
        <f t="shared" si="305"/>
        <v>292.54500000000002</v>
      </c>
      <c r="EQ59" s="553">
        <f t="shared" si="305"/>
        <v>292.54500000000002</v>
      </c>
      <c r="ER59" s="553">
        <f t="shared" si="305"/>
        <v>292.54500000000002</v>
      </c>
      <c r="ES59" s="553">
        <f t="shared" si="305"/>
        <v>292.54500000000002</v>
      </c>
      <c r="ET59" s="560">
        <f t="shared" si="278"/>
        <v>3510.5400000000004</v>
      </c>
      <c r="EU59" s="565"/>
    </row>
    <row r="60" spans="2:151" ht="10.5" customHeight="1" x14ac:dyDescent="0.35">
      <c r="B60" s="531"/>
      <c r="C60" s="531"/>
      <c r="I60" s="536"/>
      <c r="J60" s="531" t="s">
        <v>18</v>
      </c>
      <c r="K60" s="531" t="s">
        <v>1067</v>
      </c>
      <c r="Y60" s="565"/>
      <c r="Z60" s="553">
        <f>(Z53+Z54)*$C$28</f>
        <v>24.3</v>
      </c>
      <c r="AA60" s="553">
        <f t="shared" ref="AA60:AK60" si="306">(AA53+AA54)*$C$28</f>
        <v>24.3</v>
      </c>
      <c r="AB60" s="553">
        <f t="shared" si="306"/>
        <v>29.2545</v>
      </c>
      <c r="AC60" s="553">
        <f t="shared" si="306"/>
        <v>29.2545</v>
      </c>
      <c r="AD60" s="553">
        <f t="shared" si="306"/>
        <v>29.2545</v>
      </c>
      <c r="AE60" s="553">
        <f t="shared" si="306"/>
        <v>29.2545</v>
      </c>
      <c r="AF60" s="553">
        <f t="shared" si="306"/>
        <v>29.2545</v>
      </c>
      <c r="AG60" s="553">
        <f t="shared" si="306"/>
        <v>29.2545</v>
      </c>
      <c r="AH60" s="553">
        <f t="shared" si="306"/>
        <v>29.2545</v>
      </c>
      <c r="AI60" s="553">
        <f t="shared" si="306"/>
        <v>29.2545</v>
      </c>
      <c r="AJ60" s="553">
        <f t="shared" si="306"/>
        <v>29.2545</v>
      </c>
      <c r="AK60" s="553">
        <f t="shared" si="306"/>
        <v>29.2545</v>
      </c>
      <c r="AL60" s="560">
        <f t="shared" si="262"/>
        <v>341.14500000000004</v>
      </c>
      <c r="AM60" s="565"/>
      <c r="AN60" s="553">
        <f t="shared" ref="AN60:AY60" si="307">(AN53+AN54)*$C$28</f>
        <v>29.2545</v>
      </c>
      <c r="AO60" s="553">
        <f t="shared" si="307"/>
        <v>29.2545</v>
      </c>
      <c r="AP60" s="553">
        <f t="shared" si="307"/>
        <v>29.2545</v>
      </c>
      <c r="AQ60" s="553">
        <f t="shared" si="307"/>
        <v>29.2545</v>
      </c>
      <c r="AR60" s="553">
        <f t="shared" si="307"/>
        <v>29.2545</v>
      </c>
      <c r="AS60" s="553">
        <f t="shared" si="307"/>
        <v>29.2545</v>
      </c>
      <c r="AT60" s="553">
        <f t="shared" si="307"/>
        <v>53.554500000000004</v>
      </c>
      <c r="AU60" s="562">
        <f t="shared" si="307"/>
        <v>53.554500000000004</v>
      </c>
      <c r="AV60" s="553">
        <f t="shared" si="307"/>
        <v>29.2545</v>
      </c>
      <c r="AW60" s="553">
        <f t="shared" si="307"/>
        <v>29.2545</v>
      </c>
      <c r="AX60" s="553">
        <f t="shared" si="307"/>
        <v>29.2545</v>
      </c>
      <c r="AY60" s="553">
        <f t="shared" si="307"/>
        <v>29.2545</v>
      </c>
      <c r="AZ60" s="560">
        <f t="shared" si="264"/>
        <v>399.65400000000005</v>
      </c>
      <c r="BA60" s="565"/>
      <c r="BB60" s="553">
        <f t="shared" ref="BB60:BM60" si="308">(BB53+BB54)*$C$28</f>
        <v>29.2545</v>
      </c>
      <c r="BC60" s="553">
        <f t="shared" si="308"/>
        <v>29.2545</v>
      </c>
      <c r="BD60" s="553">
        <f t="shared" si="308"/>
        <v>29.2545</v>
      </c>
      <c r="BE60" s="553">
        <f t="shared" si="308"/>
        <v>29.2545</v>
      </c>
      <c r="BF60" s="553">
        <f t="shared" si="308"/>
        <v>29.2545</v>
      </c>
      <c r="BG60" s="553">
        <f t="shared" si="308"/>
        <v>29.2545</v>
      </c>
      <c r="BH60" s="553">
        <f t="shared" si="308"/>
        <v>29.2545</v>
      </c>
      <c r="BI60" s="553">
        <f t="shared" si="308"/>
        <v>29.2545</v>
      </c>
      <c r="BJ60" s="553">
        <f t="shared" si="308"/>
        <v>29.2545</v>
      </c>
      <c r="BK60" s="553">
        <f t="shared" si="308"/>
        <v>29.2545</v>
      </c>
      <c r="BL60" s="553">
        <f t="shared" si="308"/>
        <v>29.2545</v>
      </c>
      <c r="BM60" s="553">
        <f t="shared" si="308"/>
        <v>29.2545</v>
      </c>
      <c r="BN60" s="560">
        <f t="shared" si="266"/>
        <v>351.05400000000003</v>
      </c>
      <c r="BO60" s="565"/>
      <c r="BP60" s="553">
        <f t="shared" ref="BP60:CA60" si="309">(BP53+BP54)*$C$28</f>
        <v>53.554500000000004</v>
      </c>
      <c r="BQ60" s="562">
        <f t="shared" si="309"/>
        <v>53.554500000000004</v>
      </c>
      <c r="BR60" s="553">
        <f t="shared" si="309"/>
        <v>29.2545</v>
      </c>
      <c r="BS60" s="553">
        <f t="shared" si="309"/>
        <v>29.2545</v>
      </c>
      <c r="BT60" s="553">
        <f t="shared" si="309"/>
        <v>29.2545</v>
      </c>
      <c r="BU60" s="553">
        <f t="shared" si="309"/>
        <v>29.2545</v>
      </c>
      <c r="BV60" s="553">
        <f t="shared" si="309"/>
        <v>29.2545</v>
      </c>
      <c r="BW60" s="553">
        <f t="shared" si="309"/>
        <v>29.2545</v>
      </c>
      <c r="BX60" s="553">
        <f t="shared" si="309"/>
        <v>29.2545</v>
      </c>
      <c r="BY60" s="553">
        <f t="shared" si="309"/>
        <v>29.2545</v>
      </c>
      <c r="BZ60" s="553">
        <f t="shared" si="309"/>
        <v>29.2545</v>
      </c>
      <c r="CA60" s="553">
        <f t="shared" si="309"/>
        <v>29.2545</v>
      </c>
      <c r="CB60" s="560">
        <f t="shared" si="268"/>
        <v>399.65400000000005</v>
      </c>
      <c r="CC60" s="565"/>
      <c r="CD60" s="553">
        <f t="shared" ref="CD60:CO60" si="310">(CD53+CD54)*$C$28</f>
        <v>29.2545</v>
      </c>
      <c r="CE60" s="553">
        <f t="shared" si="310"/>
        <v>29.2545</v>
      </c>
      <c r="CF60" s="553">
        <f t="shared" si="310"/>
        <v>29.2545</v>
      </c>
      <c r="CG60" s="553">
        <f t="shared" si="310"/>
        <v>29.2545</v>
      </c>
      <c r="CH60" s="553">
        <f t="shared" si="310"/>
        <v>29.2545</v>
      </c>
      <c r="CI60" s="553">
        <f t="shared" si="310"/>
        <v>29.2545</v>
      </c>
      <c r="CJ60" s="553">
        <f t="shared" si="310"/>
        <v>53.554500000000004</v>
      </c>
      <c r="CK60" s="562">
        <f t="shared" si="310"/>
        <v>53.554500000000004</v>
      </c>
      <c r="CL60" s="553">
        <f t="shared" si="310"/>
        <v>29.2545</v>
      </c>
      <c r="CM60" s="553">
        <f t="shared" si="310"/>
        <v>29.2545</v>
      </c>
      <c r="CN60" s="553">
        <f t="shared" si="310"/>
        <v>29.2545</v>
      </c>
      <c r="CO60" s="553">
        <f t="shared" si="310"/>
        <v>29.2545</v>
      </c>
      <c r="CP60" s="560">
        <f t="shared" si="270"/>
        <v>399.65400000000005</v>
      </c>
      <c r="CQ60" s="565"/>
      <c r="CR60" s="553">
        <f t="shared" ref="CR60:DC60" si="311">(CR53+CR54)*$C$28</f>
        <v>29.2545</v>
      </c>
      <c r="CS60" s="553">
        <f t="shared" si="311"/>
        <v>29.2545</v>
      </c>
      <c r="CT60" s="553">
        <f t="shared" si="311"/>
        <v>29.2545</v>
      </c>
      <c r="CU60" s="553">
        <f t="shared" si="311"/>
        <v>29.2545</v>
      </c>
      <c r="CV60" s="553">
        <f t="shared" si="311"/>
        <v>29.2545</v>
      </c>
      <c r="CW60" s="553">
        <f t="shared" si="311"/>
        <v>29.2545</v>
      </c>
      <c r="CX60" s="553">
        <f t="shared" si="311"/>
        <v>29.2545</v>
      </c>
      <c r="CY60" s="553">
        <f t="shared" si="311"/>
        <v>29.2545</v>
      </c>
      <c r="CZ60" s="553">
        <f t="shared" si="311"/>
        <v>29.2545</v>
      </c>
      <c r="DA60" s="553">
        <f t="shared" si="311"/>
        <v>29.2545</v>
      </c>
      <c r="DB60" s="553">
        <f t="shared" si="311"/>
        <v>29.2545</v>
      </c>
      <c r="DC60" s="553">
        <f t="shared" si="311"/>
        <v>29.2545</v>
      </c>
      <c r="DD60" s="560">
        <f t="shared" si="272"/>
        <v>351.05400000000003</v>
      </c>
      <c r="DE60" s="565"/>
      <c r="DF60" s="553">
        <f t="shared" ref="DF60:DQ60" si="312">(DF53+DF54)*$C$28</f>
        <v>53.554500000000004</v>
      </c>
      <c r="DG60" s="562">
        <f t="shared" si="312"/>
        <v>53.554500000000004</v>
      </c>
      <c r="DH60" s="553">
        <f t="shared" si="312"/>
        <v>29.2545</v>
      </c>
      <c r="DI60" s="553">
        <f t="shared" si="312"/>
        <v>29.2545</v>
      </c>
      <c r="DJ60" s="553">
        <f t="shared" si="312"/>
        <v>29.2545</v>
      </c>
      <c r="DK60" s="553">
        <f t="shared" si="312"/>
        <v>29.2545</v>
      </c>
      <c r="DL60" s="553">
        <f t="shared" si="312"/>
        <v>29.2545</v>
      </c>
      <c r="DM60" s="553">
        <f t="shared" si="312"/>
        <v>29.2545</v>
      </c>
      <c r="DN60" s="553">
        <f t="shared" si="312"/>
        <v>29.2545</v>
      </c>
      <c r="DO60" s="553">
        <f t="shared" si="312"/>
        <v>29.2545</v>
      </c>
      <c r="DP60" s="553">
        <f t="shared" si="312"/>
        <v>29.2545</v>
      </c>
      <c r="DQ60" s="553">
        <f t="shared" si="312"/>
        <v>29.2545</v>
      </c>
      <c r="DR60" s="560">
        <f t="shared" si="274"/>
        <v>399.65400000000005</v>
      </c>
      <c r="DS60" s="565"/>
      <c r="DT60" s="553">
        <f t="shared" ref="DT60:EE60" si="313">(DT53+DT54)*$C$28</f>
        <v>29.2545</v>
      </c>
      <c r="DU60" s="553">
        <f t="shared" si="313"/>
        <v>29.2545</v>
      </c>
      <c r="DV60" s="553">
        <f t="shared" si="313"/>
        <v>29.2545</v>
      </c>
      <c r="DW60" s="553">
        <f t="shared" si="313"/>
        <v>29.2545</v>
      </c>
      <c r="DX60" s="553">
        <f t="shared" si="313"/>
        <v>29.2545</v>
      </c>
      <c r="DY60" s="553">
        <f t="shared" si="313"/>
        <v>29.2545</v>
      </c>
      <c r="DZ60" s="553">
        <f t="shared" si="313"/>
        <v>53.554500000000004</v>
      </c>
      <c r="EA60" s="562">
        <f t="shared" si="313"/>
        <v>53.554500000000004</v>
      </c>
      <c r="EB60" s="553">
        <f t="shared" si="313"/>
        <v>29.2545</v>
      </c>
      <c r="EC60" s="553">
        <f t="shared" si="313"/>
        <v>29.2545</v>
      </c>
      <c r="ED60" s="553">
        <f t="shared" si="313"/>
        <v>29.2545</v>
      </c>
      <c r="EE60" s="553">
        <f t="shared" si="313"/>
        <v>29.2545</v>
      </c>
      <c r="EF60" s="560">
        <f t="shared" si="276"/>
        <v>399.65400000000005</v>
      </c>
      <c r="EG60" s="565"/>
      <c r="EH60" s="553">
        <f t="shared" ref="EH60:ES60" si="314">(EH53+EH54)*$C$28</f>
        <v>29.2545</v>
      </c>
      <c r="EI60" s="553">
        <f t="shared" si="314"/>
        <v>29.2545</v>
      </c>
      <c r="EJ60" s="553">
        <f t="shared" si="314"/>
        <v>29.2545</v>
      </c>
      <c r="EK60" s="553">
        <f t="shared" si="314"/>
        <v>29.2545</v>
      </c>
      <c r="EL60" s="553">
        <f t="shared" si="314"/>
        <v>29.2545</v>
      </c>
      <c r="EM60" s="553">
        <f t="shared" si="314"/>
        <v>29.2545</v>
      </c>
      <c r="EN60" s="553">
        <f t="shared" si="314"/>
        <v>29.2545</v>
      </c>
      <c r="EO60" s="553">
        <f t="shared" si="314"/>
        <v>29.2545</v>
      </c>
      <c r="EP60" s="553">
        <f t="shared" si="314"/>
        <v>29.2545</v>
      </c>
      <c r="EQ60" s="553">
        <f t="shared" si="314"/>
        <v>29.2545</v>
      </c>
      <c r="ER60" s="553">
        <f t="shared" si="314"/>
        <v>29.2545</v>
      </c>
      <c r="ES60" s="553">
        <f t="shared" si="314"/>
        <v>29.2545</v>
      </c>
      <c r="ET60" s="560">
        <f t="shared" si="278"/>
        <v>351.05400000000003</v>
      </c>
      <c r="EU60" s="565"/>
    </row>
    <row r="61" spans="2:151" ht="10.5" customHeight="1" x14ac:dyDescent="0.35">
      <c r="B61" s="531"/>
      <c r="C61" s="531"/>
      <c r="I61" s="536"/>
      <c r="J61" s="531" t="s">
        <v>510</v>
      </c>
      <c r="K61" s="531" t="s">
        <v>1068</v>
      </c>
      <c r="Y61" s="565"/>
      <c r="Z61" s="553">
        <f>(Z53+Z54)*$C$29</f>
        <v>4.8600000000000003</v>
      </c>
      <c r="AA61" s="553">
        <f t="shared" ref="AA61:AK61" si="315">(AA53+AA54)*$C$29</f>
        <v>4.8600000000000003</v>
      </c>
      <c r="AB61" s="553">
        <f t="shared" si="315"/>
        <v>5.8509000000000002</v>
      </c>
      <c r="AC61" s="553">
        <f t="shared" si="315"/>
        <v>5.8509000000000002</v>
      </c>
      <c r="AD61" s="553">
        <f t="shared" si="315"/>
        <v>5.8509000000000002</v>
      </c>
      <c r="AE61" s="553">
        <f t="shared" si="315"/>
        <v>5.8509000000000002</v>
      </c>
      <c r="AF61" s="553">
        <f t="shared" si="315"/>
        <v>5.8509000000000002</v>
      </c>
      <c r="AG61" s="553">
        <f t="shared" si="315"/>
        <v>5.8509000000000002</v>
      </c>
      <c r="AH61" s="553">
        <f t="shared" si="315"/>
        <v>5.8509000000000002</v>
      </c>
      <c r="AI61" s="553">
        <f t="shared" si="315"/>
        <v>5.8509000000000002</v>
      </c>
      <c r="AJ61" s="553">
        <f t="shared" si="315"/>
        <v>5.8509000000000002</v>
      </c>
      <c r="AK61" s="553">
        <f t="shared" si="315"/>
        <v>5.8509000000000002</v>
      </c>
      <c r="AL61" s="560">
        <f t="shared" si="262"/>
        <v>68.229000000000013</v>
      </c>
      <c r="AM61" s="565"/>
      <c r="AN61" s="553">
        <f t="shared" ref="AN61:AY61" si="316">(AN53+AN54)*$C$29</f>
        <v>5.8509000000000002</v>
      </c>
      <c r="AO61" s="553">
        <f t="shared" si="316"/>
        <v>5.8509000000000002</v>
      </c>
      <c r="AP61" s="553">
        <f t="shared" si="316"/>
        <v>5.8509000000000002</v>
      </c>
      <c r="AQ61" s="553">
        <f t="shared" si="316"/>
        <v>5.8509000000000002</v>
      </c>
      <c r="AR61" s="553">
        <f t="shared" si="316"/>
        <v>5.8509000000000002</v>
      </c>
      <c r="AS61" s="553">
        <f t="shared" si="316"/>
        <v>5.8509000000000002</v>
      </c>
      <c r="AT61" s="553">
        <f t="shared" si="316"/>
        <v>10.710900000000001</v>
      </c>
      <c r="AU61" s="562">
        <f t="shared" si="316"/>
        <v>10.710900000000001</v>
      </c>
      <c r="AV61" s="553">
        <f t="shared" si="316"/>
        <v>5.8509000000000002</v>
      </c>
      <c r="AW61" s="553">
        <f t="shared" si="316"/>
        <v>5.8509000000000002</v>
      </c>
      <c r="AX61" s="553">
        <f t="shared" si="316"/>
        <v>5.8509000000000002</v>
      </c>
      <c r="AY61" s="553">
        <f t="shared" si="316"/>
        <v>5.8509000000000002</v>
      </c>
      <c r="AZ61" s="560">
        <f t="shared" si="264"/>
        <v>79.930800000000005</v>
      </c>
      <c r="BA61" s="565"/>
      <c r="BB61" s="553">
        <f t="shared" ref="BB61:BM61" si="317">(BB53+BB54)*$C$29</f>
        <v>5.8509000000000002</v>
      </c>
      <c r="BC61" s="553">
        <f t="shared" si="317"/>
        <v>5.8509000000000002</v>
      </c>
      <c r="BD61" s="553">
        <f t="shared" si="317"/>
        <v>5.8509000000000002</v>
      </c>
      <c r="BE61" s="553">
        <f t="shared" si="317"/>
        <v>5.8509000000000002</v>
      </c>
      <c r="BF61" s="553">
        <f t="shared" si="317"/>
        <v>5.8509000000000002</v>
      </c>
      <c r="BG61" s="553">
        <f t="shared" si="317"/>
        <v>5.8509000000000002</v>
      </c>
      <c r="BH61" s="553">
        <f t="shared" si="317"/>
        <v>5.8509000000000002</v>
      </c>
      <c r="BI61" s="553">
        <f t="shared" si="317"/>
        <v>5.8509000000000002</v>
      </c>
      <c r="BJ61" s="553">
        <f t="shared" si="317"/>
        <v>5.8509000000000002</v>
      </c>
      <c r="BK61" s="553">
        <f t="shared" si="317"/>
        <v>5.8509000000000002</v>
      </c>
      <c r="BL61" s="553">
        <f t="shared" si="317"/>
        <v>5.8509000000000002</v>
      </c>
      <c r="BM61" s="553">
        <f t="shared" si="317"/>
        <v>5.8509000000000002</v>
      </c>
      <c r="BN61" s="560">
        <f t="shared" si="266"/>
        <v>70.210800000000006</v>
      </c>
      <c r="BO61" s="565"/>
      <c r="BP61" s="553">
        <f t="shared" ref="BP61:CA61" si="318">(BP53+BP54)*$C$29</f>
        <v>10.710900000000001</v>
      </c>
      <c r="BQ61" s="562">
        <f t="shared" si="318"/>
        <v>10.710900000000001</v>
      </c>
      <c r="BR61" s="553">
        <f t="shared" si="318"/>
        <v>5.8509000000000002</v>
      </c>
      <c r="BS61" s="553">
        <f t="shared" si="318"/>
        <v>5.8509000000000002</v>
      </c>
      <c r="BT61" s="553">
        <f t="shared" si="318"/>
        <v>5.8509000000000002</v>
      </c>
      <c r="BU61" s="553">
        <f t="shared" si="318"/>
        <v>5.8509000000000002</v>
      </c>
      <c r="BV61" s="553">
        <f t="shared" si="318"/>
        <v>5.8509000000000002</v>
      </c>
      <c r="BW61" s="553">
        <f t="shared" si="318"/>
        <v>5.8509000000000002</v>
      </c>
      <c r="BX61" s="553">
        <f t="shared" si="318"/>
        <v>5.8509000000000002</v>
      </c>
      <c r="BY61" s="553">
        <f t="shared" si="318"/>
        <v>5.8509000000000002</v>
      </c>
      <c r="BZ61" s="553">
        <f t="shared" si="318"/>
        <v>5.8509000000000002</v>
      </c>
      <c r="CA61" s="553">
        <f t="shared" si="318"/>
        <v>5.8509000000000002</v>
      </c>
      <c r="CB61" s="560">
        <f t="shared" si="268"/>
        <v>79.930800000000005</v>
      </c>
      <c r="CC61" s="565"/>
      <c r="CD61" s="553">
        <f t="shared" ref="CD61:CO61" si="319">(CD53+CD54)*$C$29</f>
        <v>5.8509000000000002</v>
      </c>
      <c r="CE61" s="553">
        <f t="shared" si="319"/>
        <v>5.8509000000000002</v>
      </c>
      <c r="CF61" s="553">
        <f t="shared" si="319"/>
        <v>5.8509000000000002</v>
      </c>
      <c r="CG61" s="553">
        <f t="shared" si="319"/>
        <v>5.8509000000000002</v>
      </c>
      <c r="CH61" s="553">
        <f t="shared" si="319"/>
        <v>5.8509000000000002</v>
      </c>
      <c r="CI61" s="553">
        <f t="shared" si="319"/>
        <v>5.8509000000000002</v>
      </c>
      <c r="CJ61" s="553">
        <f t="shared" si="319"/>
        <v>10.710900000000001</v>
      </c>
      <c r="CK61" s="562">
        <f t="shared" si="319"/>
        <v>10.710900000000001</v>
      </c>
      <c r="CL61" s="553">
        <f t="shared" si="319"/>
        <v>5.8509000000000002</v>
      </c>
      <c r="CM61" s="553">
        <f t="shared" si="319"/>
        <v>5.8509000000000002</v>
      </c>
      <c r="CN61" s="553">
        <f t="shared" si="319"/>
        <v>5.8509000000000002</v>
      </c>
      <c r="CO61" s="553">
        <f t="shared" si="319"/>
        <v>5.8509000000000002</v>
      </c>
      <c r="CP61" s="560">
        <f t="shared" si="270"/>
        <v>79.930800000000005</v>
      </c>
      <c r="CQ61" s="565"/>
      <c r="CR61" s="553">
        <f t="shared" ref="CR61:DC61" si="320">(CR53+CR54)*$C$29</f>
        <v>5.8509000000000002</v>
      </c>
      <c r="CS61" s="553">
        <f t="shared" si="320"/>
        <v>5.8509000000000002</v>
      </c>
      <c r="CT61" s="553">
        <f t="shared" si="320"/>
        <v>5.8509000000000002</v>
      </c>
      <c r="CU61" s="553">
        <f t="shared" si="320"/>
        <v>5.8509000000000002</v>
      </c>
      <c r="CV61" s="553">
        <f t="shared" si="320"/>
        <v>5.8509000000000002</v>
      </c>
      <c r="CW61" s="553">
        <f t="shared" si="320"/>
        <v>5.8509000000000002</v>
      </c>
      <c r="CX61" s="553">
        <f t="shared" si="320"/>
        <v>5.8509000000000002</v>
      </c>
      <c r="CY61" s="553">
        <f t="shared" si="320"/>
        <v>5.8509000000000002</v>
      </c>
      <c r="CZ61" s="553">
        <f t="shared" si="320"/>
        <v>5.8509000000000002</v>
      </c>
      <c r="DA61" s="553">
        <f t="shared" si="320"/>
        <v>5.8509000000000002</v>
      </c>
      <c r="DB61" s="553">
        <f t="shared" si="320"/>
        <v>5.8509000000000002</v>
      </c>
      <c r="DC61" s="553">
        <f t="shared" si="320"/>
        <v>5.8509000000000002</v>
      </c>
      <c r="DD61" s="560">
        <f t="shared" si="272"/>
        <v>70.210800000000006</v>
      </c>
      <c r="DE61" s="565"/>
      <c r="DF61" s="553">
        <f t="shared" ref="DF61:DQ61" si="321">(DF53+DF54)*$C$29</f>
        <v>10.710900000000001</v>
      </c>
      <c r="DG61" s="562">
        <f t="shared" si="321"/>
        <v>10.710900000000001</v>
      </c>
      <c r="DH61" s="553">
        <f t="shared" si="321"/>
        <v>5.8509000000000002</v>
      </c>
      <c r="DI61" s="553">
        <f t="shared" si="321"/>
        <v>5.8509000000000002</v>
      </c>
      <c r="DJ61" s="553">
        <f t="shared" si="321"/>
        <v>5.8509000000000002</v>
      </c>
      <c r="DK61" s="553">
        <f t="shared" si="321"/>
        <v>5.8509000000000002</v>
      </c>
      <c r="DL61" s="553">
        <f t="shared" si="321"/>
        <v>5.8509000000000002</v>
      </c>
      <c r="DM61" s="553">
        <f t="shared" si="321"/>
        <v>5.8509000000000002</v>
      </c>
      <c r="DN61" s="553">
        <f t="shared" si="321"/>
        <v>5.8509000000000002</v>
      </c>
      <c r="DO61" s="553">
        <f t="shared" si="321"/>
        <v>5.8509000000000002</v>
      </c>
      <c r="DP61" s="553">
        <f t="shared" si="321"/>
        <v>5.8509000000000002</v>
      </c>
      <c r="DQ61" s="553">
        <f t="shared" si="321"/>
        <v>5.8509000000000002</v>
      </c>
      <c r="DR61" s="560">
        <f t="shared" si="274"/>
        <v>79.930800000000005</v>
      </c>
      <c r="DS61" s="565"/>
      <c r="DT61" s="553">
        <f t="shared" ref="DT61:EE61" si="322">(DT53+DT54)*$C$29</f>
        <v>5.8509000000000002</v>
      </c>
      <c r="DU61" s="553">
        <f t="shared" si="322"/>
        <v>5.8509000000000002</v>
      </c>
      <c r="DV61" s="553">
        <f t="shared" si="322"/>
        <v>5.8509000000000002</v>
      </c>
      <c r="DW61" s="553">
        <f t="shared" si="322"/>
        <v>5.8509000000000002</v>
      </c>
      <c r="DX61" s="553">
        <f t="shared" si="322"/>
        <v>5.8509000000000002</v>
      </c>
      <c r="DY61" s="553">
        <f t="shared" si="322"/>
        <v>5.8509000000000002</v>
      </c>
      <c r="DZ61" s="553">
        <f t="shared" si="322"/>
        <v>10.710900000000001</v>
      </c>
      <c r="EA61" s="562">
        <f t="shared" si="322"/>
        <v>10.710900000000001</v>
      </c>
      <c r="EB61" s="553">
        <f t="shared" si="322"/>
        <v>5.8509000000000002</v>
      </c>
      <c r="EC61" s="553">
        <f t="shared" si="322"/>
        <v>5.8509000000000002</v>
      </c>
      <c r="ED61" s="553">
        <f t="shared" si="322"/>
        <v>5.8509000000000002</v>
      </c>
      <c r="EE61" s="553">
        <f t="shared" si="322"/>
        <v>5.8509000000000002</v>
      </c>
      <c r="EF61" s="560">
        <f t="shared" si="276"/>
        <v>79.930800000000005</v>
      </c>
      <c r="EG61" s="565"/>
      <c r="EH61" s="553">
        <f t="shared" ref="EH61:ES61" si="323">(EH53+EH54)*$C$29</f>
        <v>5.8509000000000002</v>
      </c>
      <c r="EI61" s="553">
        <f t="shared" si="323"/>
        <v>5.8509000000000002</v>
      </c>
      <c r="EJ61" s="553">
        <f t="shared" si="323"/>
        <v>5.8509000000000002</v>
      </c>
      <c r="EK61" s="553">
        <f t="shared" si="323"/>
        <v>5.8509000000000002</v>
      </c>
      <c r="EL61" s="553">
        <f t="shared" si="323"/>
        <v>5.8509000000000002</v>
      </c>
      <c r="EM61" s="553">
        <f t="shared" si="323"/>
        <v>5.8509000000000002</v>
      </c>
      <c r="EN61" s="553">
        <f t="shared" si="323"/>
        <v>5.8509000000000002</v>
      </c>
      <c r="EO61" s="553">
        <f t="shared" si="323"/>
        <v>5.8509000000000002</v>
      </c>
      <c r="EP61" s="553">
        <f t="shared" si="323"/>
        <v>5.8509000000000002</v>
      </c>
      <c r="EQ61" s="553">
        <f t="shared" si="323"/>
        <v>5.8509000000000002</v>
      </c>
      <c r="ER61" s="553">
        <f t="shared" si="323"/>
        <v>5.8509000000000002</v>
      </c>
      <c r="ES61" s="553">
        <f t="shared" si="323"/>
        <v>5.8509000000000002</v>
      </c>
      <c r="ET61" s="560">
        <f t="shared" si="278"/>
        <v>70.210800000000006</v>
      </c>
      <c r="EU61" s="565"/>
    </row>
    <row r="62" spans="2:151" ht="10.5" customHeight="1" x14ac:dyDescent="0.35">
      <c r="B62" s="531"/>
      <c r="C62" s="531"/>
      <c r="I62" s="536"/>
      <c r="J62" s="531" t="s">
        <v>511</v>
      </c>
      <c r="K62" s="531" t="s">
        <v>1069</v>
      </c>
      <c r="Y62" s="565"/>
      <c r="Z62" s="553">
        <f>(Z53+Z54)*$C$30</f>
        <v>12.15</v>
      </c>
      <c r="AA62" s="553">
        <f t="shared" ref="AA62:AK62" si="324">(AA53+AA54)*$C$30</f>
        <v>12.15</v>
      </c>
      <c r="AB62" s="553">
        <f t="shared" si="324"/>
        <v>14.62725</v>
      </c>
      <c r="AC62" s="553">
        <f t="shared" si="324"/>
        <v>14.62725</v>
      </c>
      <c r="AD62" s="553">
        <f t="shared" si="324"/>
        <v>14.62725</v>
      </c>
      <c r="AE62" s="553">
        <f t="shared" si="324"/>
        <v>14.62725</v>
      </c>
      <c r="AF62" s="553">
        <f t="shared" si="324"/>
        <v>14.62725</v>
      </c>
      <c r="AG62" s="553">
        <f t="shared" si="324"/>
        <v>14.62725</v>
      </c>
      <c r="AH62" s="553">
        <f t="shared" si="324"/>
        <v>14.62725</v>
      </c>
      <c r="AI62" s="553">
        <f t="shared" si="324"/>
        <v>14.62725</v>
      </c>
      <c r="AJ62" s="553">
        <f t="shared" si="324"/>
        <v>14.62725</v>
      </c>
      <c r="AK62" s="553">
        <f t="shared" si="324"/>
        <v>14.62725</v>
      </c>
      <c r="AL62" s="560">
        <f t="shared" si="262"/>
        <v>170.57250000000002</v>
      </c>
      <c r="AM62" s="565"/>
      <c r="AN62" s="553">
        <f t="shared" ref="AN62:AY62" si="325">(AN53+AN54)*$C$30</f>
        <v>14.62725</v>
      </c>
      <c r="AO62" s="553">
        <f t="shared" si="325"/>
        <v>14.62725</v>
      </c>
      <c r="AP62" s="553">
        <f t="shared" si="325"/>
        <v>14.62725</v>
      </c>
      <c r="AQ62" s="553">
        <f t="shared" si="325"/>
        <v>14.62725</v>
      </c>
      <c r="AR62" s="553">
        <f t="shared" si="325"/>
        <v>14.62725</v>
      </c>
      <c r="AS62" s="553">
        <f t="shared" si="325"/>
        <v>14.62725</v>
      </c>
      <c r="AT62" s="553">
        <f t="shared" si="325"/>
        <v>26.777250000000002</v>
      </c>
      <c r="AU62" s="562">
        <f t="shared" si="325"/>
        <v>26.777250000000002</v>
      </c>
      <c r="AV62" s="553">
        <f t="shared" si="325"/>
        <v>14.62725</v>
      </c>
      <c r="AW62" s="553">
        <f t="shared" si="325"/>
        <v>14.62725</v>
      </c>
      <c r="AX62" s="553">
        <f t="shared" si="325"/>
        <v>14.62725</v>
      </c>
      <c r="AY62" s="553">
        <f t="shared" si="325"/>
        <v>14.62725</v>
      </c>
      <c r="AZ62" s="560">
        <f t="shared" si="264"/>
        <v>199.82700000000003</v>
      </c>
      <c r="BA62" s="565"/>
      <c r="BB62" s="553">
        <f t="shared" ref="BB62:BM62" si="326">(BB53+BB54)*$C$30</f>
        <v>14.62725</v>
      </c>
      <c r="BC62" s="553">
        <f t="shared" si="326"/>
        <v>14.62725</v>
      </c>
      <c r="BD62" s="553">
        <f t="shared" si="326"/>
        <v>14.62725</v>
      </c>
      <c r="BE62" s="553">
        <f t="shared" si="326"/>
        <v>14.62725</v>
      </c>
      <c r="BF62" s="553">
        <f t="shared" si="326"/>
        <v>14.62725</v>
      </c>
      <c r="BG62" s="553">
        <f t="shared" si="326"/>
        <v>14.62725</v>
      </c>
      <c r="BH62" s="553">
        <f t="shared" si="326"/>
        <v>14.62725</v>
      </c>
      <c r="BI62" s="553">
        <f t="shared" si="326"/>
        <v>14.62725</v>
      </c>
      <c r="BJ62" s="553">
        <f t="shared" si="326"/>
        <v>14.62725</v>
      </c>
      <c r="BK62" s="553">
        <f t="shared" si="326"/>
        <v>14.62725</v>
      </c>
      <c r="BL62" s="553">
        <f t="shared" si="326"/>
        <v>14.62725</v>
      </c>
      <c r="BM62" s="553">
        <f t="shared" si="326"/>
        <v>14.62725</v>
      </c>
      <c r="BN62" s="560">
        <f t="shared" si="266"/>
        <v>175.52700000000002</v>
      </c>
      <c r="BO62" s="565"/>
      <c r="BP62" s="553">
        <f t="shared" ref="BP62:CA62" si="327">(BP53+BP54)*$C$30</f>
        <v>26.777250000000002</v>
      </c>
      <c r="BQ62" s="562">
        <f t="shared" si="327"/>
        <v>26.777250000000002</v>
      </c>
      <c r="BR62" s="553">
        <f t="shared" si="327"/>
        <v>14.62725</v>
      </c>
      <c r="BS62" s="553">
        <f t="shared" si="327"/>
        <v>14.62725</v>
      </c>
      <c r="BT62" s="553">
        <f t="shared" si="327"/>
        <v>14.62725</v>
      </c>
      <c r="BU62" s="553">
        <f t="shared" si="327"/>
        <v>14.62725</v>
      </c>
      <c r="BV62" s="553">
        <f t="shared" si="327"/>
        <v>14.62725</v>
      </c>
      <c r="BW62" s="553">
        <f t="shared" si="327"/>
        <v>14.62725</v>
      </c>
      <c r="BX62" s="553">
        <f t="shared" si="327"/>
        <v>14.62725</v>
      </c>
      <c r="BY62" s="553">
        <f t="shared" si="327"/>
        <v>14.62725</v>
      </c>
      <c r="BZ62" s="553">
        <f t="shared" si="327"/>
        <v>14.62725</v>
      </c>
      <c r="CA62" s="553">
        <f t="shared" si="327"/>
        <v>14.62725</v>
      </c>
      <c r="CB62" s="560">
        <f t="shared" si="268"/>
        <v>199.82700000000003</v>
      </c>
      <c r="CC62" s="565"/>
      <c r="CD62" s="553">
        <f t="shared" ref="CD62:CO62" si="328">(CD53+CD54)*$C$30</f>
        <v>14.62725</v>
      </c>
      <c r="CE62" s="553">
        <f t="shared" si="328"/>
        <v>14.62725</v>
      </c>
      <c r="CF62" s="553">
        <f t="shared" si="328"/>
        <v>14.62725</v>
      </c>
      <c r="CG62" s="553">
        <f t="shared" si="328"/>
        <v>14.62725</v>
      </c>
      <c r="CH62" s="553">
        <f t="shared" si="328"/>
        <v>14.62725</v>
      </c>
      <c r="CI62" s="553">
        <f t="shared" si="328"/>
        <v>14.62725</v>
      </c>
      <c r="CJ62" s="553">
        <f t="shared" si="328"/>
        <v>26.777250000000002</v>
      </c>
      <c r="CK62" s="562">
        <f t="shared" si="328"/>
        <v>26.777250000000002</v>
      </c>
      <c r="CL62" s="553">
        <f t="shared" si="328"/>
        <v>14.62725</v>
      </c>
      <c r="CM62" s="553">
        <f t="shared" si="328"/>
        <v>14.62725</v>
      </c>
      <c r="CN62" s="553">
        <f t="shared" si="328"/>
        <v>14.62725</v>
      </c>
      <c r="CO62" s="553">
        <f t="shared" si="328"/>
        <v>14.62725</v>
      </c>
      <c r="CP62" s="560">
        <f t="shared" si="270"/>
        <v>199.82700000000003</v>
      </c>
      <c r="CQ62" s="565"/>
      <c r="CR62" s="553">
        <f t="shared" ref="CR62:DC62" si="329">(CR53+CR54)*$C$30</f>
        <v>14.62725</v>
      </c>
      <c r="CS62" s="553">
        <f t="shared" si="329"/>
        <v>14.62725</v>
      </c>
      <c r="CT62" s="553">
        <f t="shared" si="329"/>
        <v>14.62725</v>
      </c>
      <c r="CU62" s="553">
        <f t="shared" si="329"/>
        <v>14.62725</v>
      </c>
      <c r="CV62" s="553">
        <f t="shared" si="329"/>
        <v>14.62725</v>
      </c>
      <c r="CW62" s="553">
        <f t="shared" si="329"/>
        <v>14.62725</v>
      </c>
      <c r="CX62" s="553">
        <f t="shared" si="329"/>
        <v>14.62725</v>
      </c>
      <c r="CY62" s="553">
        <f t="shared" si="329"/>
        <v>14.62725</v>
      </c>
      <c r="CZ62" s="553">
        <f t="shared" si="329"/>
        <v>14.62725</v>
      </c>
      <c r="DA62" s="553">
        <f t="shared" si="329"/>
        <v>14.62725</v>
      </c>
      <c r="DB62" s="553">
        <f t="shared" si="329"/>
        <v>14.62725</v>
      </c>
      <c r="DC62" s="553">
        <f t="shared" si="329"/>
        <v>14.62725</v>
      </c>
      <c r="DD62" s="560">
        <f t="shared" si="272"/>
        <v>175.52700000000002</v>
      </c>
      <c r="DE62" s="565"/>
      <c r="DF62" s="553">
        <f t="shared" ref="DF62:DQ62" si="330">(DF53+DF54)*$C$30</f>
        <v>26.777250000000002</v>
      </c>
      <c r="DG62" s="562">
        <f t="shared" si="330"/>
        <v>26.777250000000002</v>
      </c>
      <c r="DH62" s="553">
        <f t="shared" si="330"/>
        <v>14.62725</v>
      </c>
      <c r="DI62" s="553">
        <f t="shared" si="330"/>
        <v>14.62725</v>
      </c>
      <c r="DJ62" s="553">
        <f t="shared" si="330"/>
        <v>14.62725</v>
      </c>
      <c r="DK62" s="553">
        <f t="shared" si="330"/>
        <v>14.62725</v>
      </c>
      <c r="DL62" s="553">
        <f t="shared" si="330"/>
        <v>14.62725</v>
      </c>
      <c r="DM62" s="553">
        <f t="shared" si="330"/>
        <v>14.62725</v>
      </c>
      <c r="DN62" s="553">
        <f t="shared" si="330"/>
        <v>14.62725</v>
      </c>
      <c r="DO62" s="553">
        <f t="shared" si="330"/>
        <v>14.62725</v>
      </c>
      <c r="DP62" s="553">
        <f t="shared" si="330"/>
        <v>14.62725</v>
      </c>
      <c r="DQ62" s="553">
        <f t="shared" si="330"/>
        <v>14.62725</v>
      </c>
      <c r="DR62" s="560">
        <f t="shared" si="274"/>
        <v>199.82700000000003</v>
      </c>
      <c r="DS62" s="565"/>
      <c r="DT62" s="553">
        <f t="shared" ref="DT62:EE62" si="331">(DT53+DT54)*$C$30</f>
        <v>14.62725</v>
      </c>
      <c r="DU62" s="553">
        <f t="shared" si="331"/>
        <v>14.62725</v>
      </c>
      <c r="DV62" s="553">
        <f t="shared" si="331"/>
        <v>14.62725</v>
      </c>
      <c r="DW62" s="553">
        <f t="shared" si="331"/>
        <v>14.62725</v>
      </c>
      <c r="DX62" s="553">
        <f t="shared" si="331"/>
        <v>14.62725</v>
      </c>
      <c r="DY62" s="553">
        <f t="shared" si="331"/>
        <v>14.62725</v>
      </c>
      <c r="DZ62" s="553">
        <f t="shared" si="331"/>
        <v>26.777250000000002</v>
      </c>
      <c r="EA62" s="562">
        <f t="shared" si="331"/>
        <v>26.777250000000002</v>
      </c>
      <c r="EB62" s="553">
        <f t="shared" si="331"/>
        <v>14.62725</v>
      </c>
      <c r="EC62" s="553">
        <f t="shared" si="331"/>
        <v>14.62725</v>
      </c>
      <c r="ED62" s="553">
        <f t="shared" si="331"/>
        <v>14.62725</v>
      </c>
      <c r="EE62" s="553">
        <f t="shared" si="331"/>
        <v>14.62725</v>
      </c>
      <c r="EF62" s="560">
        <f t="shared" si="276"/>
        <v>199.82700000000003</v>
      </c>
      <c r="EG62" s="565"/>
      <c r="EH62" s="553">
        <f t="shared" ref="EH62:ES62" si="332">(EH53+EH54)*$C$30</f>
        <v>14.62725</v>
      </c>
      <c r="EI62" s="553">
        <f t="shared" si="332"/>
        <v>14.62725</v>
      </c>
      <c r="EJ62" s="553">
        <f t="shared" si="332"/>
        <v>14.62725</v>
      </c>
      <c r="EK62" s="553">
        <f t="shared" si="332"/>
        <v>14.62725</v>
      </c>
      <c r="EL62" s="553">
        <f t="shared" si="332"/>
        <v>14.62725</v>
      </c>
      <c r="EM62" s="553">
        <f t="shared" si="332"/>
        <v>14.62725</v>
      </c>
      <c r="EN62" s="553">
        <f t="shared" si="332"/>
        <v>14.62725</v>
      </c>
      <c r="EO62" s="553">
        <f t="shared" si="332"/>
        <v>14.62725</v>
      </c>
      <c r="EP62" s="553">
        <f t="shared" si="332"/>
        <v>14.62725</v>
      </c>
      <c r="EQ62" s="553">
        <f t="shared" si="332"/>
        <v>14.62725</v>
      </c>
      <c r="ER62" s="553">
        <f t="shared" si="332"/>
        <v>14.62725</v>
      </c>
      <c r="ES62" s="553">
        <f t="shared" si="332"/>
        <v>14.62725</v>
      </c>
      <c r="ET62" s="560">
        <f t="shared" si="278"/>
        <v>175.52700000000002</v>
      </c>
      <c r="EU62" s="565"/>
    </row>
    <row r="63" spans="2:151" ht="10.5" customHeight="1" x14ac:dyDescent="0.35">
      <c r="I63" s="536"/>
      <c r="J63" s="531" t="s">
        <v>526</v>
      </c>
      <c r="K63" s="531" t="s">
        <v>1070</v>
      </c>
      <c r="Y63" s="565"/>
      <c r="Z63" s="553">
        <f>(Z53+Z54)*$C$31</f>
        <v>17.010000000000002</v>
      </c>
      <c r="AA63" s="553">
        <f t="shared" ref="AA63:AK63" si="333">(AA53+AA54)*$C$31</f>
        <v>17.010000000000002</v>
      </c>
      <c r="AB63" s="553">
        <f t="shared" si="333"/>
        <v>20.478149999999999</v>
      </c>
      <c r="AC63" s="553">
        <f t="shared" si="333"/>
        <v>20.478149999999999</v>
      </c>
      <c r="AD63" s="553">
        <f t="shared" si="333"/>
        <v>20.478149999999999</v>
      </c>
      <c r="AE63" s="553">
        <f t="shared" si="333"/>
        <v>20.478149999999999</v>
      </c>
      <c r="AF63" s="553">
        <f t="shared" si="333"/>
        <v>20.478149999999999</v>
      </c>
      <c r="AG63" s="553">
        <f t="shared" si="333"/>
        <v>20.478149999999999</v>
      </c>
      <c r="AH63" s="553">
        <f t="shared" si="333"/>
        <v>20.478149999999999</v>
      </c>
      <c r="AI63" s="553">
        <f t="shared" si="333"/>
        <v>20.478149999999999</v>
      </c>
      <c r="AJ63" s="553">
        <f t="shared" si="333"/>
        <v>20.478149999999999</v>
      </c>
      <c r="AK63" s="553">
        <f t="shared" si="333"/>
        <v>20.478149999999999</v>
      </c>
      <c r="AL63" s="560">
        <f t="shared" si="262"/>
        <v>238.8015</v>
      </c>
      <c r="AM63" s="565"/>
      <c r="AN63" s="553">
        <f t="shared" ref="AN63:AY63" si="334">(AN53+AN54)*$C$31</f>
        <v>20.478149999999999</v>
      </c>
      <c r="AO63" s="553">
        <f t="shared" si="334"/>
        <v>20.478149999999999</v>
      </c>
      <c r="AP63" s="553">
        <f t="shared" si="334"/>
        <v>20.478149999999999</v>
      </c>
      <c r="AQ63" s="553">
        <f t="shared" si="334"/>
        <v>20.478149999999999</v>
      </c>
      <c r="AR63" s="553">
        <f t="shared" si="334"/>
        <v>20.478149999999999</v>
      </c>
      <c r="AS63" s="553">
        <f t="shared" si="334"/>
        <v>20.478149999999999</v>
      </c>
      <c r="AT63" s="553">
        <f t="shared" si="334"/>
        <v>37.488149999999997</v>
      </c>
      <c r="AU63" s="562">
        <f t="shared" si="334"/>
        <v>37.488149999999997</v>
      </c>
      <c r="AV63" s="553">
        <f t="shared" si="334"/>
        <v>20.478149999999999</v>
      </c>
      <c r="AW63" s="553">
        <f t="shared" si="334"/>
        <v>20.478149999999999</v>
      </c>
      <c r="AX63" s="553">
        <f t="shared" si="334"/>
        <v>20.478149999999999</v>
      </c>
      <c r="AY63" s="553">
        <f t="shared" si="334"/>
        <v>20.478149999999999</v>
      </c>
      <c r="AZ63" s="560">
        <f t="shared" si="264"/>
        <v>279.75779999999997</v>
      </c>
      <c r="BA63" s="565"/>
      <c r="BB63" s="553">
        <f t="shared" ref="BB63:BM63" si="335">(BB53+BB54)*$C$31</f>
        <v>20.478149999999999</v>
      </c>
      <c r="BC63" s="553">
        <f t="shared" si="335"/>
        <v>20.478149999999999</v>
      </c>
      <c r="BD63" s="553">
        <f t="shared" si="335"/>
        <v>20.478149999999999</v>
      </c>
      <c r="BE63" s="553">
        <f t="shared" si="335"/>
        <v>20.478149999999999</v>
      </c>
      <c r="BF63" s="553">
        <f t="shared" si="335"/>
        <v>20.478149999999999</v>
      </c>
      <c r="BG63" s="553">
        <f t="shared" si="335"/>
        <v>20.478149999999999</v>
      </c>
      <c r="BH63" s="553">
        <f t="shared" si="335"/>
        <v>20.478149999999999</v>
      </c>
      <c r="BI63" s="553">
        <f t="shared" si="335"/>
        <v>20.478149999999999</v>
      </c>
      <c r="BJ63" s="553">
        <f t="shared" si="335"/>
        <v>20.478149999999999</v>
      </c>
      <c r="BK63" s="553">
        <f t="shared" si="335"/>
        <v>20.478149999999999</v>
      </c>
      <c r="BL63" s="553">
        <f t="shared" si="335"/>
        <v>20.478149999999999</v>
      </c>
      <c r="BM63" s="553">
        <f t="shared" si="335"/>
        <v>20.478149999999999</v>
      </c>
      <c r="BN63" s="560">
        <f t="shared" si="266"/>
        <v>245.73779999999999</v>
      </c>
      <c r="BO63" s="565"/>
      <c r="BP63" s="553">
        <f t="shared" ref="BP63:CA63" si="336">(BP53+BP54)*$C$31</f>
        <v>37.488149999999997</v>
      </c>
      <c r="BQ63" s="562">
        <f t="shared" si="336"/>
        <v>37.488149999999997</v>
      </c>
      <c r="BR63" s="553">
        <f t="shared" si="336"/>
        <v>20.478149999999999</v>
      </c>
      <c r="BS63" s="553">
        <f t="shared" si="336"/>
        <v>20.478149999999999</v>
      </c>
      <c r="BT63" s="553">
        <f t="shared" si="336"/>
        <v>20.478149999999999</v>
      </c>
      <c r="BU63" s="553">
        <f t="shared" si="336"/>
        <v>20.478149999999999</v>
      </c>
      <c r="BV63" s="553">
        <f t="shared" si="336"/>
        <v>20.478149999999999</v>
      </c>
      <c r="BW63" s="553">
        <f t="shared" si="336"/>
        <v>20.478149999999999</v>
      </c>
      <c r="BX63" s="553">
        <f t="shared" si="336"/>
        <v>20.478149999999999</v>
      </c>
      <c r="BY63" s="553">
        <f t="shared" si="336"/>
        <v>20.478149999999999</v>
      </c>
      <c r="BZ63" s="553">
        <f t="shared" si="336"/>
        <v>20.478149999999999</v>
      </c>
      <c r="CA63" s="553">
        <f t="shared" si="336"/>
        <v>20.478149999999999</v>
      </c>
      <c r="CB63" s="560">
        <f t="shared" si="268"/>
        <v>279.75779999999997</v>
      </c>
      <c r="CC63" s="565"/>
      <c r="CD63" s="553">
        <f t="shared" ref="CD63:CO63" si="337">(CD53+CD54)*$C$31</f>
        <v>20.478149999999999</v>
      </c>
      <c r="CE63" s="553">
        <f t="shared" si="337"/>
        <v>20.478149999999999</v>
      </c>
      <c r="CF63" s="553">
        <f t="shared" si="337"/>
        <v>20.478149999999999</v>
      </c>
      <c r="CG63" s="553">
        <f t="shared" si="337"/>
        <v>20.478149999999999</v>
      </c>
      <c r="CH63" s="553">
        <f t="shared" si="337"/>
        <v>20.478149999999999</v>
      </c>
      <c r="CI63" s="553">
        <f t="shared" si="337"/>
        <v>20.478149999999999</v>
      </c>
      <c r="CJ63" s="553">
        <f t="shared" si="337"/>
        <v>37.488149999999997</v>
      </c>
      <c r="CK63" s="562">
        <f t="shared" si="337"/>
        <v>37.488149999999997</v>
      </c>
      <c r="CL63" s="553">
        <f t="shared" si="337"/>
        <v>20.478149999999999</v>
      </c>
      <c r="CM63" s="553">
        <f t="shared" si="337"/>
        <v>20.478149999999999</v>
      </c>
      <c r="CN63" s="553">
        <f t="shared" si="337"/>
        <v>20.478149999999999</v>
      </c>
      <c r="CO63" s="553">
        <f t="shared" si="337"/>
        <v>20.478149999999999</v>
      </c>
      <c r="CP63" s="560">
        <f t="shared" si="270"/>
        <v>279.75779999999997</v>
      </c>
      <c r="CQ63" s="565"/>
      <c r="CR63" s="553">
        <f t="shared" ref="CR63:DC63" si="338">(CR53+CR54)*$C$31</f>
        <v>20.478149999999999</v>
      </c>
      <c r="CS63" s="553">
        <f t="shared" si="338"/>
        <v>20.478149999999999</v>
      </c>
      <c r="CT63" s="553">
        <f t="shared" si="338"/>
        <v>20.478149999999999</v>
      </c>
      <c r="CU63" s="553">
        <f t="shared" si="338"/>
        <v>20.478149999999999</v>
      </c>
      <c r="CV63" s="553">
        <f t="shared" si="338"/>
        <v>20.478149999999999</v>
      </c>
      <c r="CW63" s="553">
        <f t="shared" si="338"/>
        <v>20.478149999999999</v>
      </c>
      <c r="CX63" s="553">
        <f t="shared" si="338"/>
        <v>20.478149999999999</v>
      </c>
      <c r="CY63" s="553">
        <f t="shared" si="338"/>
        <v>20.478149999999999</v>
      </c>
      <c r="CZ63" s="553">
        <f t="shared" si="338"/>
        <v>20.478149999999999</v>
      </c>
      <c r="DA63" s="553">
        <f t="shared" si="338"/>
        <v>20.478149999999999</v>
      </c>
      <c r="DB63" s="553">
        <f t="shared" si="338"/>
        <v>20.478149999999999</v>
      </c>
      <c r="DC63" s="553">
        <f t="shared" si="338"/>
        <v>20.478149999999999</v>
      </c>
      <c r="DD63" s="560">
        <f t="shared" si="272"/>
        <v>245.73779999999999</v>
      </c>
      <c r="DE63" s="565"/>
      <c r="DF63" s="553">
        <f t="shared" ref="DF63:DQ63" si="339">(DF53+DF54)*$C$31</f>
        <v>37.488149999999997</v>
      </c>
      <c r="DG63" s="562">
        <f t="shared" si="339"/>
        <v>37.488149999999997</v>
      </c>
      <c r="DH63" s="553">
        <f t="shared" si="339"/>
        <v>20.478149999999999</v>
      </c>
      <c r="DI63" s="553">
        <f t="shared" si="339"/>
        <v>20.478149999999999</v>
      </c>
      <c r="DJ63" s="553">
        <f t="shared" si="339"/>
        <v>20.478149999999999</v>
      </c>
      <c r="DK63" s="553">
        <f t="shared" si="339"/>
        <v>20.478149999999999</v>
      </c>
      <c r="DL63" s="553">
        <f t="shared" si="339"/>
        <v>20.478149999999999</v>
      </c>
      <c r="DM63" s="553">
        <f t="shared" si="339"/>
        <v>20.478149999999999</v>
      </c>
      <c r="DN63" s="553">
        <f t="shared" si="339"/>
        <v>20.478149999999999</v>
      </c>
      <c r="DO63" s="553">
        <f t="shared" si="339"/>
        <v>20.478149999999999</v>
      </c>
      <c r="DP63" s="553">
        <f t="shared" si="339"/>
        <v>20.478149999999999</v>
      </c>
      <c r="DQ63" s="553">
        <f t="shared" si="339"/>
        <v>20.478149999999999</v>
      </c>
      <c r="DR63" s="560">
        <f t="shared" si="274"/>
        <v>279.75779999999997</v>
      </c>
      <c r="DS63" s="565"/>
      <c r="DT63" s="553">
        <f t="shared" ref="DT63:EE63" si="340">(DT53+DT54)*$C$31</f>
        <v>20.478149999999999</v>
      </c>
      <c r="DU63" s="553">
        <f t="shared" si="340"/>
        <v>20.478149999999999</v>
      </c>
      <c r="DV63" s="553">
        <f t="shared" si="340"/>
        <v>20.478149999999999</v>
      </c>
      <c r="DW63" s="553">
        <f t="shared" si="340"/>
        <v>20.478149999999999</v>
      </c>
      <c r="DX63" s="553">
        <f t="shared" si="340"/>
        <v>20.478149999999999</v>
      </c>
      <c r="DY63" s="553">
        <f t="shared" si="340"/>
        <v>20.478149999999999</v>
      </c>
      <c r="DZ63" s="553">
        <f t="shared" si="340"/>
        <v>37.488149999999997</v>
      </c>
      <c r="EA63" s="562">
        <f t="shared" si="340"/>
        <v>37.488149999999997</v>
      </c>
      <c r="EB63" s="553">
        <f t="shared" si="340"/>
        <v>20.478149999999999</v>
      </c>
      <c r="EC63" s="553">
        <f t="shared" si="340"/>
        <v>20.478149999999999</v>
      </c>
      <c r="ED63" s="553">
        <f t="shared" si="340"/>
        <v>20.478149999999999</v>
      </c>
      <c r="EE63" s="553">
        <f t="shared" si="340"/>
        <v>20.478149999999999</v>
      </c>
      <c r="EF63" s="560">
        <f t="shared" si="276"/>
        <v>279.75779999999997</v>
      </c>
      <c r="EG63" s="565"/>
      <c r="EH63" s="553">
        <f t="shared" ref="EH63:ES63" si="341">(EH53+EH54)*$C$31</f>
        <v>20.478149999999999</v>
      </c>
      <c r="EI63" s="553">
        <f t="shared" si="341"/>
        <v>20.478149999999999</v>
      </c>
      <c r="EJ63" s="553">
        <f t="shared" si="341"/>
        <v>20.478149999999999</v>
      </c>
      <c r="EK63" s="553">
        <f t="shared" si="341"/>
        <v>20.478149999999999</v>
      </c>
      <c r="EL63" s="553">
        <f t="shared" si="341"/>
        <v>20.478149999999999</v>
      </c>
      <c r="EM63" s="553">
        <f t="shared" si="341"/>
        <v>20.478149999999999</v>
      </c>
      <c r="EN63" s="553">
        <f t="shared" si="341"/>
        <v>20.478149999999999</v>
      </c>
      <c r="EO63" s="553">
        <f t="shared" si="341"/>
        <v>20.478149999999999</v>
      </c>
      <c r="EP63" s="553">
        <f t="shared" si="341"/>
        <v>20.478149999999999</v>
      </c>
      <c r="EQ63" s="553">
        <f t="shared" si="341"/>
        <v>20.478149999999999</v>
      </c>
      <c r="ER63" s="553">
        <f t="shared" si="341"/>
        <v>20.478149999999999</v>
      </c>
      <c r="ES63" s="553">
        <f t="shared" si="341"/>
        <v>20.478149999999999</v>
      </c>
      <c r="ET63" s="560">
        <f t="shared" si="278"/>
        <v>245.73779999999999</v>
      </c>
      <c r="EU63" s="565"/>
    </row>
    <row r="64" spans="2:151" ht="10.5" customHeight="1" x14ac:dyDescent="0.35">
      <c r="I64" s="536"/>
      <c r="J64" s="531" t="s">
        <v>513</v>
      </c>
      <c r="K64" s="531" t="s">
        <v>1084</v>
      </c>
      <c r="Y64" s="565"/>
      <c r="Z64" s="553">
        <f>(Z53+Z54)*$C$32</f>
        <v>48.6</v>
      </c>
      <c r="AA64" s="553">
        <f t="shared" ref="AA64:AK64" si="342">(AA53+AA54)*$C$32</f>
        <v>48.6</v>
      </c>
      <c r="AB64" s="553">
        <f t="shared" si="342"/>
        <v>58.509</v>
      </c>
      <c r="AC64" s="553">
        <f t="shared" si="342"/>
        <v>58.509</v>
      </c>
      <c r="AD64" s="553">
        <f t="shared" si="342"/>
        <v>58.509</v>
      </c>
      <c r="AE64" s="553">
        <f t="shared" si="342"/>
        <v>58.509</v>
      </c>
      <c r="AF64" s="553">
        <f t="shared" si="342"/>
        <v>58.509</v>
      </c>
      <c r="AG64" s="553">
        <f t="shared" si="342"/>
        <v>58.509</v>
      </c>
      <c r="AH64" s="553">
        <f t="shared" si="342"/>
        <v>58.509</v>
      </c>
      <c r="AI64" s="553">
        <f t="shared" si="342"/>
        <v>58.509</v>
      </c>
      <c r="AJ64" s="553">
        <f t="shared" si="342"/>
        <v>58.509</v>
      </c>
      <c r="AK64" s="553">
        <f t="shared" si="342"/>
        <v>58.509</v>
      </c>
      <c r="AL64" s="560">
        <f t="shared" si="262"/>
        <v>682.29000000000008</v>
      </c>
      <c r="AM64" s="565"/>
      <c r="AN64" s="553">
        <f t="shared" ref="AN64:AY64" si="343">(AN53+AN54)*$C$32</f>
        <v>58.509</v>
      </c>
      <c r="AO64" s="553">
        <f t="shared" si="343"/>
        <v>58.509</v>
      </c>
      <c r="AP64" s="553">
        <f t="shared" si="343"/>
        <v>58.509</v>
      </c>
      <c r="AQ64" s="553">
        <f t="shared" si="343"/>
        <v>58.509</v>
      </c>
      <c r="AR64" s="553">
        <f t="shared" si="343"/>
        <v>58.509</v>
      </c>
      <c r="AS64" s="553">
        <f t="shared" si="343"/>
        <v>58.509</v>
      </c>
      <c r="AT64" s="553">
        <f t="shared" si="343"/>
        <v>107.10900000000001</v>
      </c>
      <c r="AU64" s="562">
        <f t="shared" si="343"/>
        <v>107.10900000000001</v>
      </c>
      <c r="AV64" s="553">
        <f t="shared" si="343"/>
        <v>58.509</v>
      </c>
      <c r="AW64" s="553">
        <f t="shared" si="343"/>
        <v>58.509</v>
      </c>
      <c r="AX64" s="553">
        <f t="shared" si="343"/>
        <v>58.509</v>
      </c>
      <c r="AY64" s="553">
        <f t="shared" si="343"/>
        <v>58.509</v>
      </c>
      <c r="AZ64" s="560">
        <f t="shared" si="264"/>
        <v>799.30800000000011</v>
      </c>
      <c r="BA64" s="565"/>
      <c r="BB64" s="553">
        <f t="shared" ref="BB64:BM64" si="344">(BB53+BB54)*$C$32</f>
        <v>58.509</v>
      </c>
      <c r="BC64" s="553">
        <f t="shared" si="344"/>
        <v>58.509</v>
      </c>
      <c r="BD64" s="553">
        <f t="shared" si="344"/>
        <v>58.509</v>
      </c>
      <c r="BE64" s="553">
        <f t="shared" si="344"/>
        <v>58.509</v>
      </c>
      <c r="BF64" s="553">
        <f t="shared" si="344"/>
        <v>58.509</v>
      </c>
      <c r="BG64" s="553">
        <f t="shared" si="344"/>
        <v>58.509</v>
      </c>
      <c r="BH64" s="553">
        <f t="shared" si="344"/>
        <v>58.509</v>
      </c>
      <c r="BI64" s="553">
        <f t="shared" si="344"/>
        <v>58.509</v>
      </c>
      <c r="BJ64" s="553">
        <f t="shared" si="344"/>
        <v>58.509</v>
      </c>
      <c r="BK64" s="553">
        <f t="shared" si="344"/>
        <v>58.509</v>
      </c>
      <c r="BL64" s="553">
        <f t="shared" si="344"/>
        <v>58.509</v>
      </c>
      <c r="BM64" s="553">
        <f t="shared" si="344"/>
        <v>58.509</v>
      </c>
      <c r="BN64" s="560">
        <f t="shared" si="266"/>
        <v>702.10800000000006</v>
      </c>
      <c r="BO64" s="565"/>
      <c r="BP64" s="553">
        <f t="shared" ref="BP64:CA64" si="345">(BP53+BP54)*$C$32</f>
        <v>107.10900000000001</v>
      </c>
      <c r="BQ64" s="562">
        <f t="shared" si="345"/>
        <v>107.10900000000001</v>
      </c>
      <c r="BR64" s="553">
        <f t="shared" si="345"/>
        <v>58.509</v>
      </c>
      <c r="BS64" s="553">
        <f t="shared" si="345"/>
        <v>58.509</v>
      </c>
      <c r="BT64" s="553">
        <f t="shared" si="345"/>
        <v>58.509</v>
      </c>
      <c r="BU64" s="553">
        <f t="shared" si="345"/>
        <v>58.509</v>
      </c>
      <c r="BV64" s="553">
        <f t="shared" si="345"/>
        <v>58.509</v>
      </c>
      <c r="BW64" s="553">
        <f t="shared" si="345"/>
        <v>58.509</v>
      </c>
      <c r="BX64" s="553">
        <f t="shared" si="345"/>
        <v>58.509</v>
      </c>
      <c r="BY64" s="553">
        <f t="shared" si="345"/>
        <v>58.509</v>
      </c>
      <c r="BZ64" s="553">
        <f t="shared" si="345"/>
        <v>58.509</v>
      </c>
      <c r="CA64" s="553">
        <f t="shared" si="345"/>
        <v>58.509</v>
      </c>
      <c r="CB64" s="560">
        <f t="shared" si="268"/>
        <v>799.30800000000011</v>
      </c>
      <c r="CC64" s="565"/>
      <c r="CD64" s="553">
        <f t="shared" ref="CD64:CO64" si="346">(CD53+CD54)*$C$32</f>
        <v>58.509</v>
      </c>
      <c r="CE64" s="553">
        <f t="shared" si="346"/>
        <v>58.509</v>
      </c>
      <c r="CF64" s="553">
        <f t="shared" si="346"/>
        <v>58.509</v>
      </c>
      <c r="CG64" s="553">
        <f t="shared" si="346"/>
        <v>58.509</v>
      </c>
      <c r="CH64" s="553">
        <f t="shared" si="346"/>
        <v>58.509</v>
      </c>
      <c r="CI64" s="553">
        <f t="shared" si="346"/>
        <v>58.509</v>
      </c>
      <c r="CJ64" s="553">
        <f t="shared" si="346"/>
        <v>107.10900000000001</v>
      </c>
      <c r="CK64" s="562">
        <f t="shared" si="346"/>
        <v>107.10900000000001</v>
      </c>
      <c r="CL64" s="553">
        <f t="shared" si="346"/>
        <v>58.509</v>
      </c>
      <c r="CM64" s="553">
        <f t="shared" si="346"/>
        <v>58.509</v>
      </c>
      <c r="CN64" s="553">
        <f t="shared" si="346"/>
        <v>58.509</v>
      </c>
      <c r="CO64" s="553">
        <f t="shared" si="346"/>
        <v>58.509</v>
      </c>
      <c r="CP64" s="560">
        <f t="shared" si="270"/>
        <v>799.30800000000011</v>
      </c>
      <c r="CQ64" s="565"/>
      <c r="CR64" s="553">
        <f t="shared" ref="CR64:DC64" si="347">(CR53+CR54)*$C$32</f>
        <v>58.509</v>
      </c>
      <c r="CS64" s="553">
        <f t="shared" si="347"/>
        <v>58.509</v>
      </c>
      <c r="CT64" s="553">
        <f t="shared" si="347"/>
        <v>58.509</v>
      </c>
      <c r="CU64" s="553">
        <f t="shared" si="347"/>
        <v>58.509</v>
      </c>
      <c r="CV64" s="553">
        <f t="shared" si="347"/>
        <v>58.509</v>
      </c>
      <c r="CW64" s="553">
        <f t="shared" si="347"/>
        <v>58.509</v>
      </c>
      <c r="CX64" s="553">
        <f t="shared" si="347"/>
        <v>58.509</v>
      </c>
      <c r="CY64" s="553">
        <f t="shared" si="347"/>
        <v>58.509</v>
      </c>
      <c r="CZ64" s="553">
        <f t="shared" si="347"/>
        <v>58.509</v>
      </c>
      <c r="DA64" s="553">
        <f t="shared" si="347"/>
        <v>58.509</v>
      </c>
      <c r="DB64" s="553">
        <f t="shared" si="347"/>
        <v>58.509</v>
      </c>
      <c r="DC64" s="553">
        <f t="shared" si="347"/>
        <v>58.509</v>
      </c>
      <c r="DD64" s="560">
        <f t="shared" si="272"/>
        <v>702.10800000000006</v>
      </c>
      <c r="DE64" s="565"/>
      <c r="DF64" s="553">
        <f t="shared" ref="DF64:DQ64" si="348">(DF53+DF54)*$C$32</f>
        <v>107.10900000000001</v>
      </c>
      <c r="DG64" s="562">
        <f t="shared" si="348"/>
        <v>107.10900000000001</v>
      </c>
      <c r="DH64" s="553">
        <f t="shared" si="348"/>
        <v>58.509</v>
      </c>
      <c r="DI64" s="553">
        <f t="shared" si="348"/>
        <v>58.509</v>
      </c>
      <c r="DJ64" s="553">
        <f t="shared" si="348"/>
        <v>58.509</v>
      </c>
      <c r="DK64" s="553">
        <f t="shared" si="348"/>
        <v>58.509</v>
      </c>
      <c r="DL64" s="553">
        <f t="shared" si="348"/>
        <v>58.509</v>
      </c>
      <c r="DM64" s="553">
        <f t="shared" si="348"/>
        <v>58.509</v>
      </c>
      <c r="DN64" s="553">
        <f t="shared" si="348"/>
        <v>58.509</v>
      </c>
      <c r="DO64" s="553">
        <f t="shared" si="348"/>
        <v>58.509</v>
      </c>
      <c r="DP64" s="553">
        <f t="shared" si="348"/>
        <v>58.509</v>
      </c>
      <c r="DQ64" s="553">
        <f t="shared" si="348"/>
        <v>58.509</v>
      </c>
      <c r="DR64" s="560">
        <f t="shared" si="274"/>
        <v>799.30800000000011</v>
      </c>
      <c r="DS64" s="565"/>
      <c r="DT64" s="553">
        <f t="shared" ref="DT64:EE64" si="349">(DT53+DT54)*$C$32</f>
        <v>58.509</v>
      </c>
      <c r="DU64" s="553">
        <f t="shared" si="349"/>
        <v>58.509</v>
      </c>
      <c r="DV64" s="553">
        <f t="shared" si="349"/>
        <v>58.509</v>
      </c>
      <c r="DW64" s="553">
        <f t="shared" si="349"/>
        <v>58.509</v>
      </c>
      <c r="DX64" s="553">
        <f t="shared" si="349"/>
        <v>58.509</v>
      </c>
      <c r="DY64" s="553">
        <f t="shared" si="349"/>
        <v>58.509</v>
      </c>
      <c r="DZ64" s="553">
        <f t="shared" si="349"/>
        <v>107.10900000000001</v>
      </c>
      <c r="EA64" s="562">
        <f t="shared" si="349"/>
        <v>107.10900000000001</v>
      </c>
      <c r="EB64" s="553">
        <f t="shared" si="349"/>
        <v>58.509</v>
      </c>
      <c r="EC64" s="553">
        <f t="shared" si="349"/>
        <v>58.509</v>
      </c>
      <c r="ED64" s="553">
        <f t="shared" si="349"/>
        <v>58.509</v>
      </c>
      <c r="EE64" s="553">
        <f t="shared" si="349"/>
        <v>58.509</v>
      </c>
      <c r="EF64" s="560">
        <f t="shared" si="276"/>
        <v>799.30800000000011</v>
      </c>
      <c r="EG64" s="565"/>
      <c r="EH64" s="553">
        <f t="shared" ref="EH64:ES64" si="350">(EH53+EH54)*$C$32</f>
        <v>58.509</v>
      </c>
      <c r="EI64" s="553">
        <f t="shared" si="350"/>
        <v>58.509</v>
      </c>
      <c r="EJ64" s="553">
        <f t="shared" si="350"/>
        <v>58.509</v>
      </c>
      <c r="EK64" s="553">
        <f t="shared" si="350"/>
        <v>58.509</v>
      </c>
      <c r="EL64" s="553">
        <f t="shared" si="350"/>
        <v>58.509</v>
      </c>
      <c r="EM64" s="553">
        <f t="shared" si="350"/>
        <v>58.509</v>
      </c>
      <c r="EN64" s="553">
        <f t="shared" si="350"/>
        <v>58.509</v>
      </c>
      <c r="EO64" s="553">
        <f t="shared" si="350"/>
        <v>58.509</v>
      </c>
      <c r="EP64" s="553">
        <f t="shared" si="350"/>
        <v>58.509</v>
      </c>
      <c r="EQ64" s="553">
        <f t="shared" si="350"/>
        <v>58.509</v>
      </c>
      <c r="ER64" s="553">
        <f t="shared" si="350"/>
        <v>58.509</v>
      </c>
      <c r="ES64" s="553">
        <f t="shared" si="350"/>
        <v>58.509</v>
      </c>
      <c r="ET64" s="560">
        <f t="shared" si="278"/>
        <v>702.10800000000006</v>
      </c>
      <c r="EU64" s="565"/>
    </row>
    <row r="65" spans="9:151" ht="10.5" customHeight="1" x14ac:dyDescent="0.35">
      <c r="I65" s="536">
        <v>2.5</v>
      </c>
      <c r="J65" s="531" t="s">
        <v>43</v>
      </c>
      <c r="K65" s="461"/>
      <c r="Y65" s="565"/>
      <c r="AA65" s="553"/>
      <c r="AL65" s="560"/>
      <c r="AM65" s="565"/>
      <c r="AO65" s="553"/>
      <c r="AU65" s="561"/>
      <c r="AZ65" s="560"/>
      <c r="BA65" s="565"/>
      <c r="BC65" s="553"/>
      <c r="BN65" s="560"/>
      <c r="BO65" s="565"/>
      <c r="BQ65" s="562"/>
      <c r="CB65" s="560"/>
      <c r="CC65" s="565"/>
      <c r="CE65" s="553"/>
      <c r="CK65" s="561"/>
      <c r="CP65" s="560"/>
      <c r="CQ65" s="565"/>
      <c r="CS65" s="553"/>
      <c r="DD65" s="560"/>
      <c r="DE65" s="565"/>
      <c r="DG65" s="561"/>
      <c r="DR65" s="560"/>
      <c r="DS65" s="565"/>
      <c r="DU65" s="553"/>
      <c r="EA65" s="561"/>
      <c r="EF65" s="560"/>
      <c r="EG65" s="565"/>
      <c r="EI65" s="553"/>
      <c r="ET65" s="560"/>
      <c r="EU65" s="565"/>
    </row>
    <row r="66" spans="9:151" ht="10.5" customHeight="1" x14ac:dyDescent="0.35">
      <c r="I66" s="536"/>
      <c r="J66" s="531" t="s">
        <v>9</v>
      </c>
      <c r="K66" s="531" t="s">
        <v>500</v>
      </c>
      <c r="Y66" s="565"/>
      <c r="Z66" s="553">
        <f>ROUND($C$34*Z48,0)</f>
        <v>9</v>
      </c>
      <c r="AA66" s="553"/>
      <c r="AB66" s="553"/>
      <c r="AC66" s="553"/>
      <c r="AD66" s="553"/>
      <c r="AE66" s="553"/>
      <c r="AF66" s="553"/>
      <c r="AG66" s="553"/>
      <c r="AH66" s="553"/>
      <c r="AI66" s="553"/>
      <c r="AJ66" s="553"/>
      <c r="AK66" s="553"/>
      <c r="AL66" s="560">
        <f t="shared" ref="AL66" si="351">SUM(Z66:AK66)</f>
        <v>9</v>
      </c>
      <c r="AM66" s="565"/>
      <c r="AN66" s="553"/>
      <c r="AO66" s="556"/>
      <c r="AP66" s="556"/>
      <c r="AT66" s="553">
        <f>ROUND($C$34*AT48,0)</f>
        <v>9</v>
      </c>
      <c r="AU66" s="562"/>
      <c r="AV66" s="556"/>
      <c r="AZ66" s="560">
        <f t="shared" ref="AZ66:AZ68" si="352">SUM(AN66:AY66)</f>
        <v>9</v>
      </c>
      <c r="BA66" s="565"/>
      <c r="BB66" s="553"/>
      <c r="BC66" s="553"/>
      <c r="BD66" s="556"/>
      <c r="BH66" s="553"/>
      <c r="BN66" s="560">
        <f t="shared" ref="BN66:BN68" si="353">SUM(BB66:BM66)</f>
        <v>0</v>
      </c>
      <c r="BO66" s="565"/>
      <c r="BP66" s="553">
        <f>ROUND($C$34*BP48,0)</f>
        <v>9</v>
      </c>
      <c r="BQ66" s="562"/>
      <c r="BR66" s="556"/>
      <c r="BV66" s="553"/>
      <c r="BW66" s="553"/>
      <c r="CB66" s="560">
        <f t="shared" ref="CB66:CB68" si="354">SUM(BP66:CA66)</f>
        <v>9</v>
      </c>
      <c r="CC66" s="565"/>
      <c r="CD66" s="553"/>
      <c r="CE66" s="556"/>
      <c r="CF66" s="556"/>
      <c r="CJ66" s="553">
        <f>ROUND($C$34*CJ48,0)</f>
        <v>9</v>
      </c>
      <c r="CK66" s="562"/>
      <c r="CL66" s="556"/>
      <c r="CP66" s="560">
        <f t="shared" ref="CP66:CP68" si="355">SUM(CD66:CO66)</f>
        <v>9</v>
      </c>
      <c r="CQ66" s="565"/>
      <c r="CR66" s="553"/>
      <c r="CS66" s="556"/>
      <c r="CT66" s="553"/>
      <c r="CX66" s="553"/>
      <c r="CY66" s="556"/>
      <c r="CZ66" s="556"/>
      <c r="DD66" s="560">
        <f t="shared" ref="DD66:DD68" si="356">SUM(CR66:DC66)</f>
        <v>0</v>
      </c>
      <c r="DE66" s="565"/>
      <c r="DF66" s="553">
        <f>ROUND($C$34*DF48,0)</f>
        <v>9</v>
      </c>
      <c r="DG66" s="562"/>
      <c r="DH66" s="556"/>
      <c r="DL66" s="553"/>
      <c r="DM66" s="553"/>
      <c r="DN66" s="553"/>
      <c r="DR66" s="560">
        <f t="shared" ref="DR66:DR68" si="357">SUM(DF66:DQ66)</f>
        <v>9</v>
      </c>
      <c r="DS66" s="565"/>
      <c r="DT66" s="553"/>
      <c r="DU66" s="556"/>
      <c r="DV66" s="556"/>
      <c r="DZ66" s="553">
        <f>ROUND($C$34*DZ48,0)</f>
        <v>9</v>
      </c>
      <c r="EA66" s="562"/>
      <c r="EB66" s="556"/>
      <c r="EF66" s="560">
        <f t="shared" ref="EF66:EF68" si="358">SUM(DT66:EE66)</f>
        <v>9</v>
      </c>
      <c r="EG66" s="565"/>
      <c r="EH66" s="553"/>
      <c r="EI66" s="553"/>
      <c r="EJ66" s="556"/>
      <c r="EN66" s="553"/>
      <c r="EO66" s="556"/>
      <c r="EP66" s="556"/>
      <c r="ET66" s="560">
        <f t="shared" ref="ET66:ET68" si="359">SUM(EH66:ES66)</f>
        <v>0</v>
      </c>
      <c r="EU66" s="565"/>
    </row>
    <row r="67" spans="9:151" ht="10.5" customHeight="1" x14ac:dyDescent="0.35">
      <c r="I67" s="536"/>
      <c r="J67" s="531" t="s">
        <v>10</v>
      </c>
      <c r="K67" s="531" t="s">
        <v>501</v>
      </c>
      <c r="Y67" s="565"/>
      <c r="Z67" s="553"/>
      <c r="AA67" s="553">
        <f t="shared" ref="AA67" si="360">ROUND($C$35*AA48,0)</f>
        <v>9</v>
      </c>
      <c r="AB67" s="553"/>
      <c r="AC67" s="553"/>
      <c r="AD67" s="553"/>
      <c r="AE67" s="553"/>
      <c r="AF67" s="553"/>
      <c r="AG67" s="553"/>
      <c r="AH67" s="553"/>
      <c r="AI67" s="553"/>
      <c r="AJ67" s="553"/>
      <c r="AK67" s="553"/>
      <c r="AL67" s="560">
        <f>SUM(Z67:AK67)</f>
        <v>9</v>
      </c>
      <c r="AM67" s="565"/>
      <c r="AN67" s="553"/>
      <c r="AO67" s="556"/>
      <c r="AP67" s="556"/>
      <c r="AT67" s="553"/>
      <c r="AU67" s="562">
        <f t="shared" ref="AU67" si="361">ROUND($C$35*AU48,0)</f>
        <v>9</v>
      </c>
      <c r="AV67" s="556"/>
      <c r="AZ67" s="560">
        <f t="shared" si="352"/>
        <v>9</v>
      </c>
      <c r="BA67" s="565"/>
      <c r="BB67" s="553"/>
      <c r="BC67" s="553"/>
      <c r="BD67" s="556"/>
      <c r="BH67" s="553"/>
      <c r="BN67" s="560">
        <f t="shared" si="353"/>
        <v>0</v>
      </c>
      <c r="BO67" s="565"/>
      <c r="BP67" s="553"/>
      <c r="BQ67" s="562">
        <f t="shared" ref="BQ67" si="362">ROUND($C$35*BQ48,0)</f>
        <v>9</v>
      </c>
      <c r="BR67" s="556"/>
      <c r="BV67" s="553"/>
      <c r="BW67" s="553"/>
      <c r="CB67" s="560">
        <f t="shared" si="354"/>
        <v>9</v>
      </c>
      <c r="CC67" s="565"/>
      <c r="CD67" s="553"/>
      <c r="CE67" s="556"/>
      <c r="CF67" s="556"/>
      <c r="CJ67" s="553"/>
      <c r="CK67" s="562">
        <f t="shared" ref="CK67" si="363">ROUND($C$35*CK48,0)</f>
        <v>9</v>
      </c>
      <c r="CL67" s="556"/>
      <c r="CP67" s="560">
        <f t="shared" si="355"/>
        <v>9</v>
      </c>
      <c r="CQ67" s="565"/>
      <c r="CR67" s="553"/>
      <c r="CS67" s="556"/>
      <c r="CT67" s="553"/>
      <c r="CX67" s="553"/>
      <c r="CY67" s="556"/>
      <c r="CZ67" s="556"/>
      <c r="DD67" s="560">
        <f t="shared" si="356"/>
        <v>0</v>
      </c>
      <c r="DE67" s="565"/>
      <c r="DF67" s="553"/>
      <c r="DG67" s="562">
        <f t="shared" ref="DG67" si="364">ROUND($C$35*DG48,0)</f>
        <v>9</v>
      </c>
      <c r="DH67" s="556"/>
      <c r="DL67" s="553"/>
      <c r="DM67" s="553"/>
      <c r="DN67" s="553"/>
      <c r="DR67" s="560">
        <f t="shared" si="357"/>
        <v>9</v>
      </c>
      <c r="DS67" s="565"/>
      <c r="DT67" s="553"/>
      <c r="DU67" s="556"/>
      <c r="DV67" s="556"/>
      <c r="DZ67" s="553"/>
      <c r="EA67" s="562">
        <f t="shared" ref="EA67" si="365">ROUND($C$35*EA48,0)</f>
        <v>9</v>
      </c>
      <c r="EB67" s="556"/>
      <c r="EF67" s="560">
        <f t="shared" si="358"/>
        <v>9</v>
      </c>
      <c r="EG67" s="565"/>
      <c r="EH67" s="553"/>
      <c r="EI67" s="553"/>
      <c r="EJ67" s="556"/>
      <c r="EN67" s="553"/>
      <c r="EO67" s="556"/>
      <c r="EP67" s="556"/>
      <c r="ET67" s="560">
        <f t="shared" si="359"/>
        <v>0</v>
      </c>
      <c r="EU67" s="565"/>
    </row>
    <row r="68" spans="9:151" ht="10.5" customHeight="1" x14ac:dyDescent="0.35">
      <c r="I68" s="536"/>
      <c r="J68" s="531" t="s">
        <v>13</v>
      </c>
      <c r="K68" s="531" t="s">
        <v>502</v>
      </c>
      <c r="Y68" s="565"/>
      <c r="Z68" s="556"/>
      <c r="AA68" s="556"/>
      <c r="AB68" s="553"/>
      <c r="AC68" s="553"/>
      <c r="AD68" s="553"/>
      <c r="AE68" s="553"/>
      <c r="AF68" s="553"/>
      <c r="AG68" s="553">
        <f t="shared" ref="AG68" si="366">ROUND(AG49*$C$36,0)</f>
        <v>89</v>
      </c>
      <c r="AH68" s="553"/>
      <c r="AI68" s="553"/>
      <c r="AJ68" s="553"/>
      <c r="AK68" s="553"/>
      <c r="AL68" s="560">
        <f t="shared" ref="AL68" si="367">SUM(Z68:AK68)</f>
        <v>89</v>
      </c>
      <c r="AM68" s="565"/>
      <c r="AN68" s="556"/>
      <c r="AO68" s="556"/>
      <c r="AP68" s="553"/>
      <c r="AT68" s="556"/>
      <c r="AU68" s="563"/>
      <c r="AV68" s="553"/>
      <c r="AZ68" s="560">
        <f t="shared" si="352"/>
        <v>0</v>
      </c>
      <c r="BA68" s="565"/>
      <c r="BB68" s="556"/>
      <c r="BC68" s="553">
        <f t="shared" ref="BC68" si="368">ROUND(BC49*$C$36,0)</f>
        <v>89</v>
      </c>
      <c r="BD68" s="553"/>
      <c r="BJ68" s="553"/>
      <c r="BN68" s="560">
        <f t="shared" si="353"/>
        <v>89</v>
      </c>
      <c r="BO68" s="565"/>
      <c r="BP68" s="556"/>
      <c r="BQ68" s="563"/>
      <c r="BR68" s="553"/>
      <c r="BW68" s="553">
        <f t="shared" ref="BW68" si="369">ROUND(BW49*$C$36,0)</f>
        <v>89</v>
      </c>
      <c r="BX68" s="553"/>
      <c r="CB68" s="560">
        <f t="shared" si="354"/>
        <v>89</v>
      </c>
      <c r="CC68" s="565"/>
      <c r="CD68" s="556"/>
      <c r="CE68" s="556"/>
      <c r="CF68" s="553"/>
      <c r="CJ68" s="556"/>
      <c r="CK68" s="563"/>
      <c r="CL68" s="553"/>
      <c r="CP68" s="560">
        <f t="shared" si="355"/>
        <v>0</v>
      </c>
      <c r="CQ68" s="565"/>
      <c r="CR68" s="556"/>
      <c r="CS68" s="556"/>
      <c r="CT68" s="553">
        <f t="shared" ref="CT68" si="370">ROUND(CT49*$C$36,0)</f>
        <v>89</v>
      </c>
      <c r="CX68" s="556"/>
      <c r="CY68" s="556"/>
      <c r="CZ68" s="553"/>
      <c r="DD68" s="560">
        <f t="shared" si="356"/>
        <v>89</v>
      </c>
      <c r="DE68" s="565"/>
      <c r="DF68" s="556"/>
      <c r="DG68" s="563"/>
      <c r="DH68" s="553"/>
      <c r="DM68" s="553">
        <f t="shared" ref="DM68" si="371">ROUND(DM49*$C$36,0)</f>
        <v>89</v>
      </c>
      <c r="DN68" s="553"/>
      <c r="DR68" s="560">
        <f t="shared" si="357"/>
        <v>89</v>
      </c>
      <c r="DS68" s="565"/>
      <c r="DT68" s="556"/>
      <c r="DU68" s="556"/>
      <c r="DV68" s="553"/>
      <c r="DZ68" s="556"/>
      <c r="EA68" s="563"/>
      <c r="EB68" s="553"/>
      <c r="EF68" s="560">
        <f t="shared" si="358"/>
        <v>0</v>
      </c>
      <c r="EG68" s="565"/>
      <c r="EH68" s="556"/>
      <c r="EI68" s="553">
        <f t="shared" ref="EI68" si="372">ROUND(EI49*$C$36,0)</f>
        <v>89</v>
      </c>
      <c r="EJ68" s="553"/>
      <c r="EN68" s="556"/>
      <c r="EO68" s="556"/>
      <c r="EP68" s="553"/>
      <c r="ET68" s="560">
        <f t="shared" si="359"/>
        <v>89</v>
      </c>
      <c r="EU68" s="565"/>
    </row>
    <row r="69" spans="9:151" ht="10.5" customHeight="1" x14ac:dyDescent="0.35">
      <c r="I69" s="536">
        <v>2.6</v>
      </c>
      <c r="J69" s="531" t="s">
        <v>51</v>
      </c>
      <c r="K69" s="461"/>
      <c r="Y69" s="565"/>
      <c r="Z69" s="553"/>
      <c r="AL69" s="560"/>
      <c r="AM69" s="565"/>
      <c r="AN69" s="553"/>
      <c r="AT69" s="553"/>
      <c r="AU69" s="561"/>
      <c r="AZ69" s="560"/>
      <c r="BA69" s="565"/>
      <c r="BB69" s="553"/>
      <c r="BJ69" s="553"/>
      <c r="BN69" s="560"/>
      <c r="BO69" s="565"/>
      <c r="BP69" s="553"/>
      <c r="BQ69" s="561"/>
      <c r="BX69" s="553"/>
      <c r="CB69" s="560"/>
      <c r="CC69" s="565"/>
      <c r="CD69" s="553"/>
      <c r="CJ69" s="553"/>
      <c r="CK69" s="561"/>
      <c r="CP69" s="560"/>
      <c r="CQ69" s="565"/>
      <c r="CR69" s="553"/>
      <c r="CX69" s="553"/>
      <c r="DD69" s="560"/>
      <c r="DE69" s="565"/>
      <c r="DF69" s="553"/>
      <c r="DG69" s="561"/>
      <c r="DR69" s="560"/>
      <c r="DS69" s="565"/>
      <c r="DT69" s="553"/>
      <c r="DZ69" s="553"/>
      <c r="EA69" s="561"/>
      <c r="EF69" s="560"/>
      <c r="EG69" s="565"/>
      <c r="EH69" s="553"/>
      <c r="EN69" s="553"/>
      <c r="ET69" s="560"/>
      <c r="EU69" s="565"/>
    </row>
    <row r="70" spans="9:151" ht="10.5" customHeight="1" x14ac:dyDescent="0.35">
      <c r="I70" s="536"/>
      <c r="J70" s="531" t="s">
        <v>9</v>
      </c>
      <c r="K70" s="531" t="s">
        <v>1078</v>
      </c>
      <c r="Y70" s="565"/>
      <c r="Z70" s="553">
        <f>ROUND($C$38*Z48,0)</f>
        <v>18</v>
      </c>
      <c r="AA70" s="553"/>
      <c r="AB70" s="553"/>
      <c r="AC70" s="553"/>
      <c r="AD70" s="553"/>
      <c r="AE70" s="553"/>
      <c r="AF70" s="553"/>
      <c r="AG70" s="553">
        <f t="shared" ref="AG70" si="373">ROUND($C$38*AG49,0)</f>
        <v>18</v>
      </c>
      <c r="AH70" s="553"/>
      <c r="AI70" s="553"/>
      <c r="AJ70" s="553"/>
      <c r="AK70" s="553"/>
      <c r="AL70" s="560">
        <f t="shared" ref="AL70:AL76" si="374">SUM(Z70:AK70)</f>
        <v>36</v>
      </c>
      <c r="AM70" s="565"/>
      <c r="AN70" s="553"/>
      <c r="AO70" s="553"/>
      <c r="AP70" s="553"/>
      <c r="AQ70" s="553"/>
      <c r="AR70" s="553"/>
      <c r="AS70" s="553"/>
      <c r="AT70" s="553">
        <f>ROUND($C$38*AT48,0)</f>
        <v>18</v>
      </c>
      <c r="AU70" s="562"/>
      <c r="AV70" s="553"/>
      <c r="AW70" s="553"/>
      <c r="AX70" s="553"/>
      <c r="AY70" s="553"/>
      <c r="AZ70" s="560">
        <f t="shared" ref="AZ70:AZ76" si="375">SUM(AN70:AY70)</f>
        <v>18</v>
      </c>
      <c r="BA70" s="565"/>
      <c r="BB70" s="553"/>
      <c r="BC70" s="553">
        <f t="shared" ref="BC70" si="376">ROUND($C$38*BC49,0)</f>
        <v>18</v>
      </c>
      <c r="BD70" s="553"/>
      <c r="BE70" s="553"/>
      <c r="BF70" s="553"/>
      <c r="BG70" s="553"/>
      <c r="BH70" s="553"/>
      <c r="BI70" s="553"/>
      <c r="BJ70" s="553"/>
      <c r="BK70" s="553"/>
      <c r="BL70" s="553"/>
      <c r="BM70" s="553"/>
      <c r="BN70" s="560">
        <f t="shared" ref="BN70:BN76" si="377">SUM(BB70:BM70)</f>
        <v>18</v>
      </c>
      <c r="BO70" s="565"/>
      <c r="BP70" s="553">
        <f>ROUND($C$38*BP48,0)</f>
        <v>18</v>
      </c>
      <c r="BQ70" s="562"/>
      <c r="BR70" s="553"/>
      <c r="BS70" s="553"/>
      <c r="BT70" s="553"/>
      <c r="BU70" s="553"/>
      <c r="BV70" s="553"/>
      <c r="BW70" s="553">
        <f t="shared" ref="BW70" si="378">ROUND($C$38*BW49,0)</f>
        <v>18</v>
      </c>
      <c r="BX70" s="553"/>
      <c r="BY70" s="553"/>
      <c r="BZ70" s="553"/>
      <c r="CA70" s="553"/>
      <c r="CB70" s="560">
        <f t="shared" ref="CB70:CB76" si="379">SUM(BP70:CA70)</f>
        <v>36</v>
      </c>
      <c r="CC70" s="565"/>
      <c r="CD70" s="553"/>
      <c r="CE70" s="553"/>
      <c r="CF70" s="553"/>
      <c r="CG70" s="553"/>
      <c r="CH70" s="553"/>
      <c r="CI70" s="553"/>
      <c r="CJ70" s="553">
        <f>ROUND($C$38*CJ48,0)</f>
        <v>18</v>
      </c>
      <c r="CK70" s="562"/>
      <c r="CL70" s="553"/>
      <c r="CM70" s="553"/>
      <c r="CN70" s="553"/>
      <c r="CO70" s="553"/>
      <c r="CP70" s="560">
        <f t="shared" ref="CP70:CP76" si="380">SUM(CD70:CO70)</f>
        <v>18</v>
      </c>
      <c r="CQ70" s="565"/>
      <c r="CR70" s="553"/>
      <c r="CS70" s="553"/>
      <c r="CT70" s="553">
        <f t="shared" ref="CT70" si="381">ROUND($C$38*CT49,0)</f>
        <v>18</v>
      </c>
      <c r="CU70" s="553"/>
      <c r="CV70" s="553"/>
      <c r="CW70" s="553"/>
      <c r="CX70" s="553"/>
      <c r="CY70" s="553"/>
      <c r="CZ70" s="553"/>
      <c r="DA70" s="553"/>
      <c r="DB70" s="553"/>
      <c r="DC70" s="553"/>
      <c r="DD70" s="560">
        <f t="shared" ref="DD70:DD76" si="382">SUM(CR70:DC70)</f>
        <v>18</v>
      </c>
      <c r="DE70" s="565"/>
      <c r="DF70" s="553">
        <f>ROUND($C$38*DF48,0)</f>
        <v>18</v>
      </c>
      <c r="DG70" s="562"/>
      <c r="DH70" s="553"/>
      <c r="DI70" s="553"/>
      <c r="DJ70" s="553"/>
      <c r="DK70" s="553"/>
      <c r="DL70" s="553"/>
      <c r="DM70" s="553">
        <f t="shared" ref="DM70" si="383">ROUND($C$38*DM49,0)</f>
        <v>18</v>
      </c>
      <c r="DN70" s="553"/>
      <c r="DO70" s="553"/>
      <c r="DP70" s="553"/>
      <c r="DQ70" s="553"/>
      <c r="DR70" s="560">
        <f t="shared" ref="DR70:DR76" si="384">SUM(DF70:DQ70)</f>
        <v>36</v>
      </c>
      <c r="DS70" s="565"/>
      <c r="DT70" s="553"/>
      <c r="DU70" s="553"/>
      <c r="DV70" s="553"/>
      <c r="DW70" s="553"/>
      <c r="DX70" s="553"/>
      <c r="DY70" s="553"/>
      <c r="DZ70" s="553">
        <f>ROUND($C$38*DZ48,0)</f>
        <v>18</v>
      </c>
      <c r="EA70" s="562"/>
      <c r="EB70" s="553"/>
      <c r="EC70" s="553"/>
      <c r="ED70" s="553"/>
      <c r="EE70" s="553"/>
      <c r="EF70" s="560">
        <f t="shared" ref="EF70:EF76" si="385">SUM(DT70:EE70)</f>
        <v>18</v>
      </c>
      <c r="EG70" s="565"/>
      <c r="EH70" s="553"/>
      <c r="EI70" s="553">
        <f t="shared" ref="EI70" si="386">ROUND($C$38*EI49,0)</f>
        <v>18</v>
      </c>
      <c r="EJ70" s="553"/>
      <c r="EK70" s="553"/>
      <c r="EL70" s="553"/>
      <c r="EM70" s="553"/>
      <c r="EN70" s="553"/>
      <c r="EO70" s="553"/>
      <c r="EP70" s="553"/>
      <c r="EQ70" s="553"/>
      <c r="ER70" s="553"/>
      <c r="ES70" s="553"/>
      <c r="ET70" s="560">
        <f t="shared" ref="ET70:ET76" si="387">SUM(EH70:ES70)</f>
        <v>18</v>
      </c>
      <c r="EU70" s="565"/>
    </row>
    <row r="71" spans="9:151" ht="10.5" customHeight="1" x14ac:dyDescent="0.35">
      <c r="I71" s="536"/>
      <c r="J71" s="531" t="s">
        <v>10</v>
      </c>
      <c r="K71" s="531" t="s">
        <v>1079</v>
      </c>
      <c r="Y71" s="565"/>
      <c r="Z71" s="553"/>
      <c r="AB71" s="531">
        <f>ROUND(AB49*$C$39,0)</f>
        <v>44</v>
      </c>
      <c r="AL71" s="560">
        <f t="shared" si="374"/>
        <v>44</v>
      </c>
      <c r="AM71" s="565"/>
      <c r="AN71" s="553"/>
      <c r="AT71" s="553"/>
      <c r="AU71" s="561"/>
      <c r="AV71" s="531">
        <f>ROUND(AV49*$C$39,0)</f>
        <v>44</v>
      </c>
      <c r="AZ71" s="560">
        <f t="shared" si="375"/>
        <v>44</v>
      </c>
      <c r="BA71" s="565"/>
      <c r="BB71" s="553"/>
      <c r="BJ71" s="553"/>
      <c r="BN71" s="560">
        <f t="shared" si="377"/>
        <v>0</v>
      </c>
      <c r="BO71" s="565"/>
      <c r="BP71" s="553"/>
      <c r="BQ71" s="561"/>
      <c r="BR71" s="531">
        <f>ROUND(BR49*$C$39,0)</f>
        <v>44</v>
      </c>
      <c r="BX71" s="553"/>
      <c r="CB71" s="560">
        <f t="shared" si="379"/>
        <v>44</v>
      </c>
      <c r="CC71" s="565"/>
      <c r="CD71" s="553"/>
      <c r="CJ71" s="553"/>
      <c r="CK71" s="561"/>
      <c r="CL71" s="531">
        <f>ROUND(CL49*$C$39,0)</f>
        <v>44</v>
      </c>
      <c r="CP71" s="560">
        <f t="shared" si="380"/>
        <v>44</v>
      </c>
      <c r="CQ71" s="565"/>
      <c r="CR71" s="553"/>
      <c r="CX71" s="553"/>
      <c r="DD71" s="560">
        <f t="shared" si="382"/>
        <v>0</v>
      </c>
      <c r="DE71" s="565"/>
      <c r="DF71" s="553"/>
      <c r="DG71" s="561"/>
      <c r="DH71" s="531">
        <f>ROUND(DH49*$C$39,0)</f>
        <v>44</v>
      </c>
      <c r="DR71" s="560">
        <f t="shared" si="384"/>
        <v>44</v>
      </c>
      <c r="DS71" s="565"/>
      <c r="DT71" s="553"/>
      <c r="DZ71" s="553"/>
      <c r="EA71" s="561"/>
      <c r="EB71" s="531">
        <f>ROUND(EB49*$C$39,0)</f>
        <v>44</v>
      </c>
      <c r="EF71" s="560">
        <f t="shared" si="385"/>
        <v>44</v>
      </c>
      <c r="EG71" s="565"/>
      <c r="EH71" s="553"/>
      <c r="EN71" s="553"/>
      <c r="ET71" s="560">
        <f t="shared" si="387"/>
        <v>0</v>
      </c>
      <c r="EU71" s="565"/>
    </row>
    <row r="72" spans="9:151" ht="10.5" customHeight="1" x14ac:dyDescent="0.35">
      <c r="I72" s="536">
        <v>2.7</v>
      </c>
      <c r="J72" s="531" t="s">
        <v>498</v>
      </c>
      <c r="K72" s="461"/>
      <c r="Y72" s="565"/>
      <c r="Z72" s="553"/>
      <c r="AG72" s="531">
        <f t="shared" ref="AG72" si="388">ROUND(AG49*$C$40,0)</f>
        <v>9</v>
      </c>
      <c r="AL72" s="560">
        <f t="shared" si="374"/>
        <v>9</v>
      </c>
      <c r="AM72" s="565"/>
      <c r="AN72" s="553"/>
      <c r="AT72" s="553"/>
      <c r="AU72" s="561"/>
      <c r="AZ72" s="560">
        <f t="shared" si="375"/>
        <v>0</v>
      </c>
      <c r="BA72" s="565"/>
      <c r="BB72" s="553"/>
      <c r="BC72" s="531">
        <f t="shared" ref="BC72" si="389">ROUND(BC49*$C$40,0)</f>
        <v>9</v>
      </c>
      <c r="BJ72" s="553"/>
      <c r="BN72" s="560">
        <f t="shared" si="377"/>
        <v>9</v>
      </c>
      <c r="BO72" s="565"/>
      <c r="BP72" s="553"/>
      <c r="BQ72" s="561"/>
      <c r="BW72" s="531">
        <f t="shared" ref="BW72" si="390">ROUND(BW49*$C$40,0)</f>
        <v>9</v>
      </c>
      <c r="BX72" s="553"/>
      <c r="CB72" s="560">
        <f t="shared" si="379"/>
        <v>9</v>
      </c>
      <c r="CC72" s="565"/>
      <c r="CD72" s="553"/>
      <c r="CJ72" s="553"/>
      <c r="CK72" s="561"/>
      <c r="CP72" s="560">
        <f t="shared" si="380"/>
        <v>0</v>
      </c>
      <c r="CQ72" s="565"/>
      <c r="CR72" s="553"/>
      <c r="CT72" s="531">
        <f t="shared" ref="CT72" si="391">ROUND(CT49*$C$40,0)</f>
        <v>9</v>
      </c>
      <c r="CX72" s="553"/>
      <c r="DD72" s="560">
        <f t="shared" si="382"/>
        <v>9</v>
      </c>
      <c r="DE72" s="565"/>
      <c r="DF72" s="553"/>
      <c r="DG72" s="561"/>
      <c r="DM72" s="531">
        <f t="shared" ref="DM72" si="392">ROUND(DM49*$C$40,0)</f>
        <v>9</v>
      </c>
      <c r="DR72" s="560">
        <f t="shared" si="384"/>
        <v>9</v>
      </c>
      <c r="DS72" s="565"/>
      <c r="DT72" s="553"/>
      <c r="DZ72" s="553"/>
      <c r="EA72" s="561"/>
      <c r="EF72" s="560">
        <f t="shared" si="385"/>
        <v>0</v>
      </c>
      <c r="EG72" s="565"/>
      <c r="EH72" s="553"/>
      <c r="EI72" s="531">
        <f t="shared" ref="EI72" si="393">ROUND(EI49*$C$40,0)</f>
        <v>9</v>
      </c>
      <c r="EN72" s="553"/>
      <c r="ET72" s="560">
        <f t="shared" si="387"/>
        <v>9</v>
      </c>
      <c r="EU72" s="565"/>
    </row>
    <row r="73" spans="9:151" ht="10.5" customHeight="1" x14ac:dyDescent="0.35">
      <c r="I73" s="536">
        <v>2.8</v>
      </c>
      <c r="J73" s="531" t="s">
        <v>499</v>
      </c>
      <c r="K73" s="461"/>
      <c r="Y73" s="565"/>
      <c r="Z73" s="531">
        <f>ROUND(Z48*$C$41,0)</f>
        <v>27</v>
      </c>
      <c r="AG73" s="531">
        <f>ROUND(AG49*$C$41,0)</f>
        <v>27</v>
      </c>
      <c r="AL73" s="560">
        <f t="shared" si="374"/>
        <v>54</v>
      </c>
      <c r="AM73" s="565"/>
      <c r="AT73" s="531">
        <f>ROUND(AT48*$C$41,0)</f>
        <v>27</v>
      </c>
      <c r="AU73" s="561"/>
      <c r="AZ73" s="560">
        <f t="shared" si="375"/>
        <v>27</v>
      </c>
      <c r="BA73" s="565"/>
      <c r="BC73" s="531">
        <f>ROUND(BC49*$C$41,0)</f>
        <v>27</v>
      </c>
      <c r="BJ73" s="553"/>
      <c r="BN73" s="560">
        <f t="shared" si="377"/>
        <v>27</v>
      </c>
      <c r="BO73" s="565"/>
      <c r="BP73" s="531">
        <f>ROUND(BP48*$C$41,0)</f>
        <v>27</v>
      </c>
      <c r="BQ73" s="561"/>
      <c r="BW73" s="531">
        <f>ROUND(BW49*$C$41,0)</f>
        <v>27</v>
      </c>
      <c r="BX73" s="553"/>
      <c r="CB73" s="560">
        <f t="shared" si="379"/>
        <v>54</v>
      </c>
      <c r="CC73" s="565"/>
      <c r="CJ73" s="531">
        <f>ROUND(CJ48*$C$41,0)</f>
        <v>27</v>
      </c>
      <c r="CK73" s="561"/>
      <c r="CP73" s="560">
        <f t="shared" si="380"/>
        <v>27</v>
      </c>
      <c r="CQ73" s="565"/>
      <c r="CT73" s="531">
        <f>ROUND(CT49*$C$41,0)</f>
        <v>27</v>
      </c>
      <c r="DD73" s="560">
        <f t="shared" si="382"/>
        <v>27</v>
      </c>
      <c r="DE73" s="565"/>
      <c r="DF73" s="531">
        <f>ROUND(DF48*$C$41,0)</f>
        <v>27</v>
      </c>
      <c r="DG73" s="561"/>
      <c r="DM73" s="531">
        <f>ROUND(DM49*$C$41,0)</f>
        <v>27</v>
      </c>
      <c r="DR73" s="560">
        <f t="shared" si="384"/>
        <v>54</v>
      </c>
      <c r="DS73" s="565"/>
      <c r="DZ73" s="531">
        <f>ROUND(DZ48*$C$41,0)</f>
        <v>27</v>
      </c>
      <c r="EA73" s="561"/>
      <c r="EF73" s="560">
        <f t="shared" si="385"/>
        <v>27</v>
      </c>
      <c r="EG73" s="565"/>
      <c r="EI73" s="531">
        <f>ROUND(EI49*$C$41,0)</f>
        <v>27</v>
      </c>
      <c r="ET73" s="560">
        <f t="shared" si="387"/>
        <v>27</v>
      </c>
      <c r="EU73" s="565"/>
    </row>
    <row r="74" spans="9:151" ht="10.5" customHeight="1" x14ac:dyDescent="0.35">
      <c r="I74" s="536">
        <v>2.9</v>
      </c>
      <c r="J74" s="531" t="s">
        <v>497</v>
      </c>
      <c r="K74" s="461"/>
      <c r="Y74" s="565"/>
      <c r="AB74" s="553">
        <f>ROUND(AB51/$C$42,0)</f>
        <v>7535</v>
      </c>
      <c r="AC74" s="553">
        <f t="shared" ref="AC74:AK74" si="394">AB74</f>
        <v>7535</v>
      </c>
      <c r="AD74" s="553">
        <f t="shared" si="394"/>
        <v>7535</v>
      </c>
      <c r="AE74" s="553">
        <f t="shared" si="394"/>
        <v>7535</v>
      </c>
      <c r="AF74" s="553">
        <f t="shared" si="394"/>
        <v>7535</v>
      </c>
      <c r="AG74" s="553">
        <f t="shared" si="394"/>
        <v>7535</v>
      </c>
      <c r="AH74" s="553">
        <f t="shared" si="394"/>
        <v>7535</v>
      </c>
      <c r="AI74" s="553">
        <f t="shared" si="394"/>
        <v>7535</v>
      </c>
      <c r="AJ74" s="553">
        <f t="shared" si="394"/>
        <v>7535</v>
      </c>
      <c r="AK74" s="553">
        <f t="shared" si="394"/>
        <v>7535</v>
      </c>
      <c r="AL74" s="560">
        <f t="shared" si="374"/>
        <v>75350</v>
      </c>
      <c r="AM74" s="566"/>
      <c r="AN74" s="553">
        <f>AK74</f>
        <v>7535</v>
      </c>
      <c r="AO74" s="553">
        <f>AN74</f>
        <v>7535</v>
      </c>
      <c r="AP74" s="553">
        <f>AO74</f>
        <v>7535</v>
      </c>
      <c r="AQ74" s="553">
        <f t="shared" ref="AQ74:AY74" si="395">AP74</f>
        <v>7535</v>
      </c>
      <c r="AR74" s="553">
        <f t="shared" si="395"/>
        <v>7535</v>
      </c>
      <c r="AS74" s="553">
        <f t="shared" si="395"/>
        <v>7535</v>
      </c>
      <c r="AT74" s="553">
        <f t="shared" si="395"/>
        <v>7535</v>
      </c>
      <c r="AU74" s="562">
        <f t="shared" si="395"/>
        <v>7535</v>
      </c>
      <c r="AV74" s="553">
        <f t="shared" si="395"/>
        <v>7535</v>
      </c>
      <c r="AW74" s="553">
        <f t="shared" si="395"/>
        <v>7535</v>
      </c>
      <c r="AX74" s="553">
        <f t="shared" si="395"/>
        <v>7535</v>
      </c>
      <c r="AY74" s="553">
        <f t="shared" si="395"/>
        <v>7535</v>
      </c>
      <c r="AZ74" s="560">
        <f t="shared" si="375"/>
        <v>90420</v>
      </c>
      <c r="BA74" s="566"/>
      <c r="BB74" s="553">
        <f>AY74</f>
        <v>7535</v>
      </c>
      <c r="BC74" s="553">
        <f>BB74</f>
        <v>7535</v>
      </c>
      <c r="BD74" s="553">
        <f>BC74</f>
        <v>7535</v>
      </c>
      <c r="BE74" s="553">
        <f t="shared" ref="BE74:BM74" si="396">BD74</f>
        <v>7535</v>
      </c>
      <c r="BF74" s="553">
        <f t="shared" si="396"/>
        <v>7535</v>
      </c>
      <c r="BG74" s="553">
        <f t="shared" si="396"/>
        <v>7535</v>
      </c>
      <c r="BH74" s="553">
        <f t="shared" si="396"/>
        <v>7535</v>
      </c>
      <c r="BI74" s="553">
        <f t="shared" si="396"/>
        <v>7535</v>
      </c>
      <c r="BJ74" s="553">
        <f t="shared" si="396"/>
        <v>7535</v>
      </c>
      <c r="BK74" s="553">
        <f t="shared" si="396"/>
        <v>7535</v>
      </c>
      <c r="BL74" s="553">
        <f t="shared" si="396"/>
        <v>7535</v>
      </c>
      <c r="BM74" s="553">
        <f t="shared" si="396"/>
        <v>7535</v>
      </c>
      <c r="BN74" s="560">
        <f t="shared" si="377"/>
        <v>90420</v>
      </c>
      <c r="BO74" s="566"/>
      <c r="BP74" s="553">
        <f>BM74</f>
        <v>7535</v>
      </c>
      <c r="BQ74" s="562">
        <f>BP74</f>
        <v>7535</v>
      </c>
      <c r="BR74" s="553">
        <f>BQ74</f>
        <v>7535</v>
      </c>
      <c r="BS74" s="553">
        <f t="shared" ref="BS74:CA74" si="397">BR74</f>
        <v>7535</v>
      </c>
      <c r="BT74" s="553">
        <f t="shared" si="397"/>
        <v>7535</v>
      </c>
      <c r="BU74" s="553">
        <f t="shared" si="397"/>
        <v>7535</v>
      </c>
      <c r="BV74" s="553">
        <f t="shared" si="397"/>
        <v>7535</v>
      </c>
      <c r="BW74" s="553">
        <f t="shared" si="397"/>
        <v>7535</v>
      </c>
      <c r="BX74" s="553">
        <f t="shared" si="397"/>
        <v>7535</v>
      </c>
      <c r="BY74" s="553">
        <f t="shared" si="397"/>
        <v>7535</v>
      </c>
      <c r="BZ74" s="553">
        <f t="shared" si="397"/>
        <v>7535</v>
      </c>
      <c r="CA74" s="553">
        <f t="shared" si="397"/>
        <v>7535</v>
      </c>
      <c r="CB74" s="560">
        <f t="shared" si="379"/>
        <v>90420</v>
      </c>
      <c r="CC74" s="566"/>
      <c r="CD74" s="553">
        <f>CA74</f>
        <v>7535</v>
      </c>
      <c r="CE74" s="553">
        <f>CD74</f>
        <v>7535</v>
      </c>
      <c r="CF74" s="553">
        <f>CE74</f>
        <v>7535</v>
      </c>
      <c r="CG74" s="553">
        <f t="shared" ref="CG74:CO74" si="398">CF74</f>
        <v>7535</v>
      </c>
      <c r="CH74" s="553">
        <f t="shared" si="398"/>
        <v>7535</v>
      </c>
      <c r="CI74" s="553">
        <f t="shared" si="398"/>
        <v>7535</v>
      </c>
      <c r="CJ74" s="553">
        <f t="shared" si="398"/>
        <v>7535</v>
      </c>
      <c r="CK74" s="562">
        <f t="shared" si="398"/>
        <v>7535</v>
      </c>
      <c r="CL74" s="553">
        <f t="shared" si="398"/>
        <v>7535</v>
      </c>
      <c r="CM74" s="553">
        <f t="shared" si="398"/>
        <v>7535</v>
      </c>
      <c r="CN74" s="553">
        <f t="shared" si="398"/>
        <v>7535</v>
      </c>
      <c r="CO74" s="553">
        <f t="shared" si="398"/>
        <v>7535</v>
      </c>
      <c r="CP74" s="560">
        <f t="shared" si="380"/>
        <v>90420</v>
      </c>
      <c r="CQ74" s="566"/>
      <c r="CR74" s="553">
        <f>CO74</f>
        <v>7535</v>
      </c>
      <c r="CS74" s="553">
        <f>CR74</f>
        <v>7535</v>
      </c>
      <c r="CT74" s="553">
        <f>CS74</f>
        <v>7535</v>
      </c>
      <c r="CU74" s="553">
        <f t="shared" ref="CU74:DC74" si="399">CT74</f>
        <v>7535</v>
      </c>
      <c r="CV74" s="553">
        <f t="shared" si="399"/>
        <v>7535</v>
      </c>
      <c r="CW74" s="553">
        <f t="shared" si="399"/>
        <v>7535</v>
      </c>
      <c r="CX74" s="553">
        <f t="shared" si="399"/>
        <v>7535</v>
      </c>
      <c r="CY74" s="553">
        <f t="shared" si="399"/>
        <v>7535</v>
      </c>
      <c r="CZ74" s="553">
        <f t="shared" si="399"/>
        <v>7535</v>
      </c>
      <c r="DA74" s="553">
        <f t="shared" si="399"/>
        <v>7535</v>
      </c>
      <c r="DB74" s="553">
        <f t="shared" si="399"/>
        <v>7535</v>
      </c>
      <c r="DC74" s="553">
        <f t="shared" si="399"/>
        <v>7535</v>
      </c>
      <c r="DD74" s="560">
        <f t="shared" si="382"/>
        <v>90420</v>
      </c>
      <c r="DE74" s="566"/>
      <c r="DF74" s="553">
        <f>DC74</f>
        <v>7535</v>
      </c>
      <c r="DG74" s="562">
        <f t="shared" ref="DG74:DQ74" si="400">DF74</f>
        <v>7535</v>
      </c>
      <c r="DH74" s="553">
        <f t="shared" si="400"/>
        <v>7535</v>
      </c>
      <c r="DI74" s="553">
        <f t="shared" si="400"/>
        <v>7535</v>
      </c>
      <c r="DJ74" s="553">
        <f t="shared" si="400"/>
        <v>7535</v>
      </c>
      <c r="DK74" s="553">
        <f t="shared" si="400"/>
        <v>7535</v>
      </c>
      <c r="DL74" s="553">
        <f t="shared" si="400"/>
        <v>7535</v>
      </c>
      <c r="DM74" s="553">
        <f t="shared" si="400"/>
        <v>7535</v>
      </c>
      <c r="DN74" s="553">
        <f t="shared" si="400"/>
        <v>7535</v>
      </c>
      <c r="DO74" s="553">
        <f t="shared" si="400"/>
        <v>7535</v>
      </c>
      <c r="DP74" s="553">
        <f t="shared" si="400"/>
        <v>7535</v>
      </c>
      <c r="DQ74" s="553">
        <f t="shared" si="400"/>
        <v>7535</v>
      </c>
      <c r="DR74" s="560">
        <f t="shared" si="384"/>
        <v>90420</v>
      </c>
      <c r="DS74" s="566"/>
      <c r="DT74" s="553">
        <f>DQ74</f>
        <v>7535</v>
      </c>
      <c r="DU74" s="553">
        <f>DT74</f>
        <v>7535</v>
      </c>
      <c r="DV74" s="553">
        <f>DU74</f>
        <v>7535</v>
      </c>
      <c r="DW74" s="553">
        <f t="shared" ref="DW74:EE74" si="401">DV74</f>
        <v>7535</v>
      </c>
      <c r="DX74" s="553">
        <f t="shared" si="401"/>
        <v>7535</v>
      </c>
      <c r="DY74" s="553">
        <f t="shared" si="401"/>
        <v>7535</v>
      </c>
      <c r="DZ74" s="553">
        <f t="shared" si="401"/>
        <v>7535</v>
      </c>
      <c r="EA74" s="562">
        <f t="shared" si="401"/>
        <v>7535</v>
      </c>
      <c r="EB74" s="553">
        <f t="shared" si="401"/>
        <v>7535</v>
      </c>
      <c r="EC74" s="553">
        <f t="shared" si="401"/>
        <v>7535</v>
      </c>
      <c r="ED74" s="553">
        <f t="shared" si="401"/>
        <v>7535</v>
      </c>
      <c r="EE74" s="553">
        <f t="shared" si="401"/>
        <v>7535</v>
      </c>
      <c r="EF74" s="560">
        <f t="shared" si="385"/>
        <v>90420</v>
      </c>
      <c r="EG74" s="566"/>
      <c r="EH74" s="553">
        <f>EE74</f>
        <v>7535</v>
      </c>
      <c r="EI74" s="553">
        <f>EH74</f>
        <v>7535</v>
      </c>
      <c r="EJ74" s="553">
        <f>EI74</f>
        <v>7535</v>
      </c>
      <c r="EK74" s="553">
        <f t="shared" ref="EK74:ES74" si="402">EJ74</f>
        <v>7535</v>
      </c>
      <c r="EL74" s="553">
        <f t="shared" si="402"/>
        <v>7535</v>
      </c>
      <c r="EM74" s="553">
        <f t="shared" si="402"/>
        <v>7535</v>
      </c>
      <c r="EN74" s="553">
        <f t="shared" si="402"/>
        <v>7535</v>
      </c>
      <c r="EO74" s="553">
        <f t="shared" si="402"/>
        <v>7535</v>
      </c>
      <c r="EP74" s="553">
        <f t="shared" si="402"/>
        <v>7535</v>
      </c>
      <c r="EQ74" s="553">
        <f t="shared" si="402"/>
        <v>7535</v>
      </c>
      <c r="ER74" s="553">
        <f t="shared" si="402"/>
        <v>7535</v>
      </c>
      <c r="ES74" s="553">
        <f t="shared" si="402"/>
        <v>7535</v>
      </c>
      <c r="ET74" s="560">
        <f t="shared" si="387"/>
        <v>90420</v>
      </c>
      <c r="EU74" s="566"/>
    </row>
    <row r="75" spans="9:151" ht="10.5" customHeight="1" x14ac:dyDescent="0.35">
      <c r="I75" s="547" t="s">
        <v>1262</v>
      </c>
      <c r="J75" s="531" t="s">
        <v>506</v>
      </c>
      <c r="K75" s="461"/>
      <c r="Y75" s="565"/>
      <c r="Z75" s="553">
        <f>ROUND($C$43*Z48,0)</f>
        <v>45</v>
      </c>
      <c r="AL75" s="560">
        <f t="shared" si="374"/>
        <v>45</v>
      </c>
      <c r="AM75" s="565"/>
      <c r="AN75" s="553">
        <f>Z75</f>
        <v>45</v>
      </c>
      <c r="AU75" s="561"/>
      <c r="AZ75" s="560">
        <f t="shared" si="375"/>
        <v>45</v>
      </c>
      <c r="BA75" s="565"/>
      <c r="BB75" s="553">
        <f>AN75</f>
        <v>45</v>
      </c>
      <c r="BN75" s="560">
        <f t="shared" si="377"/>
        <v>45</v>
      </c>
      <c r="BO75" s="565"/>
      <c r="BP75" s="553">
        <f>BB75</f>
        <v>45</v>
      </c>
      <c r="BQ75" s="561"/>
      <c r="CB75" s="560">
        <f t="shared" si="379"/>
        <v>45</v>
      </c>
      <c r="CC75" s="565"/>
      <c r="CD75" s="553">
        <f>BP75</f>
        <v>45</v>
      </c>
      <c r="CK75" s="561"/>
      <c r="CP75" s="560">
        <f t="shared" si="380"/>
        <v>45</v>
      </c>
      <c r="CQ75" s="565"/>
      <c r="CR75" s="553">
        <f>CD75</f>
        <v>45</v>
      </c>
      <c r="DD75" s="560">
        <f t="shared" si="382"/>
        <v>45</v>
      </c>
      <c r="DE75" s="565"/>
      <c r="DF75" s="553">
        <f>CR75</f>
        <v>45</v>
      </c>
      <c r="DG75" s="561"/>
      <c r="DR75" s="560">
        <f t="shared" si="384"/>
        <v>45</v>
      </c>
      <c r="DS75" s="565"/>
      <c r="DT75" s="553">
        <f>DF75</f>
        <v>45</v>
      </c>
      <c r="EA75" s="561"/>
      <c r="EF75" s="560">
        <f t="shared" si="385"/>
        <v>45</v>
      </c>
      <c r="EG75" s="565"/>
      <c r="EH75" s="553">
        <f>DT75</f>
        <v>45</v>
      </c>
      <c r="ET75" s="560">
        <f t="shared" si="387"/>
        <v>45</v>
      </c>
      <c r="EU75" s="565"/>
    </row>
    <row r="76" spans="9:151" ht="10.5" customHeight="1" x14ac:dyDescent="0.35">
      <c r="I76" s="547" t="s">
        <v>1263</v>
      </c>
      <c r="J76" s="531" t="s">
        <v>504</v>
      </c>
      <c r="K76" s="461"/>
      <c r="Y76" s="565"/>
      <c r="Z76" s="553">
        <f>$C$44*Z48*24*30</f>
        <v>3240</v>
      </c>
      <c r="AA76" s="553">
        <f>Z76</f>
        <v>3240</v>
      </c>
      <c r="AB76" s="553">
        <f t="shared" ref="AB76:AK76" si="403">AA76</f>
        <v>3240</v>
      </c>
      <c r="AC76" s="553">
        <f t="shared" si="403"/>
        <v>3240</v>
      </c>
      <c r="AD76" s="553">
        <f t="shared" si="403"/>
        <v>3240</v>
      </c>
      <c r="AE76" s="553">
        <f t="shared" si="403"/>
        <v>3240</v>
      </c>
      <c r="AF76" s="553">
        <f t="shared" si="403"/>
        <v>3240</v>
      </c>
      <c r="AG76" s="553">
        <f t="shared" si="403"/>
        <v>3240</v>
      </c>
      <c r="AH76" s="553">
        <f t="shared" si="403"/>
        <v>3240</v>
      </c>
      <c r="AI76" s="553">
        <f t="shared" si="403"/>
        <v>3240</v>
      </c>
      <c r="AJ76" s="553">
        <f t="shared" si="403"/>
        <v>3240</v>
      </c>
      <c r="AK76" s="553">
        <f t="shared" si="403"/>
        <v>3240</v>
      </c>
      <c r="AL76" s="560">
        <f t="shared" si="374"/>
        <v>38880</v>
      </c>
      <c r="AM76" s="565"/>
      <c r="AN76" s="553">
        <f>AK76</f>
        <v>3240</v>
      </c>
      <c r="AO76" s="553">
        <f>AN76</f>
        <v>3240</v>
      </c>
      <c r="AP76" s="553">
        <f t="shared" ref="AP76:AY76" si="404">AO76</f>
        <v>3240</v>
      </c>
      <c r="AQ76" s="553">
        <f t="shared" si="404"/>
        <v>3240</v>
      </c>
      <c r="AR76" s="553">
        <f t="shared" si="404"/>
        <v>3240</v>
      </c>
      <c r="AS76" s="553">
        <f t="shared" si="404"/>
        <v>3240</v>
      </c>
      <c r="AT76" s="553">
        <f t="shared" si="404"/>
        <v>3240</v>
      </c>
      <c r="AU76" s="562">
        <f t="shared" si="404"/>
        <v>3240</v>
      </c>
      <c r="AV76" s="553">
        <f t="shared" si="404"/>
        <v>3240</v>
      </c>
      <c r="AW76" s="553">
        <f t="shared" si="404"/>
        <v>3240</v>
      </c>
      <c r="AX76" s="553">
        <f t="shared" si="404"/>
        <v>3240</v>
      </c>
      <c r="AY76" s="553">
        <f t="shared" si="404"/>
        <v>3240</v>
      </c>
      <c r="AZ76" s="560">
        <f t="shared" si="375"/>
        <v>38880</v>
      </c>
      <c r="BA76" s="565"/>
      <c r="BB76" s="553">
        <f>AY76</f>
        <v>3240</v>
      </c>
      <c r="BC76" s="553">
        <f>BB76</f>
        <v>3240</v>
      </c>
      <c r="BD76" s="553">
        <f t="shared" ref="BD76:BM76" si="405">BC76</f>
        <v>3240</v>
      </c>
      <c r="BE76" s="553">
        <f t="shared" si="405"/>
        <v>3240</v>
      </c>
      <c r="BF76" s="553">
        <f t="shared" si="405"/>
        <v>3240</v>
      </c>
      <c r="BG76" s="553">
        <f t="shared" si="405"/>
        <v>3240</v>
      </c>
      <c r="BH76" s="553">
        <f t="shared" si="405"/>
        <v>3240</v>
      </c>
      <c r="BI76" s="553">
        <f t="shared" si="405"/>
        <v>3240</v>
      </c>
      <c r="BJ76" s="553">
        <f t="shared" si="405"/>
        <v>3240</v>
      </c>
      <c r="BK76" s="553">
        <f t="shared" si="405"/>
        <v>3240</v>
      </c>
      <c r="BL76" s="553">
        <f t="shared" si="405"/>
        <v>3240</v>
      </c>
      <c r="BM76" s="553">
        <f t="shared" si="405"/>
        <v>3240</v>
      </c>
      <c r="BN76" s="560">
        <f t="shared" si="377"/>
        <v>38880</v>
      </c>
      <c r="BO76" s="565"/>
      <c r="BP76" s="553">
        <f>BM76</f>
        <v>3240</v>
      </c>
      <c r="BQ76" s="562">
        <f>BP76</f>
        <v>3240</v>
      </c>
      <c r="BR76" s="553">
        <f t="shared" ref="BR76:CA76" si="406">BQ76</f>
        <v>3240</v>
      </c>
      <c r="BS76" s="553">
        <f t="shared" si="406"/>
        <v>3240</v>
      </c>
      <c r="BT76" s="553">
        <f t="shared" si="406"/>
        <v>3240</v>
      </c>
      <c r="BU76" s="553">
        <f t="shared" si="406"/>
        <v>3240</v>
      </c>
      <c r="BV76" s="553">
        <f t="shared" si="406"/>
        <v>3240</v>
      </c>
      <c r="BW76" s="553">
        <f t="shared" si="406"/>
        <v>3240</v>
      </c>
      <c r="BX76" s="553">
        <f t="shared" si="406"/>
        <v>3240</v>
      </c>
      <c r="BY76" s="553">
        <f t="shared" si="406"/>
        <v>3240</v>
      </c>
      <c r="BZ76" s="553">
        <f t="shared" si="406"/>
        <v>3240</v>
      </c>
      <c r="CA76" s="553">
        <f t="shared" si="406"/>
        <v>3240</v>
      </c>
      <c r="CB76" s="560">
        <f t="shared" si="379"/>
        <v>38880</v>
      </c>
      <c r="CC76" s="565"/>
      <c r="CD76" s="553">
        <f>CA76</f>
        <v>3240</v>
      </c>
      <c r="CE76" s="553">
        <f>CD76</f>
        <v>3240</v>
      </c>
      <c r="CF76" s="553">
        <f t="shared" ref="CF76:CO76" si="407">CE76</f>
        <v>3240</v>
      </c>
      <c r="CG76" s="553">
        <f t="shared" si="407"/>
        <v>3240</v>
      </c>
      <c r="CH76" s="553">
        <f t="shared" si="407"/>
        <v>3240</v>
      </c>
      <c r="CI76" s="553">
        <f t="shared" si="407"/>
        <v>3240</v>
      </c>
      <c r="CJ76" s="553">
        <f t="shared" si="407"/>
        <v>3240</v>
      </c>
      <c r="CK76" s="562">
        <f t="shared" si="407"/>
        <v>3240</v>
      </c>
      <c r="CL76" s="553">
        <f t="shared" si="407"/>
        <v>3240</v>
      </c>
      <c r="CM76" s="553">
        <f t="shared" si="407"/>
        <v>3240</v>
      </c>
      <c r="CN76" s="553">
        <f t="shared" si="407"/>
        <v>3240</v>
      </c>
      <c r="CO76" s="553">
        <f t="shared" si="407"/>
        <v>3240</v>
      </c>
      <c r="CP76" s="560">
        <f t="shared" si="380"/>
        <v>38880</v>
      </c>
      <c r="CQ76" s="565"/>
      <c r="CR76" s="553">
        <f>CO76</f>
        <v>3240</v>
      </c>
      <c r="CS76" s="553">
        <f>CR76</f>
        <v>3240</v>
      </c>
      <c r="CT76" s="553">
        <f t="shared" ref="CT76:DC76" si="408">CS76</f>
        <v>3240</v>
      </c>
      <c r="CU76" s="553">
        <f t="shared" si="408"/>
        <v>3240</v>
      </c>
      <c r="CV76" s="553">
        <f t="shared" si="408"/>
        <v>3240</v>
      </c>
      <c r="CW76" s="553">
        <f t="shared" si="408"/>
        <v>3240</v>
      </c>
      <c r="CX76" s="553">
        <f t="shared" si="408"/>
        <v>3240</v>
      </c>
      <c r="CY76" s="553">
        <f t="shared" si="408"/>
        <v>3240</v>
      </c>
      <c r="CZ76" s="553">
        <f t="shared" si="408"/>
        <v>3240</v>
      </c>
      <c r="DA76" s="553">
        <f t="shared" si="408"/>
        <v>3240</v>
      </c>
      <c r="DB76" s="553">
        <f t="shared" si="408"/>
        <v>3240</v>
      </c>
      <c r="DC76" s="553">
        <f t="shared" si="408"/>
        <v>3240</v>
      </c>
      <c r="DD76" s="560">
        <f t="shared" si="382"/>
        <v>38880</v>
      </c>
      <c r="DE76" s="565"/>
      <c r="DF76" s="553">
        <f>CR76</f>
        <v>3240</v>
      </c>
      <c r="DG76" s="562">
        <f t="shared" ref="DG76:DQ76" si="409">DF76</f>
        <v>3240</v>
      </c>
      <c r="DH76" s="553">
        <f t="shared" si="409"/>
        <v>3240</v>
      </c>
      <c r="DI76" s="553">
        <f t="shared" si="409"/>
        <v>3240</v>
      </c>
      <c r="DJ76" s="553">
        <f t="shared" si="409"/>
        <v>3240</v>
      </c>
      <c r="DK76" s="553">
        <f t="shared" si="409"/>
        <v>3240</v>
      </c>
      <c r="DL76" s="553">
        <f t="shared" si="409"/>
        <v>3240</v>
      </c>
      <c r="DM76" s="553">
        <f t="shared" si="409"/>
        <v>3240</v>
      </c>
      <c r="DN76" s="553">
        <f t="shared" si="409"/>
        <v>3240</v>
      </c>
      <c r="DO76" s="553">
        <f t="shared" si="409"/>
        <v>3240</v>
      </c>
      <c r="DP76" s="553">
        <f t="shared" si="409"/>
        <v>3240</v>
      </c>
      <c r="DQ76" s="553">
        <f t="shared" si="409"/>
        <v>3240</v>
      </c>
      <c r="DR76" s="560">
        <f t="shared" si="384"/>
        <v>38880</v>
      </c>
      <c r="DS76" s="565"/>
      <c r="DT76" s="553">
        <f>DQ76</f>
        <v>3240</v>
      </c>
      <c r="DU76" s="553">
        <f>DT76</f>
        <v>3240</v>
      </c>
      <c r="DV76" s="553">
        <f t="shared" ref="DV76:EE76" si="410">DU76</f>
        <v>3240</v>
      </c>
      <c r="DW76" s="553">
        <f t="shared" si="410"/>
        <v>3240</v>
      </c>
      <c r="DX76" s="553">
        <f t="shared" si="410"/>
        <v>3240</v>
      </c>
      <c r="DY76" s="553">
        <f t="shared" si="410"/>
        <v>3240</v>
      </c>
      <c r="DZ76" s="553">
        <f t="shared" si="410"/>
        <v>3240</v>
      </c>
      <c r="EA76" s="562">
        <f t="shared" si="410"/>
        <v>3240</v>
      </c>
      <c r="EB76" s="553">
        <f t="shared" si="410"/>
        <v>3240</v>
      </c>
      <c r="EC76" s="553">
        <f t="shared" si="410"/>
        <v>3240</v>
      </c>
      <c r="ED76" s="553">
        <f t="shared" si="410"/>
        <v>3240</v>
      </c>
      <c r="EE76" s="553">
        <f t="shared" si="410"/>
        <v>3240</v>
      </c>
      <c r="EF76" s="560">
        <f t="shared" si="385"/>
        <v>38880</v>
      </c>
      <c r="EG76" s="565"/>
      <c r="EH76" s="553">
        <f>EE76</f>
        <v>3240</v>
      </c>
      <c r="EI76" s="553">
        <f>EH76</f>
        <v>3240</v>
      </c>
      <c r="EJ76" s="553">
        <f t="shared" ref="EJ76:ES76" si="411">EI76</f>
        <v>3240</v>
      </c>
      <c r="EK76" s="553">
        <f t="shared" si="411"/>
        <v>3240</v>
      </c>
      <c r="EL76" s="553">
        <f t="shared" si="411"/>
        <v>3240</v>
      </c>
      <c r="EM76" s="553">
        <f t="shared" si="411"/>
        <v>3240</v>
      </c>
      <c r="EN76" s="553">
        <f t="shared" si="411"/>
        <v>3240</v>
      </c>
      <c r="EO76" s="553">
        <f t="shared" si="411"/>
        <v>3240</v>
      </c>
      <c r="EP76" s="553">
        <f t="shared" si="411"/>
        <v>3240</v>
      </c>
      <c r="EQ76" s="553">
        <f t="shared" si="411"/>
        <v>3240</v>
      </c>
      <c r="ER76" s="553">
        <f t="shared" si="411"/>
        <v>3240</v>
      </c>
      <c r="ES76" s="553">
        <f t="shared" si="411"/>
        <v>3240</v>
      </c>
      <c r="ET76" s="560">
        <f t="shared" si="387"/>
        <v>38880</v>
      </c>
      <c r="EU76" s="565"/>
    </row>
    <row r="77" spans="9:151" ht="10.5" customHeight="1" x14ac:dyDescent="0.35">
      <c r="I77" s="558"/>
      <c r="J77" s="558"/>
      <c r="K77" s="558"/>
      <c r="L77" s="558"/>
      <c r="M77" s="558"/>
      <c r="N77" s="558"/>
      <c r="O77" s="558"/>
      <c r="P77" s="558"/>
      <c r="Q77" s="558"/>
      <c r="R77" s="558"/>
      <c r="S77" s="558"/>
      <c r="T77" s="558"/>
      <c r="U77" s="558"/>
      <c r="V77" s="558"/>
      <c r="W77" s="558"/>
      <c r="X77" s="558"/>
      <c r="Z77" s="558"/>
      <c r="AA77" s="558"/>
      <c r="AB77" s="558"/>
      <c r="AC77" s="558"/>
      <c r="AD77" s="558"/>
      <c r="AE77" s="558"/>
      <c r="AF77" s="558"/>
      <c r="AG77" s="558"/>
      <c r="AH77" s="558"/>
      <c r="AI77" s="558"/>
      <c r="AJ77" s="558"/>
      <c r="AK77" s="558"/>
      <c r="AL77" s="558"/>
      <c r="AN77" s="558"/>
      <c r="AO77" s="558"/>
      <c r="AP77" s="558"/>
      <c r="AQ77" s="558"/>
      <c r="AR77" s="558"/>
      <c r="AS77" s="558"/>
      <c r="AT77" s="558"/>
      <c r="AU77" s="558"/>
      <c r="AV77" s="558"/>
      <c r="AW77" s="558"/>
      <c r="AX77" s="558"/>
      <c r="AY77" s="558"/>
      <c r="AZ77" s="558"/>
      <c r="BB77" s="558"/>
      <c r="BC77" s="558"/>
      <c r="BD77" s="558"/>
      <c r="BE77" s="558"/>
      <c r="BF77" s="558"/>
      <c r="BG77" s="558"/>
      <c r="BH77" s="558"/>
      <c r="BI77" s="558"/>
      <c r="BJ77" s="558"/>
      <c r="BK77" s="558"/>
      <c r="BL77" s="558"/>
      <c r="BM77" s="558"/>
      <c r="BN77" s="558"/>
      <c r="BP77" s="558"/>
      <c r="BQ77" s="558"/>
      <c r="BR77" s="558"/>
      <c r="BS77" s="558"/>
      <c r="BT77" s="558"/>
      <c r="BU77" s="558"/>
      <c r="BV77" s="558"/>
      <c r="BW77" s="558"/>
      <c r="BX77" s="558"/>
      <c r="BY77" s="558"/>
      <c r="BZ77" s="558"/>
      <c r="CA77" s="558"/>
      <c r="CB77" s="558"/>
      <c r="CD77" s="558"/>
      <c r="CE77" s="558"/>
      <c r="CF77" s="558"/>
      <c r="CG77" s="558"/>
      <c r="CH77" s="558"/>
      <c r="CI77" s="558"/>
      <c r="CJ77" s="558"/>
      <c r="CK77" s="558"/>
      <c r="CL77" s="558"/>
      <c r="CM77" s="558"/>
      <c r="CN77" s="558"/>
      <c r="CO77" s="558"/>
      <c r="CP77" s="558"/>
      <c r="CR77" s="558"/>
      <c r="CS77" s="558"/>
      <c r="CT77" s="558"/>
      <c r="CU77" s="558"/>
      <c r="CV77" s="558"/>
      <c r="CW77" s="558"/>
      <c r="CX77" s="558"/>
      <c r="CY77" s="558"/>
      <c r="CZ77" s="558"/>
      <c r="DA77" s="558"/>
      <c r="DB77" s="558"/>
      <c r="DC77" s="558"/>
      <c r="DD77" s="558"/>
      <c r="DF77" s="558"/>
      <c r="DG77" s="558"/>
      <c r="DH77" s="558"/>
      <c r="DI77" s="558"/>
      <c r="DJ77" s="558"/>
      <c r="DK77" s="558"/>
      <c r="DL77" s="558"/>
      <c r="DM77" s="558"/>
      <c r="DN77" s="558"/>
      <c r="DO77" s="558"/>
      <c r="DP77" s="558"/>
      <c r="DQ77" s="558"/>
      <c r="DR77" s="558"/>
      <c r="DT77" s="558"/>
      <c r="DU77" s="558"/>
      <c r="DV77" s="558"/>
      <c r="DW77" s="558"/>
      <c r="DX77" s="558"/>
      <c r="DY77" s="558"/>
      <c r="DZ77" s="558"/>
      <c r="EA77" s="558"/>
      <c r="EB77" s="558"/>
      <c r="EC77" s="558"/>
      <c r="ED77" s="558"/>
      <c r="EE77" s="558"/>
      <c r="EF77" s="558"/>
      <c r="EH77" s="558"/>
      <c r="EI77" s="558"/>
      <c r="EJ77" s="558"/>
      <c r="EK77" s="558"/>
      <c r="EL77" s="558"/>
      <c r="EM77" s="558"/>
      <c r="EN77" s="558"/>
      <c r="EO77" s="558"/>
      <c r="EP77" s="558"/>
      <c r="EQ77" s="558"/>
      <c r="ER77" s="558"/>
      <c r="ES77" s="558"/>
      <c r="ET77" s="558"/>
    </row>
    <row r="78" spans="9:151" ht="10.5" customHeight="1" x14ac:dyDescent="0.35">
      <c r="I78" s="549" t="s">
        <v>440</v>
      </c>
      <c r="J78" s="550" t="s">
        <v>1266</v>
      </c>
      <c r="K78" s="461"/>
      <c r="X78" s="558"/>
      <c r="Y78" s="565"/>
      <c r="AL78" s="558"/>
      <c r="AM78" s="565"/>
      <c r="AZ78" s="558"/>
      <c r="BA78" s="565"/>
      <c r="BN78" s="558"/>
      <c r="BO78" s="565"/>
      <c r="CB78" s="558"/>
      <c r="CC78" s="565"/>
      <c r="CP78" s="558"/>
      <c r="CQ78" s="565"/>
      <c r="DD78" s="558"/>
      <c r="DE78" s="565"/>
      <c r="DR78" s="558"/>
      <c r="DS78" s="565"/>
      <c r="EF78" s="558"/>
      <c r="EG78" s="565"/>
      <c r="ET78" s="558"/>
      <c r="EU78" s="565"/>
    </row>
    <row r="79" spans="9:151" ht="10.5" customHeight="1" x14ac:dyDescent="0.35">
      <c r="I79" s="547">
        <v>2.1</v>
      </c>
      <c r="J79" s="531" t="s">
        <v>1072</v>
      </c>
      <c r="X79" s="558"/>
      <c r="Y79" s="565"/>
      <c r="AL79" s="558"/>
      <c r="AM79" s="565"/>
      <c r="AZ79" s="558"/>
      <c r="BA79" s="565"/>
      <c r="BN79" s="558"/>
      <c r="BO79" s="565"/>
      <c r="CB79" s="558"/>
      <c r="CC79" s="565"/>
      <c r="CP79" s="558"/>
      <c r="CQ79" s="565"/>
      <c r="DD79" s="558"/>
      <c r="DE79" s="565"/>
      <c r="DR79" s="558"/>
      <c r="DS79" s="565"/>
      <c r="EF79" s="558"/>
      <c r="EG79" s="565"/>
      <c r="ET79" s="558"/>
      <c r="EU79" s="565"/>
    </row>
    <row r="80" spans="9:151" ht="10.5" customHeight="1" x14ac:dyDescent="0.35">
      <c r="I80" s="536"/>
      <c r="J80" s="531" t="s">
        <v>9</v>
      </c>
      <c r="K80" s="531" t="s">
        <v>505</v>
      </c>
      <c r="L80" s="553">
        <f>L13+L48</f>
        <v>3000</v>
      </c>
      <c r="M80" s="553">
        <f t="shared" ref="M80:BX80" si="412">M13+M48</f>
        <v>3000</v>
      </c>
      <c r="N80" s="553">
        <f t="shared" si="412"/>
        <v>0</v>
      </c>
      <c r="O80" s="553">
        <f t="shared" si="412"/>
        <v>0</v>
      </c>
      <c r="P80" s="553">
        <f t="shared" si="412"/>
        <v>0</v>
      </c>
      <c r="Q80" s="553">
        <f t="shared" si="412"/>
        <v>0</v>
      </c>
      <c r="R80" s="553">
        <f t="shared" si="412"/>
        <v>0</v>
      </c>
      <c r="S80" s="553">
        <f t="shared" si="412"/>
        <v>0</v>
      </c>
      <c r="T80" s="553">
        <f t="shared" si="412"/>
        <v>0</v>
      </c>
      <c r="U80" s="553">
        <f t="shared" si="412"/>
        <v>0</v>
      </c>
      <c r="V80" s="553">
        <f t="shared" si="412"/>
        <v>0</v>
      </c>
      <c r="W80" s="553">
        <f t="shared" si="412"/>
        <v>0</v>
      </c>
      <c r="X80" s="560">
        <f t="shared" si="412"/>
        <v>3000</v>
      </c>
      <c r="Y80" s="565"/>
      <c r="Z80" s="553">
        <f t="shared" si="412"/>
        <v>9000</v>
      </c>
      <c r="AA80" s="553">
        <f t="shared" si="412"/>
        <v>9000</v>
      </c>
      <c r="AB80" s="553">
        <f t="shared" si="412"/>
        <v>0</v>
      </c>
      <c r="AC80" s="553">
        <f t="shared" si="412"/>
        <v>0</v>
      </c>
      <c r="AD80" s="553">
        <f t="shared" si="412"/>
        <v>0</v>
      </c>
      <c r="AE80" s="553">
        <f t="shared" si="412"/>
        <v>0</v>
      </c>
      <c r="AF80" s="553">
        <f t="shared" si="412"/>
        <v>3000</v>
      </c>
      <c r="AG80" s="553">
        <f t="shared" si="412"/>
        <v>3000</v>
      </c>
      <c r="AH80" s="553">
        <f t="shared" si="412"/>
        <v>0</v>
      </c>
      <c r="AI80" s="553">
        <f t="shared" si="412"/>
        <v>0</v>
      </c>
      <c r="AJ80" s="553">
        <f t="shared" si="412"/>
        <v>0</v>
      </c>
      <c r="AK80" s="553">
        <f t="shared" si="412"/>
        <v>0</v>
      </c>
      <c r="AL80" s="560">
        <f t="shared" si="412"/>
        <v>12000</v>
      </c>
      <c r="AM80" s="565"/>
      <c r="AN80" s="553">
        <f t="shared" si="412"/>
        <v>0</v>
      </c>
      <c r="AO80" s="553">
        <f t="shared" si="412"/>
        <v>0</v>
      </c>
      <c r="AP80" s="553">
        <f t="shared" si="412"/>
        <v>0</v>
      </c>
      <c r="AQ80" s="553">
        <f t="shared" si="412"/>
        <v>0</v>
      </c>
      <c r="AR80" s="553">
        <f t="shared" si="412"/>
        <v>0</v>
      </c>
      <c r="AS80" s="553">
        <f t="shared" si="412"/>
        <v>0</v>
      </c>
      <c r="AT80" s="553">
        <f t="shared" si="412"/>
        <v>9000</v>
      </c>
      <c r="AU80" s="553">
        <f t="shared" si="412"/>
        <v>9000</v>
      </c>
      <c r="AV80" s="553">
        <f t="shared" si="412"/>
        <v>0</v>
      </c>
      <c r="AW80" s="553">
        <f t="shared" si="412"/>
        <v>0</v>
      </c>
      <c r="AX80" s="553">
        <f t="shared" si="412"/>
        <v>0</v>
      </c>
      <c r="AY80" s="553">
        <f t="shared" si="412"/>
        <v>0</v>
      </c>
      <c r="AZ80" s="560">
        <f t="shared" si="412"/>
        <v>9000</v>
      </c>
      <c r="BA80" s="565"/>
      <c r="BB80" s="553">
        <f t="shared" si="412"/>
        <v>3000</v>
      </c>
      <c r="BC80" s="553">
        <f t="shared" si="412"/>
        <v>3000</v>
      </c>
      <c r="BD80" s="553">
        <f t="shared" si="412"/>
        <v>0</v>
      </c>
      <c r="BE80" s="553">
        <f t="shared" si="412"/>
        <v>0</v>
      </c>
      <c r="BF80" s="553">
        <f t="shared" si="412"/>
        <v>0</v>
      </c>
      <c r="BG80" s="553">
        <f t="shared" si="412"/>
        <v>0</v>
      </c>
      <c r="BH80" s="553">
        <f t="shared" si="412"/>
        <v>0</v>
      </c>
      <c r="BI80" s="553">
        <f t="shared" si="412"/>
        <v>0</v>
      </c>
      <c r="BJ80" s="553">
        <f t="shared" si="412"/>
        <v>0</v>
      </c>
      <c r="BK80" s="553">
        <f t="shared" si="412"/>
        <v>0</v>
      </c>
      <c r="BL80" s="553">
        <f t="shared" si="412"/>
        <v>0</v>
      </c>
      <c r="BM80" s="553">
        <f t="shared" si="412"/>
        <v>0</v>
      </c>
      <c r="BN80" s="560">
        <f t="shared" si="412"/>
        <v>0</v>
      </c>
      <c r="BO80" s="565"/>
      <c r="BP80" s="553">
        <f t="shared" si="412"/>
        <v>9000</v>
      </c>
      <c r="BQ80" s="553">
        <f t="shared" si="412"/>
        <v>9000</v>
      </c>
      <c r="BR80" s="553">
        <f t="shared" si="412"/>
        <v>0</v>
      </c>
      <c r="BS80" s="553">
        <f t="shared" si="412"/>
        <v>0</v>
      </c>
      <c r="BT80" s="553">
        <f t="shared" si="412"/>
        <v>0</v>
      </c>
      <c r="BU80" s="553">
        <f t="shared" si="412"/>
        <v>0</v>
      </c>
      <c r="BV80" s="553">
        <f t="shared" si="412"/>
        <v>3000</v>
      </c>
      <c r="BW80" s="553">
        <f t="shared" si="412"/>
        <v>3000</v>
      </c>
      <c r="BX80" s="553">
        <f t="shared" si="412"/>
        <v>0</v>
      </c>
      <c r="BY80" s="553">
        <f t="shared" ref="BY80:EJ80" si="413">BY13+BY48</f>
        <v>0</v>
      </c>
      <c r="BZ80" s="553">
        <f t="shared" si="413"/>
        <v>0</v>
      </c>
      <c r="CA80" s="553">
        <f t="shared" si="413"/>
        <v>0</v>
      </c>
      <c r="CB80" s="560">
        <f t="shared" ref="CB80" si="414">CB13+CB48</f>
        <v>3000</v>
      </c>
      <c r="CC80" s="565"/>
      <c r="CD80" s="553">
        <f t="shared" si="413"/>
        <v>0</v>
      </c>
      <c r="CE80" s="553">
        <f t="shared" si="413"/>
        <v>0</v>
      </c>
      <c r="CF80" s="553">
        <f t="shared" si="413"/>
        <v>0</v>
      </c>
      <c r="CG80" s="553">
        <f t="shared" si="413"/>
        <v>0</v>
      </c>
      <c r="CH80" s="553">
        <f t="shared" si="413"/>
        <v>0</v>
      </c>
      <c r="CI80" s="553">
        <f t="shared" si="413"/>
        <v>0</v>
      </c>
      <c r="CJ80" s="553">
        <f t="shared" si="413"/>
        <v>9000</v>
      </c>
      <c r="CK80" s="553">
        <f t="shared" si="413"/>
        <v>9000</v>
      </c>
      <c r="CL80" s="553">
        <f t="shared" si="413"/>
        <v>0</v>
      </c>
      <c r="CM80" s="553">
        <f t="shared" si="413"/>
        <v>0</v>
      </c>
      <c r="CN80" s="553">
        <f t="shared" si="413"/>
        <v>0</v>
      </c>
      <c r="CO80" s="553">
        <f t="shared" si="413"/>
        <v>0</v>
      </c>
      <c r="CP80" s="560">
        <f t="shared" ref="CP80" si="415">CP13+CP48</f>
        <v>9000</v>
      </c>
      <c r="CQ80" s="565"/>
      <c r="CR80" s="553">
        <f t="shared" si="413"/>
        <v>3000</v>
      </c>
      <c r="CS80" s="553">
        <f t="shared" si="413"/>
        <v>3000</v>
      </c>
      <c r="CT80" s="553">
        <f t="shared" si="413"/>
        <v>0</v>
      </c>
      <c r="CU80" s="553">
        <f t="shared" si="413"/>
        <v>0</v>
      </c>
      <c r="CV80" s="553">
        <f t="shared" si="413"/>
        <v>0</v>
      </c>
      <c r="CW80" s="553">
        <f t="shared" si="413"/>
        <v>0</v>
      </c>
      <c r="CX80" s="553">
        <f t="shared" si="413"/>
        <v>0</v>
      </c>
      <c r="CY80" s="553">
        <f t="shared" si="413"/>
        <v>0</v>
      </c>
      <c r="CZ80" s="553">
        <f t="shared" si="413"/>
        <v>0</v>
      </c>
      <c r="DA80" s="553">
        <f t="shared" si="413"/>
        <v>0</v>
      </c>
      <c r="DB80" s="553">
        <f t="shared" si="413"/>
        <v>0</v>
      </c>
      <c r="DC80" s="553">
        <f t="shared" si="413"/>
        <v>0</v>
      </c>
      <c r="DD80" s="560">
        <f t="shared" ref="DD80" si="416">DD13+DD48</f>
        <v>3000</v>
      </c>
      <c r="DE80" s="565"/>
      <c r="DF80" s="553">
        <f t="shared" si="413"/>
        <v>9000</v>
      </c>
      <c r="DG80" s="553">
        <f t="shared" si="413"/>
        <v>9000</v>
      </c>
      <c r="DH80" s="553">
        <f t="shared" si="413"/>
        <v>0</v>
      </c>
      <c r="DI80" s="553">
        <f t="shared" si="413"/>
        <v>0</v>
      </c>
      <c r="DJ80" s="553">
        <f t="shared" si="413"/>
        <v>0</v>
      </c>
      <c r="DK80" s="553">
        <f t="shared" si="413"/>
        <v>0</v>
      </c>
      <c r="DL80" s="553">
        <f t="shared" si="413"/>
        <v>3000</v>
      </c>
      <c r="DM80" s="553">
        <f t="shared" si="413"/>
        <v>3000</v>
      </c>
      <c r="DN80" s="553">
        <f t="shared" si="413"/>
        <v>0</v>
      </c>
      <c r="DO80" s="553">
        <f t="shared" si="413"/>
        <v>0</v>
      </c>
      <c r="DP80" s="553">
        <f t="shared" si="413"/>
        <v>0</v>
      </c>
      <c r="DQ80" s="553">
        <f t="shared" si="413"/>
        <v>0</v>
      </c>
      <c r="DR80" s="560">
        <f t="shared" si="413"/>
        <v>12000</v>
      </c>
      <c r="DS80" s="565"/>
      <c r="DT80" s="553">
        <f t="shared" si="413"/>
        <v>0</v>
      </c>
      <c r="DU80" s="553">
        <f t="shared" si="413"/>
        <v>0</v>
      </c>
      <c r="DV80" s="553">
        <f t="shared" si="413"/>
        <v>0</v>
      </c>
      <c r="DW80" s="553">
        <f t="shared" si="413"/>
        <v>0</v>
      </c>
      <c r="DX80" s="553">
        <f t="shared" si="413"/>
        <v>0</v>
      </c>
      <c r="DY80" s="553">
        <f t="shared" si="413"/>
        <v>0</v>
      </c>
      <c r="DZ80" s="553">
        <f t="shared" si="413"/>
        <v>9000</v>
      </c>
      <c r="EA80" s="553">
        <f t="shared" si="413"/>
        <v>9000</v>
      </c>
      <c r="EB80" s="553">
        <f t="shared" si="413"/>
        <v>0</v>
      </c>
      <c r="EC80" s="553">
        <f t="shared" si="413"/>
        <v>0</v>
      </c>
      <c r="ED80" s="553">
        <f t="shared" si="413"/>
        <v>0</v>
      </c>
      <c r="EE80" s="553">
        <f t="shared" si="413"/>
        <v>0</v>
      </c>
      <c r="EF80" s="560">
        <f t="shared" si="413"/>
        <v>9000</v>
      </c>
      <c r="EG80" s="565"/>
      <c r="EH80" s="553">
        <f t="shared" si="413"/>
        <v>3000</v>
      </c>
      <c r="EI80" s="553">
        <f t="shared" si="413"/>
        <v>3000</v>
      </c>
      <c r="EJ80" s="553">
        <f t="shared" si="413"/>
        <v>0</v>
      </c>
      <c r="EK80" s="553">
        <f t="shared" ref="EK80:ET81" si="417">EK13+EK48</f>
        <v>0</v>
      </c>
      <c r="EL80" s="553">
        <f t="shared" si="417"/>
        <v>0</v>
      </c>
      <c r="EM80" s="553">
        <f t="shared" si="417"/>
        <v>0</v>
      </c>
      <c r="EN80" s="553">
        <f t="shared" si="417"/>
        <v>0</v>
      </c>
      <c r="EO80" s="553">
        <f t="shared" si="417"/>
        <v>0</v>
      </c>
      <c r="EP80" s="553">
        <f t="shared" si="417"/>
        <v>0</v>
      </c>
      <c r="EQ80" s="553">
        <f t="shared" si="417"/>
        <v>0</v>
      </c>
      <c r="ER80" s="553">
        <f t="shared" si="417"/>
        <v>0</v>
      </c>
      <c r="ES80" s="553">
        <f t="shared" si="417"/>
        <v>0</v>
      </c>
      <c r="ET80" s="560">
        <f t="shared" si="417"/>
        <v>0</v>
      </c>
      <c r="EU80" s="565"/>
    </row>
    <row r="81" spans="9:151" ht="10.5" customHeight="1" x14ac:dyDescent="0.35">
      <c r="I81" s="536"/>
      <c r="J81" s="531" t="s">
        <v>10</v>
      </c>
      <c r="K81" s="531" t="s">
        <v>1073</v>
      </c>
      <c r="L81" s="553">
        <f>L14+L49</f>
        <v>0</v>
      </c>
      <c r="M81" s="553">
        <f t="shared" ref="M81:BX81" si="418">M14+M49</f>
        <v>0</v>
      </c>
      <c r="N81" s="553">
        <f t="shared" si="418"/>
        <v>2955</v>
      </c>
      <c r="O81" s="553">
        <f t="shared" si="418"/>
        <v>2955</v>
      </c>
      <c r="P81" s="553">
        <f t="shared" si="418"/>
        <v>2955</v>
      </c>
      <c r="Q81" s="553">
        <f t="shared" si="418"/>
        <v>2955</v>
      </c>
      <c r="R81" s="553">
        <f t="shared" si="418"/>
        <v>2955</v>
      </c>
      <c r="S81" s="553">
        <f t="shared" si="418"/>
        <v>2955</v>
      </c>
      <c r="T81" s="553">
        <f t="shared" si="418"/>
        <v>2955</v>
      </c>
      <c r="U81" s="553">
        <f t="shared" si="418"/>
        <v>2955</v>
      </c>
      <c r="V81" s="553">
        <f t="shared" si="418"/>
        <v>2955</v>
      </c>
      <c r="W81" s="553">
        <f t="shared" si="418"/>
        <v>2955</v>
      </c>
      <c r="X81" s="560">
        <f t="shared" si="418"/>
        <v>2955</v>
      </c>
      <c r="Y81" s="565"/>
      <c r="Z81" s="553">
        <f t="shared" si="418"/>
        <v>2955</v>
      </c>
      <c r="AA81" s="553">
        <f t="shared" si="418"/>
        <v>2955</v>
      </c>
      <c r="AB81" s="553">
        <f t="shared" si="418"/>
        <v>11820</v>
      </c>
      <c r="AC81" s="553">
        <f t="shared" si="418"/>
        <v>11820</v>
      </c>
      <c r="AD81" s="553">
        <f t="shared" si="418"/>
        <v>11820</v>
      </c>
      <c r="AE81" s="553">
        <f t="shared" si="418"/>
        <v>11820</v>
      </c>
      <c r="AF81" s="553">
        <f t="shared" si="418"/>
        <v>11820</v>
      </c>
      <c r="AG81" s="553">
        <f t="shared" si="418"/>
        <v>11820</v>
      </c>
      <c r="AH81" s="553">
        <f t="shared" si="418"/>
        <v>11820</v>
      </c>
      <c r="AI81" s="553">
        <f t="shared" si="418"/>
        <v>11820</v>
      </c>
      <c r="AJ81" s="553">
        <f t="shared" si="418"/>
        <v>11820</v>
      </c>
      <c r="AK81" s="553">
        <f t="shared" si="418"/>
        <v>11820</v>
      </c>
      <c r="AL81" s="560">
        <f t="shared" si="418"/>
        <v>11820</v>
      </c>
      <c r="AM81" s="565"/>
      <c r="AN81" s="553">
        <f t="shared" si="418"/>
        <v>11820</v>
      </c>
      <c r="AO81" s="553">
        <f t="shared" si="418"/>
        <v>11820</v>
      </c>
      <c r="AP81" s="553">
        <f t="shared" si="418"/>
        <v>11820</v>
      </c>
      <c r="AQ81" s="553">
        <f t="shared" si="418"/>
        <v>11820</v>
      </c>
      <c r="AR81" s="553">
        <f t="shared" si="418"/>
        <v>11820</v>
      </c>
      <c r="AS81" s="553">
        <f t="shared" si="418"/>
        <v>11820</v>
      </c>
      <c r="AT81" s="553">
        <f t="shared" si="418"/>
        <v>11820</v>
      </c>
      <c r="AU81" s="553">
        <f t="shared" si="418"/>
        <v>11820</v>
      </c>
      <c r="AV81" s="553">
        <f t="shared" si="418"/>
        <v>11820</v>
      </c>
      <c r="AW81" s="553">
        <f t="shared" si="418"/>
        <v>11820</v>
      </c>
      <c r="AX81" s="553">
        <f t="shared" si="418"/>
        <v>11820</v>
      </c>
      <c r="AY81" s="553">
        <f t="shared" si="418"/>
        <v>11820</v>
      </c>
      <c r="AZ81" s="560">
        <f t="shared" si="418"/>
        <v>11820</v>
      </c>
      <c r="BA81" s="565"/>
      <c r="BB81" s="553">
        <f t="shared" si="418"/>
        <v>11820</v>
      </c>
      <c r="BC81" s="553">
        <f t="shared" si="418"/>
        <v>11820</v>
      </c>
      <c r="BD81" s="553">
        <f t="shared" si="418"/>
        <v>11820</v>
      </c>
      <c r="BE81" s="553">
        <f t="shared" si="418"/>
        <v>11820</v>
      </c>
      <c r="BF81" s="553">
        <f t="shared" si="418"/>
        <v>11820</v>
      </c>
      <c r="BG81" s="553">
        <f t="shared" si="418"/>
        <v>11820</v>
      </c>
      <c r="BH81" s="553">
        <f t="shared" si="418"/>
        <v>11820</v>
      </c>
      <c r="BI81" s="553">
        <f t="shared" si="418"/>
        <v>11820</v>
      </c>
      <c r="BJ81" s="553">
        <f t="shared" si="418"/>
        <v>11820</v>
      </c>
      <c r="BK81" s="553">
        <f t="shared" si="418"/>
        <v>11820</v>
      </c>
      <c r="BL81" s="553">
        <f t="shared" si="418"/>
        <v>11820</v>
      </c>
      <c r="BM81" s="553">
        <f t="shared" si="418"/>
        <v>11820</v>
      </c>
      <c r="BN81" s="560">
        <f t="shared" si="418"/>
        <v>11820</v>
      </c>
      <c r="BO81" s="565"/>
      <c r="BP81" s="553">
        <f t="shared" si="418"/>
        <v>11820</v>
      </c>
      <c r="BQ81" s="553">
        <f t="shared" si="418"/>
        <v>11820</v>
      </c>
      <c r="BR81" s="553">
        <f t="shared" si="418"/>
        <v>11820</v>
      </c>
      <c r="BS81" s="553">
        <f t="shared" si="418"/>
        <v>11820</v>
      </c>
      <c r="BT81" s="553">
        <f t="shared" si="418"/>
        <v>11820</v>
      </c>
      <c r="BU81" s="553">
        <f t="shared" si="418"/>
        <v>11820</v>
      </c>
      <c r="BV81" s="553">
        <f t="shared" si="418"/>
        <v>11820</v>
      </c>
      <c r="BW81" s="553">
        <f t="shared" si="418"/>
        <v>11820</v>
      </c>
      <c r="BX81" s="553">
        <f t="shared" si="418"/>
        <v>11820</v>
      </c>
      <c r="BY81" s="553">
        <f t="shared" ref="BY81:EJ81" si="419">BY14+BY49</f>
        <v>11820</v>
      </c>
      <c r="BZ81" s="553">
        <f t="shared" si="419"/>
        <v>11820</v>
      </c>
      <c r="CA81" s="553">
        <f t="shared" si="419"/>
        <v>11820</v>
      </c>
      <c r="CB81" s="560">
        <f t="shared" ref="CB81" si="420">CB14+CB49</f>
        <v>11820</v>
      </c>
      <c r="CC81" s="565"/>
      <c r="CD81" s="553">
        <f t="shared" si="419"/>
        <v>11820</v>
      </c>
      <c r="CE81" s="553">
        <f t="shared" si="419"/>
        <v>11820</v>
      </c>
      <c r="CF81" s="553">
        <f t="shared" si="419"/>
        <v>11820</v>
      </c>
      <c r="CG81" s="553">
        <f t="shared" si="419"/>
        <v>11820</v>
      </c>
      <c r="CH81" s="553">
        <f t="shared" si="419"/>
        <v>11820</v>
      </c>
      <c r="CI81" s="553">
        <f t="shared" si="419"/>
        <v>11820</v>
      </c>
      <c r="CJ81" s="553">
        <f t="shared" si="419"/>
        <v>11820</v>
      </c>
      <c r="CK81" s="553">
        <f t="shared" si="419"/>
        <v>11820</v>
      </c>
      <c r="CL81" s="553">
        <f t="shared" si="419"/>
        <v>11820</v>
      </c>
      <c r="CM81" s="553">
        <f t="shared" si="419"/>
        <v>11820</v>
      </c>
      <c r="CN81" s="553">
        <f t="shared" si="419"/>
        <v>11820</v>
      </c>
      <c r="CO81" s="553">
        <f t="shared" si="419"/>
        <v>11820</v>
      </c>
      <c r="CP81" s="560">
        <f t="shared" ref="CP81" si="421">CP14+CP49</f>
        <v>11820</v>
      </c>
      <c r="CQ81" s="565"/>
      <c r="CR81" s="553">
        <f t="shared" si="419"/>
        <v>11820</v>
      </c>
      <c r="CS81" s="553">
        <f t="shared" si="419"/>
        <v>11820</v>
      </c>
      <c r="CT81" s="553">
        <f t="shared" si="419"/>
        <v>11820</v>
      </c>
      <c r="CU81" s="553">
        <f t="shared" si="419"/>
        <v>11820</v>
      </c>
      <c r="CV81" s="553">
        <f t="shared" si="419"/>
        <v>11820</v>
      </c>
      <c r="CW81" s="553">
        <f t="shared" si="419"/>
        <v>11820</v>
      </c>
      <c r="CX81" s="553">
        <f t="shared" si="419"/>
        <v>11820</v>
      </c>
      <c r="CY81" s="553">
        <f t="shared" si="419"/>
        <v>11820</v>
      </c>
      <c r="CZ81" s="553">
        <f t="shared" si="419"/>
        <v>11820</v>
      </c>
      <c r="DA81" s="553">
        <f t="shared" si="419"/>
        <v>11820</v>
      </c>
      <c r="DB81" s="553">
        <f t="shared" si="419"/>
        <v>11820</v>
      </c>
      <c r="DC81" s="553">
        <f t="shared" si="419"/>
        <v>11820</v>
      </c>
      <c r="DD81" s="560">
        <f t="shared" ref="DD81" si="422">DD14+DD49</f>
        <v>11820</v>
      </c>
      <c r="DE81" s="565"/>
      <c r="DF81" s="553">
        <f t="shared" si="419"/>
        <v>11820</v>
      </c>
      <c r="DG81" s="553">
        <f t="shared" si="419"/>
        <v>11820</v>
      </c>
      <c r="DH81" s="553">
        <f t="shared" si="419"/>
        <v>11820</v>
      </c>
      <c r="DI81" s="553">
        <f t="shared" si="419"/>
        <v>11820</v>
      </c>
      <c r="DJ81" s="553">
        <f t="shared" si="419"/>
        <v>11820</v>
      </c>
      <c r="DK81" s="553">
        <f t="shared" si="419"/>
        <v>11820</v>
      </c>
      <c r="DL81" s="553">
        <f t="shared" si="419"/>
        <v>11820</v>
      </c>
      <c r="DM81" s="553">
        <f t="shared" si="419"/>
        <v>11820</v>
      </c>
      <c r="DN81" s="553">
        <f t="shared" si="419"/>
        <v>11820</v>
      </c>
      <c r="DO81" s="553">
        <f t="shared" si="419"/>
        <v>11820</v>
      </c>
      <c r="DP81" s="553">
        <f t="shared" si="419"/>
        <v>11820</v>
      </c>
      <c r="DQ81" s="553">
        <f t="shared" si="419"/>
        <v>11820</v>
      </c>
      <c r="DR81" s="560">
        <f t="shared" si="419"/>
        <v>11820</v>
      </c>
      <c r="DS81" s="565"/>
      <c r="DT81" s="553">
        <f t="shared" si="419"/>
        <v>11820</v>
      </c>
      <c r="DU81" s="553">
        <f t="shared" si="419"/>
        <v>11820</v>
      </c>
      <c r="DV81" s="553">
        <f t="shared" si="419"/>
        <v>11820</v>
      </c>
      <c r="DW81" s="553">
        <f t="shared" si="419"/>
        <v>11820</v>
      </c>
      <c r="DX81" s="553">
        <f t="shared" si="419"/>
        <v>11820</v>
      </c>
      <c r="DY81" s="553">
        <f t="shared" si="419"/>
        <v>11820</v>
      </c>
      <c r="DZ81" s="553">
        <f t="shared" si="419"/>
        <v>11820</v>
      </c>
      <c r="EA81" s="553">
        <f t="shared" si="419"/>
        <v>11820</v>
      </c>
      <c r="EB81" s="553">
        <f t="shared" si="419"/>
        <v>11820</v>
      </c>
      <c r="EC81" s="553">
        <f t="shared" si="419"/>
        <v>11820</v>
      </c>
      <c r="ED81" s="553">
        <f t="shared" si="419"/>
        <v>11820</v>
      </c>
      <c r="EE81" s="553">
        <f t="shared" si="419"/>
        <v>11820</v>
      </c>
      <c r="EF81" s="560">
        <f t="shared" si="419"/>
        <v>11820</v>
      </c>
      <c r="EG81" s="565"/>
      <c r="EH81" s="553">
        <f t="shared" si="419"/>
        <v>11820</v>
      </c>
      <c r="EI81" s="553">
        <f t="shared" si="419"/>
        <v>11820</v>
      </c>
      <c r="EJ81" s="553">
        <f t="shared" si="419"/>
        <v>11820</v>
      </c>
      <c r="EK81" s="553">
        <f t="shared" ref="EK81:ES81" si="423">EK14+EK49</f>
        <v>11820</v>
      </c>
      <c r="EL81" s="553">
        <f t="shared" si="423"/>
        <v>11820</v>
      </c>
      <c r="EM81" s="553">
        <f t="shared" si="423"/>
        <v>11820</v>
      </c>
      <c r="EN81" s="553">
        <f t="shared" si="423"/>
        <v>11820</v>
      </c>
      <c r="EO81" s="553">
        <f t="shared" si="423"/>
        <v>11820</v>
      </c>
      <c r="EP81" s="553">
        <f t="shared" si="423"/>
        <v>11820</v>
      </c>
      <c r="EQ81" s="553">
        <f t="shared" si="423"/>
        <v>11820</v>
      </c>
      <c r="ER81" s="553">
        <f t="shared" si="423"/>
        <v>11820</v>
      </c>
      <c r="ES81" s="553">
        <f t="shared" si="423"/>
        <v>11820</v>
      </c>
      <c r="ET81" s="560">
        <f t="shared" si="417"/>
        <v>11820</v>
      </c>
      <c r="EU81" s="565"/>
    </row>
    <row r="82" spans="9:151" ht="10.5" customHeight="1" x14ac:dyDescent="0.35">
      <c r="J82" s="531" t="s">
        <v>13</v>
      </c>
      <c r="K82" s="531" t="s">
        <v>456</v>
      </c>
      <c r="L82" s="553">
        <f>L15+L50</f>
        <v>0</v>
      </c>
      <c r="M82" s="553">
        <f t="shared" ref="M82:BX82" si="424">M15+M50</f>
        <v>0</v>
      </c>
      <c r="N82" s="553">
        <f t="shared" si="424"/>
        <v>0</v>
      </c>
      <c r="O82" s="553">
        <f t="shared" si="424"/>
        <v>0</v>
      </c>
      <c r="P82" s="553">
        <f t="shared" si="424"/>
        <v>0</v>
      </c>
      <c r="Q82" s="553">
        <f t="shared" si="424"/>
        <v>0</v>
      </c>
      <c r="R82" s="553">
        <f t="shared" si="424"/>
        <v>0</v>
      </c>
      <c r="S82" s="553">
        <f t="shared" si="424"/>
        <v>0</v>
      </c>
      <c r="T82" s="553">
        <f t="shared" si="424"/>
        <v>0</v>
      </c>
      <c r="U82" s="553">
        <f t="shared" si="424"/>
        <v>0</v>
      </c>
      <c r="V82" s="553">
        <f t="shared" si="424"/>
        <v>0</v>
      </c>
      <c r="W82" s="553">
        <f t="shared" si="424"/>
        <v>0</v>
      </c>
      <c r="X82" s="560">
        <f t="shared" si="424"/>
        <v>0</v>
      </c>
      <c r="Y82" s="565"/>
      <c r="Z82" s="553">
        <f t="shared" si="424"/>
        <v>0</v>
      </c>
      <c r="AA82" s="553">
        <f t="shared" si="424"/>
        <v>0</v>
      </c>
      <c r="AB82" s="553">
        <f t="shared" si="424"/>
        <v>0</v>
      </c>
      <c r="AC82" s="553">
        <f t="shared" si="424"/>
        <v>0</v>
      </c>
      <c r="AD82" s="553">
        <f t="shared" si="424"/>
        <v>0</v>
      </c>
      <c r="AE82" s="553">
        <f t="shared" si="424"/>
        <v>0</v>
      </c>
      <c r="AF82" s="553">
        <f t="shared" si="424"/>
        <v>0</v>
      </c>
      <c r="AG82" s="553">
        <f t="shared" si="424"/>
        <v>0</v>
      </c>
      <c r="AH82" s="553">
        <f t="shared" si="424"/>
        <v>2550</v>
      </c>
      <c r="AI82" s="553">
        <f t="shared" si="424"/>
        <v>0</v>
      </c>
      <c r="AJ82" s="553">
        <f t="shared" si="424"/>
        <v>0</v>
      </c>
      <c r="AK82" s="553">
        <f t="shared" si="424"/>
        <v>0</v>
      </c>
      <c r="AL82" s="560">
        <f t="shared" si="424"/>
        <v>2550</v>
      </c>
      <c r="AM82" s="565"/>
      <c r="AN82" s="553">
        <f t="shared" si="424"/>
        <v>0</v>
      </c>
      <c r="AO82" s="553">
        <f t="shared" si="424"/>
        <v>0</v>
      </c>
      <c r="AP82" s="553">
        <f t="shared" si="424"/>
        <v>0</v>
      </c>
      <c r="AQ82" s="553">
        <f t="shared" si="424"/>
        <v>0</v>
      </c>
      <c r="AR82" s="553">
        <f t="shared" si="424"/>
        <v>0</v>
      </c>
      <c r="AS82" s="553">
        <f t="shared" si="424"/>
        <v>0</v>
      </c>
      <c r="AT82" s="553">
        <f t="shared" si="424"/>
        <v>0</v>
      </c>
      <c r="AU82" s="553">
        <f t="shared" si="424"/>
        <v>0</v>
      </c>
      <c r="AV82" s="553">
        <f t="shared" si="424"/>
        <v>7650</v>
      </c>
      <c r="AW82" s="553">
        <f t="shared" si="424"/>
        <v>0</v>
      </c>
      <c r="AX82" s="553">
        <f t="shared" si="424"/>
        <v>0</v>
      </c>
      <c r="AY82" s="553">
        <f t="shared" si="424"/>
        <v>0</v>
      </c>
      <c r="AZ82" s="560">
        <f t="shared" si="424"/>
        <v>7650</v>
      </c>
      <c r="BA82" s="565"/>
      <c r="BB82" s="553">
        <f t="shared" si="424"/>
        <v>0</v>
      </c>
      <c r="BC82" s="553">
        <f t="shared" si="424"/>
        <v>0</v>
      </c>
      <c r="BD82" s="553">
        <f t="shared" si="424"/>
        <v>2550</v>
      </c>
      <c r="BE82" s="553">
        <f t="shared" si="424"/>
        <v>0</v>
      </c>
      <c r="BF82" s="553">
        <f t="shared" si="424"/>
        <v>0</v>
      </c>
      <c r="BG82" s="553">
        <f t="shared" si="424"/>
        <v>0</v>
      </c>
      <c r="BH82" s="553">
        <f t="shared" si="424"/>
        <v>0</v>
      </c>
      <c r="BI82" s="553">
        <f t="shared" si="424"/>
        <v>0</v>
      </c>
      <c r="BJ82" s="553">
        <f t="shared" si="424"/>
        <v>0</v>
      </c>
      <c r="BK82" s="553">
        <f t="shared" si="424"/>
        <v>0</v>
      </c>
      <c r="BL82" s="553">
        <f t="shared" si="424"/>
        <v>0</v>
      </c>
      <c r="BM82" s="553">
        <f t="shared" si="424"/>
        <v>0</v>
      </c>
      <c r="BN82" s="560">
        <f t="shared" si="424"/>
        <v>2550</v>
      </c>
      <c r="BO82" s="565"/>
      <c r="BP82" s="553">
        <f t="shared" si="424"/>
        <v>0</v>
      </c>
      <c r="BQ82" s="553">
        <f t="shared" si="424"/>
        <v>0</v>
      </c>
      <c r="BR82" s="553">
        <f t="shared" si="424"/>
        <v>7650</v>
      </c>
      <c r="BS82" s="553">
        <f t="shared" si="424"/>
        <v>0</v>
      </c>
      <c r="BT82" s="553">
        <f t="shared" si="424"/>
        <v>0</v>
      </c>
      <c r="BU82" s="553">
        <f t="shared" si="424"/>
        <v>0</v>
      </c>
      <c r="BV82" s="553">
        <f t="shared" si="424"/>
        <v>0</v>
      </c>
      <c r="BW82" s="553">
        <f t="shared" si="424"/>
        <v>0</v>
      </c>
      <c r="BX82" s="553">
        <f t="shared" si="424"/>
        <v>2550</v>
      </c>
      <c r="BY82" s="553">
        <f t="shared" ref="BY82:EJ82" si="425">BY15+BY50</f>
        <v>0</v>
      </c>
      <c r="BZ82" s="553">
        <f t="shared" si="425"/>
        <v>0</v>
      </c>
      <c r="CA82" s="553">
        <f t="shared" si="425"/>
        <v>0</v>
      </c>
      <c r="CB82" s="560">
        <f t="shared" ref="CB82" si="426">CB15+CB50</f>
        <v>10200</v>
      </c>
      <c r="CC82" s="565"/>
      <c r="CD82" s="553">
        <f t="shared" si="425"/>
        <v>0</v>
      </c>
      <c r="CE82" s="553">
        <f t="shared" si="425"/>
        <v>0</v>
      </c>
      <c r="CF82" s="553">
        <f t="shared" si="425"/>
        <v>0</v>
      </c>
      <c r="CG82" s="553">
        <f t="shared" si="425"/>
        <v>0</v>
      </c>
      <c r="CH82" s="553">
        <f t="shared" si="425"/>
        <v>0</v>
      </c>
      <c r="CI82" s="553">
        <f t="shared" si="425"/>
        <v>0</v>
      </c>
      <c r="CJ82" s="553">
        <f t="shared" si="425"/>
        <v>0</v>
      </c>
      <c r="CK82" s="553">
        <f t="shared" si="425"/>
        <v>0</v>
      </c>
      <c r="CL82" s="553">
        <f t="shared" si="425"/>
        <v>7650</v>
      </c>
      <c r="CM82" s="553">
        <f t="shared" si="425"/>
        <v>0</v>
      </c>
      <c r="CN82" s="553">
        <f t="shared" si="425"/>
        <v>0</v>
      </c>
      <c r="CO82" s="553">
        <f t="shared" si="425"/>
        <v>0</v>
      </c>
      <c r="CP82" s="560">
        <f t="shared" ref="CP82" si="427">CP15+CP50</f>
        <v>7650</v>
      </c>
      <c r="CQ82" s="565"/>
      <c r="CR82" s="553">
        <f t="shared" si="425"/>
        <v>0</v>
      </c>
      <c r="CS82" s="553">
        <f t="shared" si="425"/>
        <v>0</v>
      </c>
      <c r="CT82" s="553">
        <f t="shared" si="425"/>
        <v>2550</v>
      </c>
      <c r="CU82" s="553">
        <f t="shared" si="425"/>
        <v>0</v>
      </c>
      <c r="CV82" s="553">
        <f t="shared" si="425"/>
        <v>0</v>
      </c>
      <c r="CW82" s="553">
        <f t="shared" si="425"/>
        <v>0</v>
      </c>
      <c r="CX82" s="553">
        <f t="shared" si="425"/>
        <v>0</v>
      </c>
      <c r="CY82" s="553">
        <f t="shared" si="425"/>
        <v>0</v>
      </c>
      <c r="CZ82" s="553">
        <f t="shared" si="425"/>
        <v>0</v>
      </c>
      <c r="DA82" s="553">
        <f t="shared" si="425"/>
        <v>0</v>
      </c>
      <c r="DB82" s="553">
        <f t="shared" si="425"/>
        <v>0</v>
      </c>
      <c r="DC82" s="553">
        <f t="shared" si="425"/>
        <v>0</v>
      </c>
      <c r="DD82" s="560">
        <f t="shared" ref="DD82" si="428">DD15+DD50</f>
        <v>2550</v>
      </c>
      <c r="DE82" s="565"/>
      <c r="DF82" s="553">
        <f t="shared" si="425"/>
        <v>0</v>
      </c>
      <c r="DG82" s="553">
        <f t="shared" si="425"/>
        <v>0</v>
      </c>
      <c r="DH82" s="553">
        <f t="shared" si="425"/>
        <v>7650</v>
      </c>
      <c r="DI82" s="553">
        <f t="shared" si="425"/>
        <v>0</v>
      </c>
      <c r="DJ82" s="553">
        <f t="shared" si="425"/>
        <v>0</v>
      </c>
      <c r="DK82" s="553">
        <f t="shared" si="425"/>
        <v>0</v>
      </c>
      <c r="DL82" s="553">
        <f t="shared" si="425"/>
        <v>0</v>
      </c>
      <c r="DM82" s="553">
        <f t="shared" si="425"/>
        <v>0</v>
      </c>
      <c r="DN82" s="553">
        <f t="shared" si="425"/>
        <v>2550</v>
      </c>
      <c r="DO82" s="553">
        <f t="shared" si="425"/>
        <v>0</v>
      </c>
      <c r="DP82" s="553">
        <f t="shared" si="425"/>
        <v>0</v>
      </c>
      <c r="DQ82" s="553">
        <f t="shared" si="425"/>
        <v>0</v>
      </c>
      <c r="DR82" s="560">
        <f t="shared" si="425"/>
        <v>10200</v>
      </c>
      <c r="DS82" s="565"/>
      <c r="DT82" s="553">
        <f t="shared" si="425"/>
        <v>0</v>
      </c>
      <c r="DU82" s="553">
        <f t="shared" si="425"/>
        <v>0</v>
      </c>
      <c r="DV82" s="553">
        <f t="shared" si="425"/>
        <v>0</v>
      </c>
      <c r="DW82" s="553">
        <f t="shared" si="425"/>
        <v>0</v>
      </c>
      <c r="DX82" s="553">
        <f t="shared" si="425"/>
        <v>0</v>
      </c>
      <c r="DY82" s="553">
        <f t="shared" si="425"/>
        <v>0</v>
      </c>
      <c r="DZ82" s="553">
        <f t="shared" si="425"/>
        <v>0</v>
      </c>
      <c r="EA82" s="553">
        <f t="shared" si="425"/>
        <v>0</v>
      </c>
      <c r="EB82" s="553">
        <f t="shared" si="425"/>
        <v>7650</v>
      </c>
      <c r="EC82" s="553">
        <f t="shared" si="425"/>
        <v>0</v>
      </c>
      <c r="ED82" s="553">
        <f t="shared" si="425"/>
        <v>0</v>
      </c>
      <c r="EE82" s="553">
        <f t="shared" si="425"/>
        <v>0</v>
      </c>
      <c r="EF82" s="560">
        <f t="shared" si="425"/>
        <v>7650</v>
      </c>
      <c r="EG82" s="565"/>
      <c r="EH82" s="553">
        <f t="shared" si="425"/>
        <v>0</v>
      </c>
      <c r="EI82" s="553">
        <f t="shared" si="425"/>
        <v>0</v>
      </c>
      <c r="EJ82" s="553">
        <f t="shared" si="425"/>
        <v>2550</v>
      </c>
      <c r="EK82" s="553">
        <f t="shared" ref="EK82:ET82" si="429">EK15+EK50</f>
        <v>0</v>
      </c>
      <c r="EL82" s="553">
        <f t="shared" si="429"/>
        <v>0</v>
      </c>
      <c r="EM82" s="553">
        <f t="shared" si="429"/>
        <v>0</v>
      </c>
      <c r="EN82" s="553">
        <f t="shared" si="429"/>
        <v>0</v>
      </c>
      <c r="EO82" s="553">
        <f t="shared" si="429"/>
        <v>0</v>
      </c>
      <c r="EP82" s="553">
        <f t="shared" si="429"/>
        <v>0</v>
      </c>
      <c r="EQ82" s="553">
        <f t="shared" si="429"/>
        <v>0</v>
      </c>
      <c r="ER82" s="553">
        <f t="shared" si="429"/>
        <v>0</v>
      </c>
      <c r="ES82" s="553">
        <f t="shared" si="429"/>
        <v>10200</v>
      </c>
      <c r="ET82" s="560">
        <f t="shared" si="429"/>
        <v>12750</v>
      </c>
      <c r="EU82" s="565"/>
    </row>
    <row r="83" spans="9:151" ht="10.5" customHeight="1" x14ac:dyDescent="0.35">
      <c r="I83" s="547">
        <v>2.2000000000000002</v>
      </c>
      <c r="J83" s="531" t="s">
        <v>1074</v>
      </c>
      <c r="L83" s="553">
        <f t="shared" ref="L83:BW83" si="430">L16+L51</f>
        <v>0</v>
      </c>
      <c r="M83" s="553">
        <f t="shared" si="430"/>
        <v>0</v>
      </c>
      <c r="N83" s="553">
        <f t="shared" si="430"/>
        <v>75352.5</v>
      </c>
      <c r="O83" s="553">
        <f t="shared" si="430"/>
        <v>75352.5</v>
      </c>
      <c r="P83" s="553">
        <f t="shared" si="430"/>
        <v>75352.5</v>
      </c>
      <c r="Q83" s="553">
        <f t="shared" si="430"/>
        <v>75352.5</v>
      </c>
      <c r="R83" s="553">
        <f t="shared" si="430"/>
        <v>75352.5</v>
      </c>
      <c r="S83" s="553">
        <f t="shared" si="430"/>
        <v>75352.5</v>
      </c>
      <c r="T83" s="553">
        <f t="shared" si="430"/>
        <v>75352.5</v>
      </c>
      <c r="U83" s="553">
        <f t="shared" si="430"/>
        <v>75352.5</v>
      </c>
      <c r="V83" s="553">
        <f t="shared" si="430"/>
        <v>75352.5</v>
      </c>
      <c r="W83" s="553">
        <f t="shared" si="430"/>
        <v>75352.5</v>
      </c>
      <c r="X83" s="560">
        <f t="shared" si="430"/>
        <v>753525</v>
      </c>
      <c r="Y83" s="565"/>
      <c r="Z83" s="553">
        <f t="shared" si="430"/>
        <v>75352.5</v>
      </c>
      <c r="AA83" s="553">
        <f t="shared" si="430"/>
        <v>75352.5</v>
      </c>
      <c r="AB83" s="553">
        <f t="shared" si="430"/>
        <v>301410</v>
      </c>
      <c r="AC83" s="553">
        <f t="shared" si="430"/>
        <v>301410</v>
      </c>
      <c r="AD83" s="553">
        <f t="shared" si="430"/>
        <v>301410</v>
      </c>
      <c r="AE83" s="553">
        <f t="shared" si="430"/>
        <v>301410</v>
      </c>
      <c r="AF83" s="553">
        <f t="shared" si="430"/>
        <v>301410</v>
      </c>
      <c r="AG83" s="553">
        <f t="shared" si="430"/>
        <v>301410</v>
      </c>
      <c r="AH83" s="553">
        <f t="shared" si="430"/>
        <v>301410</v>
      </c>
      <c r="AI83" s="553">
        <f t="shared" si="430"/>
        <v>301410</v>
      </c>
      <c r="AJ83" s="553">
        <f t="shared" si="430"/>
        <v>301410</v>
      </c>
      <c r="AK83" s="553">
        <f t="shared" si="430"/>
        <v>301410</v>
      </c>
      <c r="AL83" s="560">
        <f t="shared" si="430"/>
        <v>3164805</v>
      </c>
      <c r="AM83" s="565"/>
      <c r="AN83" s="553">
        <f t="shared" si="430"/>
        <v>301410</v>
      </c>
      <c r="AO83" s="553">
        <f t="shared" si="430"/>
        <v>301410</v>
      </c>
      <c r="AP83" s="553">
        <f t="shared" si="430"/>
        <v>301410</v>
      </c>
      <c r="AQ83" s="553">
        <f t="shared" si="430"/>
        <v>301410</v>
      </c>
      <c r="AR83" s="553">
        <f t="shared" si="430"/>
        <v>301410</v>
      </c>
      <c r="AS83" s="553">
        <f t="shared" si="430"/>
        <v>301410</v>
      </c>
      <c r="AT83" s="553">
        <f t="shared" si="430"/>
        <v>301410</v>
      </c>
      <c r="AU83" s="553">
        <f t="shared" si="430"/>
        <v>301410</v>
      </c>
      <c r="AV83" s="553">
        <f t="shared" si="430"/>
        <v>301410</v>
      </c>
      <c r="AW83" s="553">
        <f t="shared" si="430"/>
        <v>301410</v>
      </c>
      <c r="AX83" s="553">
        <f t="shared" si="430"/>
        <v>301410</v>
      </c>
      <c r="AY83" s="553">
        <f t="shared" si="430"/>
        <v>301410</v>
      </c>
      <c r="AZ83" s="560">
        <f t="shared" si="430"/>
        <v>3616920</v>
      </c>
      <c r="BA83" s="565"/>
      <c r="BB83" s="553">
        <f t="shared" si="430"/>
        <v>301410</v>
      </c>
      <c r="BC83" s="553">
        <f t="shared" si="430"/>
        <v>301410</v>
      </c>
      <c r="BD83" s="553">
        <f t="shared" si="430"/>
        <v>301410</v>
      </c>
      <c r="BE83" s="553">
        <f t="shared" si="430"/>
        <v>301410</v>
      </c>
      <c r="BF83" s="553">
        <f t="shared" si="430"/>
        <v>301410</v>
      </c>
      <c r="BG83" s="553">
        <f t="shared" si="430"/>
        <v>301410</v>
      </c>
      <c r="BH83" s="553">
        <f t="shared" si="430"/>
        <v>301410</v>
      </c>
      <c r="BI83" s="553">
        <f t="shared" si="430"/>
        <v>301410</v>
      </c>
      <c r="BJ83" s="553">
        <f t="shared" si="430"/>
        <v>301410</v>
      </c>
      <c r="BK83" s="553">
        <f t="shared" si="430"/>
        <v>301410</v>
      </c>
      <c r="BL83" s="553">
        <f t="shared" si="430"/>
        <v>301410</v>
      </c>
      <c r="BM83" s="553">
        <f t="shared" si="430"/>
        <v>301410</v>
      </c>
      <c r="BN83" s="560">
        <f t="shared" si="430"/>
        <v>3616920</v>
      </c>
      <c r="BO83" s="565"/>
      <c r="BP83" s="553">
        <f t="shared" si="430"/>
        <v>301410</v>
      </c>
      <c r="BQ83" s="553">
        <f t="shared" si="430"/>
        <v>301410</v>
      </c>
      <c r="BR83" s="553">
        <f t="shared" si="430"/>
        <v>301410</v>
      </c>
      <c r="BS83" s="553">
        <f t="shared" si="430"/>
        <v>301410</v>
      </c>
      <c r="BT83" s="553">
        <f t="shared" si="430"/>
        <v>301410</v>
      </c>
      <c r="BU83" s="553">
        <f t="shared" si="430"/>
        <v>301410</v>
      </c>
      <c r="BV83" s="553">
        <f t="shared" si="430"/>
        <v>301410</v>
      </c>
      <c r="BW83" s="553">
        <f t="shared" si="430"/>
        <v>301410</v>
      </c>
      <c r="BX83" s="553">
        <f t="shared" ref="BX83:EI83" si="431">BX16+BX51</f>
        <v>301410</v>
      </c>
      <c r="BY83" s="553">
        <f t="shared" si="431"/>
        <v>301410</v>
      </c>
      <c r="BZ83" s="553">
        <f t="shared" si="431"/>
        <v>301410</v>
      </c>
      <c r="CA83" s="553">
        <f t="shared" si="431"/>
        <v>301410</v>
      </c>
      <c r="CB83" s="560">
        <f t="shared" ref="CB83" si="432">CB16+CB51</f>
        <v>3616920</v>
      </c>
      <c r="CC83" s="565"/>
      <c r="CD83" s="553">
        <f t="shared" si="431"/>
        <v>301410</v>
      </c>
      <c r="CE83" s="553">
        <f t="shared" si="431"/>
        <v>301410</v>
      </c>
      <c r="CF83" s="553">
        <f t="shared" si="431"/>
        <v>301410</v>
      </c>
      <c r="CG83" s="553">
        <f t="shared" si="431"/>
        <v>301410</v>
      </c>
      <c r="CH83" s="553">
        <f t="shared" si="431"/>
        <v>301410</v>
      </c>
      <c r="CI83" s="553">
        <f t="shared" si="431"/>
        <v>301410</v>
      </c>
      <c r="CJ83" s="553">
        <f t="shared" si="431"/>
        <v>301410</v>
      </c>
      <c r="CK83" s="553">
        <f t="shared" si="431"/>
        <v>301410</v>
      </c>
      <c r="CL83" s="553">
        <f t="shared" si="431"/>
        <v>301410</v>
      </c>
      <c r="CM83" s="553">
        <f t="shared" si="431"/>
        <v>301410</v>
      </c>
      <c r="CN83" s="553">
        <f t="shared" si="431"/>
        <v>301410</v>
      </c>
      <c r="CO83" s="553">
        <f t="shared" si="431"/>
        <v>301410</v>
      </c>
      <c r="CP83" s="560">
        <f t="shared" ref="CP83" si="433">CP16+CP51</f>
        <v>3616920</v>
      </c>
      <c r="CQ83" s="565"/>
      <c r="CR83" s="553">
        <f t="shared" si="431"/>
        <v>301410</v>
      </c>
      <c r="CS83" s="553">
        <f t="shared" si="431"/>
        <v>301410</v>
      </c>
      <c r="CT83" s="553">
        <f t="shared" si="431"/>
        <v>301410</v>
      </c>
      <c r="CU83" s="553">
        <f t="shared" si="431"/>
        <v>301410</v>
      </c>
      <c r="CV83" s="553">
        <f t="shared" si="431"/>
        <v>301410</v>
      </c>
      <c r="CW83" s="553">
        <f t="shared" si="431"/>
        <v>301410</v>
      </c>
      <c r="CX83" s="553">
        <f t="shared" si="431"/>
        <v>301410</v>
      </c>
      <c r="CY83" s="553">
        <f t="shared" si="431"/>
        <v>301410</v>
      </c>
      <c r="CZ83" s="553">
        <f t="shared" si="431"/>
        <v>301410</v>
      </c>
      <c r="DA83" s="553">
        <f t="shared" si="431"/>
        <v>301410</v>
      </c>
      <c r="DB83" s="553">
        <f t="shared" si="431"/>
        <v>301410</v>
      </c>
      <c r="DC83" s="553">
        <f t="shared" si="431"/>
        <v>301410</v>
      </c>
      <c r="DD83" s="560">
        <f t="shared" ref="DD83" si="434">DD16+DD51</f>
        <v>3616920</v>
      </c>
      <c r="DE83" s="565"/>
      <c r="DF83" s="553">
        <f t="shared" si="431"/>
        <v>301410</v>
      </c>
      <c r="DG83" s="553">
        <f t="shared" si="431"/>
        <v>301410</v>
      </c>
      <c r="DH83" s="553">
        <f t="shared" si="431"/>
        <v>301410</v>
      </c>
      <c r="DI83" s="553">
        <f t="shared" si="431"/>
        <v>301410</v>
      </c>
      <c r="DJ83" s="553">
        <f t="shared" si="431"/>
        <v>301410</v>
      </c>
      <c r="DK83" s="553">
        <f t="shared" si="431"/>
        <v>301410</v>
      </c>
      <c r="DL83" s="553">
        <f t="shared" si="431"/>
        <v>301410</v>
      </c>
      <c r="DM83" s="553">
        <f t="shared" si="431"/>
        <v>301410</v>
      </c>
      <c r="DN83" s="553">
        <f t="shared" si="431"/>
        <v>301410</v>
      </c>
      <c r="DO83" s="553">
        <f t="shared" si="431"/>
        <v>301410</v>
      </c>
      <c r="DP83" s="553">
        <f t="shared" si="431"/>
        <v>301410</v>
      </c>
      <c r="DQ83" s="553">
        <f t="shared" si="431"/>
        <v>301410</v>
      </c>
      <c r="DR83" s="560">
        <f t="shared" si="431"/>
        <v>3616920</v>
      </c>
      <c r="DS83" s="565"/>
      <c r="DT83" s="553">
        <f t="shared" si="431"/>
        <v>301410</v>
      </c>
      <c r="DU83" s="553">
        <f t="shared" si="431"/>
        <v>301410</v>
      </c>
      <c r="DV83" s="553">
        <f t="shared" si="431"/>
        <v>301410</v>
      </c>
      <c r="DW83" s="553">
        <f t="shared" si="431"/>
        <v>301410</v>
      </c>
      <c r="DX83" s="553">
        <f t="shared" si="431"/>
        <v>301410</v>
      </c>
      <c r="DY83" s="553">
        <f t="shared" si="431"/>
        <v>301410</v>
      </c>
      <c r="DZ83" s="553">
        <f t="shared" si="431"/>
        <v>301410</v>
      </c>
      <c r="EA83" s="553">
        <f t="shared" si="431"/>
        <v>301410</v>
      </c>
      <c r="EB83" s="553">
        <f t="shared" si="431"/>
        <v>301410</v>
      </c>
      <c r="EC83" s="553">
        <f t="shared" si="431"/>
        <v>301410</v>
      </c>
      <c r="ED83" s="553">
        <f t="shared" si="431"/>
        <v>301410</v>
      </c>
      <c r="EE83" s="553">
        <f t="shared" si="431"/>
        <v>301410</v>
      </c>
      <c r="EF83" s="560">
        <f t="shared" si="431"/>
        <v>3616920</v>
      </c>
      <c r="EG83" s="565"/>
      <c r="EH83" s="553">
        <f t="shared" si="431"/>
        <v>301410</v>
      </c>
      <c r="EI83" s="553">
        <f t="shared" si="431"/>
        <v>301410</v>
      </c>
      <c r="EJ83" s="553">
        <f t="shared" ref="EJ83:ET83" si="435">EJ16+EJ51</f>
        <v>301410</v>
      </c>
      <c r="EK83" s="553">
        <f t="shared" si="435"/>
        <v>301410</v>
      </c>
      <c r="EL83" s="553">
        <f t="shared" si="435"/>
        <v>301410</v>
      </c>
      <c r="EM83" s="553">
        <f t="shared" si="435"/>
        <v>301410</v>
      </c>
      <c r="EN83" s="553">
        <f t="shared" si="435"/>
        <v>301410</v>
      </c>
      <c r="EO83" s="553">
        <f t="shared" si="435"/>
        <v>301410</v>
      </c>
      <c r="EP83" s="553">
        <f t="shared" si="435"/>
        <v>301410</v>
      </c>
      <c r="EQ83" s="553">
        <f t="shared" si="435"/>
        <v>301410</v>
      </c>
      <c r="ER83" s="553">
        <f t="shared" si="435"/>
        <v>301410</v>
      </c>
      <c r="ES83" s="553">
        <f t="shared" si="435"/>
        <v>301410</v>
      </c>
      <c r="ET83" s="560">
        <f t="shared" si="435"/>
        <v>3616920</v>
      </c>
      <c r="EU83" s="565"/>
    </row>
    <row r="84" spans="9:151" ht="10.5" customHeight="1" x14ac:dyDescent="0.35">
      <c r="I84" s="547">
        <v>2.2999999999999998</v>
      </c>
      <c r="J84" s="531" t="s">
        <v>494</v>
      </c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3"/>
      <c r="W84" s="553"/>
      <c r="X84" s="560"/>
      <c r="Y84" s="565"/>
      <c r="Z84" s="553"/>
      <c r="AA84" s="553"/>
      <c r="AB84" s="553"/>
      <c r="AC84" s="553"/>
      <c r="AD84" s="553"/>
      <c r="AE84" s="553"/>
      <c r="AF84" s="553"/>
      <c r="AG84" s="553"/>
      <c r="AH84" s="553"/>
      <c r="AI84" s="553"/>
      <c r="AJ84" s="553"/>
      <c r="AK84" s="553"/>
      <c r="AL84" s="560"/>
      <c r="AM84" s="565"/>
      <c r="AN84" s="553"/>
      <c r="AO84" s="553"/>
      <c r="AP84" s="553"/>
      <c r="AQ84" s="553"/>
      <c r="AR84" s="553"/>
      <c r="AS84" s="553"/>
      <c r="AT84" s="553"/>
      <c r="AU84" s="553"/>
      <c r="AV84" s="553"/>
      <c r="AW84" s="553"/>
      <c r="AX84" s="553"/>
      <c r="AY84" s="553"/>
      <c r="AZ84" s="560"/>
      <c r="BA84" s="565"/>
      <c r="BB84" s="553"/>
      <c r="BC84" s="553"/>
      <c r="BD84" s="553"/>
      <c r="BE84" s="553"/>
      <c r="BF84" s="553"/>
      <c r="BG84" s="553"/>
      <c r="BH84" s="553"/>
      <c r="BI84" s="553"/>
      <c r="BJ84" s="553"/>
      <c r="BK84" s="553"/>
      <c r="BL84" s="553"/>
      <c r="BM84" s="553"/>
      <c r="BN84" s="560"/>
      <c r="BO84" s="565"/>
      <c r="BP84" s="553"/>
      <c r="BQ84" s="553"/>
      <c r="BR84" s="553"/>
      <c r="BS84" s="553"/>
      <c r="BT84" s="553"/>
      <c r="BU84" s="553"/>
      <c r="BV84" s="553"/>
      <c r="BW84" s="553"/>
      <c r="BX84" s="553"/>
      <c r="BY84" s="553"/>
      <c r="BZ84" s="553"/>
      <c r="CA84" s="553"/>
      <c r="CB84" s="560"/>
      <c r="CC84" s="565"/>
      <c r="CD84" s="553"/>
      <c r="CE84" s="553"/>
      <c r="CF84" s="553"/>
      <c r="CG84" s="553"/>
      <c r="CH84" s="553"/>
      <c r="CI84" s="553"/>
      <c r="CJ84" s="553"/>
      <c r="CK84" s="553"/>
      <c r="CL84" s="553"/>
      <c r="CM84" s="553"/>
      <c r="CN84" s="553"/>
      <c r="CO84" s="553"/>
      <c r="CP84" s="560"/>
      <c r="CQ84" s="565"/>
      <c r="CR84" s="553"/>
      <c r="CS84" s="553"/>
      <c r="CT84" s="553"/>
      <c r="CU84" s="553"/>
      <c r="CV84" s="553"/>
      <c r="CW84" s="553"/>
      <c r="CX84" s="553"/>
      <c r="CY84" s="553"/>
      <c r="CZ84" s="553"/>
      <c r="DA84" s="553"/>
      <c r="DB84" s="553"/>
      <c r="DC84" s="553"/>
      <c r="DD84" s="560"/>
      <c r="DE84" s="565"/>
      <c r="DF84" s="553"/>
      <c r="DG84" s="553"/>
      <c r="DH84" s="553"/>
      <c r="DI84" s="553"/>
      <c r="DJ84" s="553"/>
      <c r="DK84" s="553"/>
      <c r="DL84" s="553"/>
      <c r="DM84" s="553"/>
      <c r="DN84" s="553"/>
      <c r="DO84" s="553"/>
      <c r="DP84" s="553"/>
      <c r="DQ84" s="553"/>
      <c r="DR84" s="560"/>
      <c r="DS84" s="565"/>
      <c r="DT84" s="553"/>
      <c r="DU84" s="553"/>
      <c r="DV84" s="553"/>
      <c r="DW84" s="553"/>
      <c r="DX84" s="553"/>
      <c r="DY84" s="553"/>
      <c r="DZ84" s="553"/>
      <c r="EA84" s="553"/>
      <c r="EB84" s="553"/>
      <c r="EC84" s="553"/>
      <c r="ED84" s="553"/>
      <c r="EE84" s="553"/>
      <c r="EF84" s="560"/>
      <c r="EG84" s="565"/>
      <c r="EH84" s="553"/>
      <c r="EI84" s="553"/>
      <c r="EJ84" s="553"/>
      <c r="EK84" s="553"/>
      <c r="EL84" s="553"/>
      <c r="EM84" s="553"/>
      <c r="EN84" s="553"/>
      <c r="EO84" s="553"/>
      <c r="EP84" s="553"/>
      <c r="EQ84" s="553"/>
      <c r="ER84" s="553"/>
      <c r="ES84" s="553"/>
      <c r="ET84" s="560"/>
      <c r="EU84" s="565"/>
    </row>
    <row r="85" spans="9:151" ht="10.5" customHeight="1" x14ac:dyDescent="0.35">
      <c r="I85" s="536"/>
      <c r="J85" s="531" t="s">
        <v>9</v>
      </c>
      <c r="K85" s="531" t="s">
        <v>1061</v>
      </c>
      <c r="L85" s="553">
        <f t="shared" ref="L85:BW85" si="436">L18+L53</f>
        <v>8100</v>
      </c>
      <c r="M85" s="553">
        <f t="shared" si="436"/>
        <v>8100</v>
      </c>
      <c r="N85" s="553">
        <f t="shared" si="436"/>
        <v>0</v>
      </c>
      <c r="O85" s="553">
        <f t="shared" si="436"/>
        <v>0</v>
      </c>
      <c r="P85" s="553">
        <f t="shared" si="436"/>
        <v>0</v>
      </c>
      <c r="Q85" s="553">
        <f t="shared" si="436"/>
        <v>0</v>
      </c>
      <c r="R85" s="553">
        <f t="shared" si="436"/>
        <v>0</v>
      </c>
      <c r="S85" s="553">
        <f t="shared" si="436"/>
        <v>0</v>
      </c>
      <c r="T85" s="553">
        <f t="shared" si="436"/>
        <v>0</v>
      </c>
      <c r="U85" s="553">
        <f t="shared" si="436"/>
        <v>0</v>
      </c>
      <c r="V85" s="553">
        <f t="shared" si="436"/>
        <v>0</v>
      </c>
      <c r="W85" s="553">
        <f t="shared" si="436"/>
        <v>0</v>
      </c>
      <c r="X85" s="560">
        <f t="shared" si="436"/>
        <v>16200</v>
      </c>
      <c r="Y85" s="565"/>
      <c r="Z85" s="553">
        <f t="shared" si="436"/>
        <v>24300</v>
      </c>
      <c r="AA85" s="553">
        <f t="shared" si="436"/>
        <v>24300</v>
      </c>
      <c r="AB85" s="553">
        <f t="shared" si="436"/>
        <v>0</v>
      </c>
      <c r="AC85" s="553">
        <f t="shared" si="436"/>
        <v>0</v>
      </c>
      <c r="AD85" s="553">
        <f t="shared" si="436"/>
        <v>0</v>
      </c>
      <c r="AE85" s="553">
        <f t="shared" si="436"/>
        <v>0</v>
      </c>
      <c r="AF85" s="553">
        <f t="shared" si="436"/>
        <v>8100</v>
      </c>
      <c r="AG85" s="553">
        <f t="shared" si="436"/>
        <v>8100</v>
      </c>
      <c r="AH85" s="553">
        <f t="shared" si="436"/>
        <v>0</v>
      </c>
      <c r="AI85" s="553">
        <f t="shared" si="436"/>
        <v>0</v>
      </c>
      <c r="AJ85" s="553">
        <f t="shared" si="436"/>
        <v>0</v>
      </c>
      <c r="AK85" s="553">
        <f t="shared" si="436"/>
        <v>0</v>
      </c>
      <c r="AL85" s="560">
        <f t="shared" si="436"/>
        <v>64800</v>
      </c>
      <c r="AM85" s="565"/>
      <c r="AN85" s="553">
        <f t="shared" si="436"/>
        <v>0</v>
      </c>
      <c r="AO85" s="553">
        <f t="shared" si="436"/>
        <v>0</v>
      </c>
      <c r="AP85" s="553">
        <f t="shared" si="436"/>
        <v>0</v>
      </c>
      <c r="AQ85" s="553">
        <f t="shared" si="436"/>
        <v>0</v>
      </c>
      <c r="AR85" s="553">
        <f t="shared" si="436"/>
        <v>0</v>
      </c>
      <c r="AS85" s="553">
        <f t="shared" si="436"/>
        <v>0</v>
      </c>
      <c r="AT85" s="553">
        <f t="shared" si="436"/>
        <v>24300</v>
      </c>
      <c r="AU85" s="553">
        <f t="shared" si="436"/>
        <v>24300</v>
      </c>
      <c r="AV85" s="553">
        <f t="shared" si="436"/>
        <v>0</v>
      </c>
      <c r="AW85" s="553">
        <f t="shared" si="436"/>
        <v>0</v>
      </c>
      <c r="AX85" s="553">
        <f t="shared" si="436"/>
        <v>0</v>
      </c>
      <c r="AY85" s="553">
        <f t="shared" si="436"/>
        <v>0</v>
      </c>
      <c r="AZ85" s="560">
        <f t="shared" si="436"/>
        <v>48600</v>
      </c>
      <c r="BA85" s="565"/>
      <c r="BB85" s="553">
        <f t="shared" si="436"/>
        <v>8100</v>
      </c>
      <c r="BC85" s="553">
        <f t="shared" si="436"/>
        <v>8100</v>
      </c>
      <c r="BD85" s="553">
        <f t="shared" si="436"/>
        <v>0</v>
      </c>
      <c r="BE85" s="553">
        <f t="shared" si="436"/>
        <v>0</v>
      </c>
      <c r="BF85" s="553">
        <f t="shared" si="436"/>
        <v>0</v>
      </c>
      <c r="BG85" s="553">
        <f t="shared" si="436"/>
        <v>0</v>
      </c>
      <c r="BH85" s="553">
        <f t="shared" si="436"/>
        <v>0</v>
      </c>
      <c r="BI85" s="553">
        <f t="shared" si="436"/>
        <v>0</v>
      </c>
      <c r="BJ85" s="553">
        <f t="shared" si="436"/>
        <v>0</v>
      </c>
      <c r="BK85" s="553">
        <f t="shared" si="436"/>
        <v>0</v>
      </c>
      <c r="BL85" s="553">
        <f t="shared" si="436"/>
        <v>0</v>
      </c>
      <c r="BM85" s="553">
        <f t="shared" si="436"/>
        <v>0</v>
      </c>
      <c r="BN85" s="560">
        <f t="shared" si="436"/>
        <v>16200</v>
      </c>
      <c r="BO85" s="565"/>
      <c r="BP85" s="553">
        <f t="shared" si="436"/>
        <v>24300</v>
      </c>
      <c r="BQ85" s="553">
        <f t="shared" si="436"/>
        <v>24300</v>
      </c>
      <c r="BR85" s="553">
        <f t="shared" si="436"/>
        <v>0</v>
      </c>
      <c r="BS85" s="553">
        <f t="shared" si="436"/>
        <v>0</v>
      </c>
      <c r="BT85" s="553">
        <f t="shared" si="436"/>
        <v>0</v>
      </c>
      <c r="BU85" s="553">
        <f t="shared" si="436"/>
        <v>0</v>
      </c>
      <c r="BV85" s="553">
        <f t="shared" si="436"/>
        <v>8100</v>
      </c>
      <c r="BW85" s="553">
        <f t="shared" si="436"/>
        <v>8100</v>
      </c>
      <c r="BX85" s="553">
        <f t="shared" ref="BX85:EI85" si="437">BX18+BX53</f>
        <v>0</v>
      </c>
      <c r="BY85" s="553">
        <f t="shared" si="437"/>
        <v>0</v>
      </c>
      <c r="BZ85" s="553">
        <f t="shared" si="437"/>
        <v>0</v>
      </c>
      <c r="CA85" s="553">
        <f t="shared" si="437"/>
        <v>0</v>
      </c>
      <c r="CB85" s="560">
        <f t="shared" ref="CB85" si="438">CB18+CB53</f>
        <v>64800</v>
      </c>
      <c r="CC85" s="565"/>
      <c r="CD85" s="553">
        <f t="shared" si="437"/>
        <v>0</v>
      </c>
      <c r="CE85" s="553">
        <f t="shared" si="437"/>
        <v>0</v>
      </c>
      <c r="CF85" s="553">
        <f t="shared" si="437"/>
        <v>0</v>
      </c>
      <c r="CG85" s="553">
        <f t="shared" si="437"/>
        <v>0</v>
      </c>
      <c r="CH85" s="553">
        <f t="shared" si="437"/>
        <v>0</v>
      </c>
      <c r="CI85" s="553">
        <f t="shared" si="437"/>
        <v>0</v>
      </c>
      <c r="CJ85" s="553">
        <f t="shared" si="437"/>
        <v>24300</v>
      </c>
      <c r="CK85" s="553">
        <f t="shared" si="437"/>
        <v>24300</v>
      </c>
      <c r="CL85" s="553">
        <f t="shared" si="437"/>
        <v>0</v>
      </c>
      <c r="CM85" s="553">
        <f t="shared" si="437"/>
        <v>0</v>
      </c>
      <c r="CN85" s="553">
        <f t="shared" si="437"/>
        <v>0</v>
      </c>
      <c r="CO85" s="553">
        <f t="shared" si="437"/>
        <v>0</v>
      </c>
      <c r="CP85" s="560">
        <f t="shared" ref="CP85" si="439">CP18+CP53</f>
        <v>48600</v>
      </c>
      <c r="CQ85" s="565"/>
      <c r="CR85" s="553">
        <f t="shared" si="437"/>
        <v>8100</v>
      </c>
      <c r="CS85" s="553">
        <f t="shared" si="437"/>
        <v>8100</v>
      </c>
      <c r="CT85" s="553">
        <f t="shared" si="437"/>
        <v>0</v>
      </c>
      <c r="CU85" s="553">
        <f t="shared" si="437"/>
        <v>0</v>
      </c>
      <c r="CV85" s="553">
        <f t="shared" si="437"/>
        <v>0</v>
      </c>
      <c r="CW85" s="553">
        <f t="shared" si="437"/>
        <v>0</v>
      </c>
      <c r="CX85" s="553">
        <f t="shared" si="437"/>
        <v>0</v>
      </c>
      <c r="CY85" s="553">
        <f t="shared" si="437"/>
        <v>0</v>
      </c>
      <c r="CZ85" s="553">
        <f t="shared" si="437"/>
        <v>0</v>
      </c>
      <c r="DA85" s="553">
        <f t="shared" si="437"/>
        <v>0</v>
      </c>
      <c r="DB85" s="553">
        <f t="shared" si="437"/>
        <v>0</v>
      </c>
      <c r="DC85" s="553">
        <f t="shared" si="437"/>
        <v>0</v>
      </c>
      <c r="DD85" s="560">
        <f t="shared" ref="DD85" si="440">DD18+DD53</f>
        <v>16200</v>
      </c>
      <c r="DE85" s="565"/>
      <c r="DF85" s="553">
        <f t="shared" si="437"/>
        <v>24300</v>
      </c>
      <c r="DG85" s="553">
        <f t="shared" si="437"/>
        <v>24300</v>
      </c>
      <c r="DH85" s="553">
        <f t="shared" si="437"/>
        <v>0</v>
      </c>
      <c r="DI85" s="553">
        <f t="shared" si="437"/>
        <v>0</v>
      </c>
      <c r="DJ85" s="553">
        <f t="shared" si="437"/>
        <v>0</v>
      </c>
      <c r="DK85" s="553">
        <f t="shared" si="437"/>
        <v>0</v>
      </c>
      <c r="DL85" s="553">
        <f t="shared" si="437"/>
        <v>8100</v>
      </c>
      <c r="DM85" s="553">
        <f t="shared" si="437"/>
        <v>8100</v>
      </c>
      <c r="DN85" s="553">
        <f t="shared" si="437"/>
        <v>0</v>
      </c>
      <c r="DO85" s="553">
        <f t="shared" si="437"/>
        <v>0</v>
      </c>
      <c r="DP85" s="553">
        <f t="shared" si="437"/>
        <v>0</v>
      </c>
      <c r="DQ85" s="553">
        <f t="shared" si="437"/>
        <v>0</v>
      </c>
      <c r="DR85" s="560">
        <f t="shared" si="437"/>
        <v>64800</v>
      </c>
      <c r="DS85" s="565"/>
      <c r="DT85" s="553">
        <f t="shared" si="437"/>
        <v>0</v>
      </c>
      <c r="DU85" s="553">
        <f t="shared" si="437"/>
        <v>0</v>
      </c>
      <c r="DV85" s="553">
        <f t="shared" si="437"/>
        <v>0</v>
      </c>
      <c r="DW85" s="553">
        <f t="shared" si="437"/>
        <v>0</v>
      </c>
      <c r="DX85" s="553">
        <f t="shared" si="437"/>
        <v>0</v>
      </c>
      <c r="DY85" s="553">
        <f t="shared" si="437"/>
        <v>0</v>
      </c>
      <c r="DZ85" s="553">
        <f t="shared" si="437"/>
        <v>24300</v>
      </c>
      <c r="EA85" s="553">
        <f t="shared" si="437"/>
        <v>24300</v>
      </c>
      <c r="EB85" s="553">
        <f t="shared" si="437"/>
        <v>0</v>
      </c>
      <c r="EC85" s="553">
        <f t="shared" si="437"/>
        <v>0</v>
      </c>
      <c r="ED85" s="553">
        <f t="shared" si="437"/>
        <v>0</v>
      </c>
      <c r="EE85" s="553">
        <f t="shared" si="437"/>
        <v>0</v>
      </c>
      <c r="EF85" s="560">
        <f t="shared" si="437"/>
        <v>48600</v>
      </c>
      <c r="EG85" s="565"/>
      <c r="EH85" s="553">
        <f t="shared" si="437"/>
        <v>8100</v>
      </c>
      <c r="EI85" s="553">
        <f t="shared" si="437"/>
        <v>8100</v>
      </c>
      <c r="EJ85" s="553">
        <f t="shared" ref="EJ85:ET85" si="441">EJ18+EJ53</f>
        <v>0</v>
      </c>
      <c r="EK85" s="553">
        <f t="shared" si="441"/>
        <v>0</v>
      </c>
      <c r="EL85" s="553">
        <f t="shared" si="441"/>
        <v>0</v>
      </c>
      <c r="EM85" s="553">
        <f t="shared" si="441"/>
        <v>0</v>
      </c>
      <c r="EN85" s="553">
        <f t="shared" si="441"/>
        <v>0</v>
      </c>
      <c r="EO85" s="553">
        <f t="shared" si="441"/>
        <v>0</v>
      </c>
      <c r="EP85" s="553">
        <f t="shared" si="441"/>
        <v>0</v>
      </c>
      <c r="EQ85" s="553">
        <f t="shared" si="441"/>
        <v>0</v>
      </c>
      <c r="ER85" s="553">
        <f t="shared" si="441"/>
        <v>0</v>
      </c>
      <c r="ES85" s="553">
        <f t="shared" si="441"/>
        <v>0</v>
      </c>
      <c r="ET85" s="560">
        <f t="shared" si="441"/>
        <v>16200</v>
      </c>
      <c r="EU85" s="565"/>
    </row>
    <row r="86" spans="9:151" ht="10.5" customHeight="1" x14ac:dyDescent="0.35">
      <c r="I86" s="536"/>
      <c r="J86" s="531" t="s">
        <v>10</v>
      </c>
      <c r="K86" s="531" t="s">
        <v>1062</v>
      </c>
      <c r="L86" s="553">
        <f t="shared" ref="L86:BW86" si="442">L19+L54</f>
        <v>0</v>
      </c>
      <c r="M86" s="553">
        <f t="shared" si="442"/>
        <v>0</v>
      </c>
      <c r="N86" s="553">
        <f t="shared" si="442"/>
        <v>9751.5</v>
      </c>
      <c r="O86" s="553">
        <f t="shared" si="442"/>
        <v>9751.5</v>
      </c>
      <c r="P86" s="553">
        <f t="shared" si="442"/>
        <v>9751.5</v>
      </c>
      <c r="Q86" s="553">
        <f t="shared" si="442"/>
        <v>9751.5</v>
      </c>
      <c r="R86" s="553">
        <f t="shared" si="442"/>
        <v>9751.5</v>
      </c>
      <c r="S86" s="553">
        <f t="shared" si="442"/>
        <v>9751.5</v>
      </c>
      <c r="T86" s="553">
        <f t="shared" si="442"/>
        <v>9751.5</v>
      </c>
      <c r="U86" s="553">
        <f t="shared" si="442"/>
        <v>9751.5</v>
      </c>
      <c r="V86" s="553">
        <f t="shared" si="442"/>
        <v>9751.5</v>
      </c>
      <c r="W86" s="553">
        <f t="shared" si="442"/>
        <v>9751.5</v>
      </c>
      <c r="X86" s="560">
        <f t="shared" si="442"/>
        <v>97515</v>
      </c>
      <c r="Y86" s="565"/>
      <c r="Z86" s="553">
        <f t="shared" si="442"/>
        <v>9751.5</v>
      </c>
      <c r="AA86" s="553">
        <f t="shared" si="442"/>
        <v>9751.5</v>
      </c>
      <c r="AB86" s="553">
        <f t="shared" si="442"/>
        <v>39006</v>
      </c>
      <c r="AC86" s="553">
        <f t="shared" si="442"/>
        <v>39006</v>
      </c>
      <c r="AD86" s="553">
        <f t="shared" si="442"/>
        <v>39006</v>
      </c>
      <c r="AE86" s="553">
        <f t="shared" si="442"/>
        <v>39006</v>
      </c>
      <c r="AF86" s="553">
        <f t="shared" si="442"/>
        <v>39006</v>
      </c>
      <c r="AG86" s="553">
        <f t="shared" si="442"/>
        <v>39006</v>
      </c>
      <c r="AH86" s="553">
        <f t="shared" si="442"/>
        <v>39006</v>
      </c>
      <c r="AI86" s="553">
        <f t="shared" si="442"/>
        <v>39006</v>
      </c>
      <c r="AJ86" s="553">
        <f t="shared" si="442"/>
        <v>39006</v>
      </c>
      <c r="AK86" s="553">
        <f t="shared" si="442"/>
        <v>39006</v>
      </c>
      <c r="AL86" s="560">
        <f t="shared" si="442"/>
        <v>409563</v>
      </c>
      <c r="AM86" s="565"/>
      <c r="AN86" s="553">
        <f t="shared" si="442"/>
        <v>39006</v>
      </c>
      <c r="AO86" s="553">
        <f t="shared" si="442"/>
        <v>39006</v>
      </c>
      <c r="AP86" s="553">
        <f t="shared" si="442"/>
        <v>39006</v>
      </c>
      <c r="AQ86" s="553">
        <f t="shared" si="442"/>
        <v>39006</v>
      </c>
      <c r="AR86" s="553">
        <f t="shared" si="442"/>
        <v>39006</v>
      </c>
      <c r="AS86" s="553">
        <f t="shared" si="442"/>
        <v>39006</v>
      </c>
      <c r="AT86" s="553">
        <f t="shared" si="442"/>
        <v>39006</v>
      </c>
      <c r="AU86" s="553">
        <f t="shared" si="442"/>
        <v>39006</v>
      </c>
      <c r="AV86" s="553">
        <f t="shared" si="442"/>
        <v>39006</v>
      </c>
      <c r="AW86" s="553">
        <f t="shared" si="442"/>
        <v>39006</v>
      </c>
      <c r="AX86" s="553">
        <f t="shared" si="442"/>
        <v>39006</v>
      </c>
      <c r="AY86" s="553">
        <f t="shared" si="442"/>
        <v>39006</v>
      </c>
      <c r="AZ86" s="560">
        <f t="shared" si="442"/>
        <v>468072</v>
      </c>
      <c r="BA86" s="565"/>
      <c r="BB86" s="553">
        <f t="shared" si="442"/>
        <v>39006</v>
      </c>
      <c r="BC86" s="553">
        <f t="shared" si="442"/>
        <v>39006</v>
      </c>
      <c r="BD86" s="553">
        <f t="shared" si="442"/>
        <v>39006</v>
      </c>
      <c r="BE86" s="553">
        <f t="shared" si="442"/>
        <v>39006</v>
      </c>
      <c r="BF86" s="553">
        <f t="shared" si="442"/>
        <v>39006</v>
      </c>
      <c r="BG86" s="553">
        <f t="shared" si="442"/>
        <v>39006</v>
      </c>
      <c r="BH86" s="553">
        <f t="shared" si="442"/>
        <v>39006</v>
      </c>
      <c r="BI86" s="553">
        <f t="shared" si="442"/>
        <v>39006</v>
      </c>
      <c r="BJ86" s="553">
        <f t="shared" si="442"/>
        <v>39006</v>
      </c>
      <c r="BK86" s="553">
        <f t="shared" si="442"/>
        <v>39006</v>
      </c>
      <c r="BL86" s="553">
        <f t="shared" si="442"/>
        <v>39006</v>
      </c>
      <c r="BM86" s="553">
        <f t="shared" si="442"/>
        <v>39006</v>
      </c>
      <c r="BN86" s="560">
        <f t="shared" si="442"/>
        <v>468072</v>
      </c>
      <c r="BO86" s="565"/>
      <c r="BP86" s="553">
        <f t="shared" si="442"/>
        <v>39006</v>
      </c>
      <c r="BQ86" s="553">
        <f t="shared" si="442"/>
        <v>39006</v>
      </c>
      <c r="BR86" s="553">
        <f t="shared" si="442"/>
        <v>39006</v>
      </c>
      <c r="BS86" s="553">
        <f t="shared" si="442"/>
        <v>39006</v>
      </c>
      <c r="BT86" s="553">
        <f t="shared" si="442"/>
        <v>39006</v>
      </c>
      <c r="BU86" s="553">
        <f t="shared" si="442"/>
        <v>39006</v>
      </c>
      <c r="BV86" s="553">
        <f t="shared" si="442"/>
        <v>39006</v>
      </c>
      <c r="BW86" s="553">
        <f t="shared" si="442"/>
        <v>39006</v>
      </c>
      <c r="BX86" s="553">
        <f t="shared" ref="BX86:EI86" si="443">BX19+BX54</f>
        <v>39006</v>
      </c>
      <c r="BY86" s="553">
        <f t="shared" si="443"/>
        <v>39006</v>
      </c>
      <c r="BZ86" s="553">
        <f t="shared" si="443"/>
        <v>39006</v>
      </c>
      <c r="CA86" s="553">
        <f t="shared" si="443"/>
        <v>39006</v>
      </c>
      <c r="CB86" s="560">
        <f t="shared" ref="CB86" si="444">CB19+CB54</f>
        <v>468072</v>
      </c>
      <c r="CC86" s="565"/>
      <c r="CD86" s="553">
        <f t="shared" si="443"/>
        <v>39006</v>
      </c>
      <c r="CE86" s="553">
        <f t="shared" si="443"/>
        <v>39006</v>
      </c>
      <c r="CF86" s="553">
        <f t="shared" si="443"/>
        <v>39006</v>
      </c>
      <c r="CG86" s="553">
        <f t="shared" si="443"/>
        <v>39006</v>
      </c>
      <c r="CH86" s="553">
        <f t="shared" si="443"/>
        <v>39006</v>
      </c>
      <c r="CI86" s="553">
        <f t="shared" si="443"/>
        <v>39006</v>
      </c>
      <c r="CJ86" s="553">
        <f t="shared" si="443"/>
        <v>39006</v>
      </c>
      <c r="CK86" s="553">
        <f t="shared" si="443"/>
        <v>39006</v>
      </c>
      <c r="CL86" s="553">
        <f t="shared" si="443"/>
        <v>39006</v>
      </c>
      <c r="CM86" s="553">
        <f t="shared" si="443"/>
        <v>39006</v>
      </c>
      <c r="CN86" s="553">
        <f t="shared" si="443"/>
        <v>39006</v>
      </c>
      <c r="CO86" s="553">
        <f t="shared" si="443"/>
        <v>39006</v>
      </c>
      <c r="CP86" s="560">
        <f t="shared" ref="CP86" si="445">CP19+CP54</f>
        <v>468072</v>
      </c>
      <c r="CQ86" s="565"/>
      <c r="CR86" s="553">
        <f t="shared" si="443"/>
        <v>39006</v>
      </c>
      <c r="CS86" s="553">
        <f t="shared" si="443"/>
        <v>39006</v>
      </c>
      <c r="CT86" s="553">
        <f t="shared" si="443"/>
        <v>39006</v>
      </c>
      <c r="CU86" s="553">
        <f t="shared" si="443"/>
        <v>39006</v>
      </c>
      <c r="CV86" s="553">
        <f t="shared" si="443"/>
        <v>39006</v>
      </c>
      <c r="CW86" s="553">
        <f t="shared" si="443"/>
        <v>39006</v>
      </c>
      <c r="CX86" s="553">
        <f t="shared" si="443"/>
        <v>39006</v>
      </c>
      <c r="CY86" s="553">
        <f t="shared" si="443"/>
        <v>39006</v>
      </c>
      <c r="CZ86" s="553">
        <f t="shared" si="443"/>
        <v>39006</v>
      </c>
      <c r="DA86" s="553">
        <f t="shared" si="443"/>
        <v>39006</v>
      </c>
      <c r="DB86" s="553">
        <f t="shared" si="443"/>
        <v>39006</v>
      </c>
      <c r="DC86" s="553">
        <f t="shared" si="443"/>
        <v>39006</v>
      </c>
      <c r="DD86" s="560">
        <f t="shared" ref="DD86" si="446">DD19+DD54</f>
        <v>468072</v>
      </c>
      <c r="DE86" s="565"/>
      <c r="DF86" s="553">
        <f t="shared" si="443"/>
        <v>39006</v>
      </c>
      <c r="DG86" s="553">
        <f t="shared" si="443"/>
        <v>39006</v>
      </c>
      <c r="DH86" s="553">
        <f t="shared" si="443"/>
        <v>39006</v>
      </c>
      <c r="DI86" s="553">
        <f t="shared" si="443"/>
        <v>39006</v>
      </c>
      <c r="DJ86" s="553">
        <f t="shared" si="443"/>
        <v>39006</v>
      </c>
      <c r="DK86" s="553">
        <f t="shared" si="443"/>
        <v>39006</v>
      </c>
      <c r="DL86" s="553">
        <f t="shared" si="443"/>
        <v>39006</v>
      </c>
      <c r="DM86" s="553">
        <f t="shared" si="443"/>
        <v>39006</v>
      </c>
      <c r="DN86" s="553">
        <f t="shared" si="443"/>
        <v>39006</v>
      </c>
      <c r="DO86" s="553">
        <f t="shared" si="443"/>
        <v>39006</v>
      </c>
      <c r="DP86" s="553">
        <f t="shared" si="443"/>
        <v>39006</v>
      </c>
      <c r="DQ86" s="553">
        <f t="shared" si="443"/>
        <v>39006</v>
      </c>
      <c r="DR86" s="560">
        <f t="shared" si="443"/>
        <v>468072</v>
      </c>
      <c r="DS86" s="565"/>
      <c r="DT86" s="553">
        <f t="shared" si="443"/>
        <v>39006</v>
      </c>
      <c r="DU86" s="553">
        <f t="shared" si="443"/>
        <v>39006</v>
      </c>
      <c r="DV86" s="553">
        <f t="shared" si="443"/>
        <v>39006</v>
      </c>
      <c r="DW86" s="553">
        <f t="shared" si="443"/>
        <v>39006</v>
      </c>
      <c r="DX86" s="553">
        <f t="shared" si="443"/>
        <v>39006</v>
      </c>
      <c r="DY86" s="553">
        <f t="shared" si="443"/>
        <v>39006</v>
      </c>
      <c r="DZ86" s="553">
        <f t="shared" si="443"/>
        <v>39006</v>
      </c>
      <c r="EA86" s="553">
        <f t="shared" si="443"/>
        <v>39006</v>
      </c>
      <c r="EB86" s="553">
        <f t="shared" si="443"/>
        <v>39006</v>
      </c>
      <c r="EC86" s="553">
        <f t="shared" si="443"/>
        <v>39006</v>
      </c>
      <c r="ED86" s="553">
        <f t="shared" si="443"/>
        <v>39006</v>
      </c>
      <c r="EE86" s="553">
        <f t="shared" si="443"/>
        <v>39006</v>
      </c>
      <c r="EF86" s="560">
        <f t="shared" si="443"/>
        <v>468072</v>
      </c>
      <c r="EG86" s="565"/>
      <c r="EH86" s="553">
        <f t="shared" si="443"/>
        <v>39006</v>
      </c>
      <c r="EI86" s="553">
        <f t="shared" si="443"/>
        <v>39006</v>
      </c>
      <c r="EJ86" s="553">
        <f t="shared" ref="EJ86:ET86" si="447">EJ19+EJ54</f>
        <v>39006</v>
      </c>
      <c r="EK86" s="553">
        <f t="shared" si="447"/>
        <v>39006</v>
      </c>
      <c r="EL86" s="553">
        <f t="shared" si="447"/>
        <v>39006</v>
      </c>
      <c r="EM86" s="553">
        <f t="shared" si="447"/>
        <v>39006</v>
      </c>
      <c r="EN86" s="553">
        <f t="shared" si="447"/>
        <v>39006</v>
      </c>
      <c r="EO86" s="553">
        <f t="shared" si="447"/>
        <v>39006</v>
      </c>
      <c r="EP86" s="553">
        <f t="shared" si="447"/>
        <v>39006</v>
      </c>
      <c r="EQ86" s="553">
        <f t="shared" si="447"/>
        <v>39006</v>
      </c>
      <c r="ER86" s="553">
        <f t="shared" si="447"/>
        <v>39006</v>
      </c>
      <c r="ES86" s="553">
        <f t="shared" si="447"/>
        <v>39006</v>
      </c>
      <c r="ET86" s="560">
        <f t="shared" si="447"/>
        <v>468072</v>
      </c>
      <c r="EU86" s="565"/>
    </row>
    <row r="87" spans="9:151" ht="10.5" customHeight="1" x14ac:dyDescent="0.35">
      <c r="I87" s="547">
        <v>2.4</v>
      </c>
      <c r="J87" s="531" t="s">
        <v>667</v>
      </c>
      <c r="L87" s="553"/>
      <c r="M87" s="553"/>
      <c r="N87" s="553"/>
      <c r="O87" s="553"/>
      <c r="P87" s="553"/>
      <c r="Q87" s="553"/>
      <c r="R87" s="553"/>
      <c r="S87" s="553"/>
      <c r="T87" s="553"/>
      <c r="U87" s="553"/>
      <c r="V87" s="553"/>
      <c r="W87" s="553"/>
      <c r="X87" s="560"/>
      <c r="Y87" s="565"/>
      <c r="Z87" s="553"/>
      <c r="AA87" s="553"/>
      <c r="AB87" s="553"/>
      <c r="AC87" s="553"/>
      <c r="AD87" s="553"/>
      <c r="AE87" s="553"/>
      <c r="AF87" s="553"/>
      <c r="AG87" s="553"/>
      <c r="AH87" s="553"/>
      <c r="AI87" s="553"/>
      <c r="AJ87" s="553"/>
      <c r="AK87" s="553"/>
      <c r="AL87" s="560"/>
      <c r="AM87" s="565"/>
      <c r="AN87" s="553"/>
      <c r="AO87" s="553"/>
      <c r="AP87" s="553"/>
      <c r="AQ87" s="553"/>
      <c r="AR87" s="553"/>
      <c r="AS87" s="553"/>
      <c r="AT87" s="553"/>
      <c r="AU87" s="553"/>
      <c r="AV87" s="553"/>
      <c r="AW87" s="553"/>
      <c r="AX87" s="553"/>
      <c r="AY87" s="553"/>
      <c r="AZ87" s="560"/>
      <c r="BA87" s="565"/>
      <c r="BB87" s="553"/>
      <c r="BC87" s="553"/>
      <c r="BD87" s="553"/>
      <c r="BE87" s="553"/>
      <c r="BF87" s="553"/>
      <c r="BG87" s="553"/>
      <c r="BH87" s="553"/>
      <c r="BI87" s="553"/>
      <c r="BJ87" s="553"/>
      <c r="BK87" s="553"/>
      <c r="BL87" s="553"/>
      <c r="BM87" s="553"/>
      <c r="BN87" s="560"/>
      <c r="BO87" s="565"/>
      <c r="BP87" s="553"/>
      <c r="BQ87" s="553"/>
      <c r="BR87" s="553"/>
      <c r="BS87" s="553"/>
      <c r="BT87" s="553"/>
      <c r="BU87" s="553"/>
      <c r="BV87" s="553"/>
      <c r="BW87" s="553"/>
      <c r="BX87" s="553"/>
      <c r="BY87" s="553"/>
      <c r="BZ87" s="553"/>
      <c r="CA87" s="553"/>
      <c r="CB87" s="560"/>
      <c r="CC87" s="565"/>
      <c r="CD87" s="553"/>
      <c r="CE87" s="553"/>
      <c r="CF87" s="553"/>
      <c r="CG87" s="553"/>
      <c r="CH87" s="553"/>
      <c r="CI87" s="553"/>
      <c r="CJ87" s="553"/>
      <c r="CK87" s="553"/>
      <c r="CL87" s="553"/>
      <c r="CM87" s="553"/>
      <c r="CN87" s="553"/>
      <c r="CO87" s="553"/>
      <c r="CP87" s="560"/>
      <c r="CQ87" s="565"/>
      <c r="CR87" s="553"/>
      <c r="CS87" s="553"/>
      <c r="CT87" s="553"/>
      <c r="CU87" s="553"/>
      <c r="CV87" s="553"/>
      <c r="CW87" s="553"/>
      <c r="CX87" s="553"/>
      <c r="CY87" s="553"/>
      <c r="CZ87" s="553"/>
      <c r="DA87" s="553"/>
      <c r="DB87" s="553"/>
      <c r="DC87" s="553"/>
      <c r="DD87" s="560"/>
      <c r="DE87" s="565"/>
      <c r="DF87" s="553"/>
      <c r="DG87" s="553"/>
      <c r="DH87" s="553"/>
      <c r="DI87" s="553"/>
      <c r="DJ87" s="553"/>
      <c r="DK87" s="553"/>
      <c r="DL87" s="553"/>
      <c r="DM87" s="553"/>
      <c r="DN87" s="553"/>
      <c r="DO87" s="553"/>
      <c r="DP87" s="553"/>
      <c r="DQ87" s="553"/>
      <c r="DR87" s="560"/>
      <c r="DS87" s="565"/>
      <c r="DT87" s="553"/>
      <c r="DU87" s="553"/>
      <c r="DV87" s="553"/>
      <c r="DW87" s="553"/>
      <c r="DX87" s="553"/>
      <c r="DY87" s="553"/>
      <c r="DZ87" s="553"/>
      <c r="EA87" s="553"/>
      <c r="EB87" s="553"/>
      <c r="EC87" s="553"/>
      <c r="ED87" s="553"/>
      <c r="EE87" s="553"/>
      <c r="EF87" s="560"/>
      <c r="EG87" s="565"/>
      <c r="EH87" s="553"/>
      <c r="EI87" s="553"/>
      <c r="EJ87" s="553"/>
      <c r="EK87" s="553"/>
      <c r="EL87" s="553"/>
      <c r="EM87" s="553"/>
      <c r="EN87" s="553"/>
      <c r="EO87" s="553"/>
      <c r="EP87" s="553"/>
      <c r="EQ87" s="553"/>
      <c r="ER87" s="553"/>
      <c r="ES87" s="553"/>
      <c r="ET87" s="560"/>
      <c r="EU87" s="565"/>
    </row>
    <row r="88" spans="9:151" ht="10.5" customHeight="1" x14ac:dyDescent="0.35">
      <c r="I88" s="536"/>
      <c r="J88" s="531" t="s">
        <v>9</v>
      </c>
      <c r="K88" s="531" t="s">
        <v>1063</v>
      </c>
      <c r="L88" s="553">
        <f t="shared" ref="L88:BW88" si="448">L21+L56</f>
        <v>3807</v>
      </c>
      <c r="M88" s="553">
        <f t="shared" si="448"/>
        <v>3807</v>
      </c>
      <c r="N88" s="553">
        <f t="shared" si="448"/>
        <v>4583.2049999999999</v>
      </c>
      <c r="O88" s="553">
        <f t="shared" si="448"/>
        <v>4583.2049999999999</v>
      </c>
      <c r="P88" s="553">
        <f t="shared" si="448"/>
        <v>4583.2049999999999</v>
      </c>
      <c r="Q88" s="553">
        <f t="shared" si="448"/>
        <v>4583.2049999999999</v>
      </c>
      <c r="R88" s="553">
        <f t="shared" si="448"/>
        <v>4583.2049999999999</v>
      </c>
      <c r="S88" s="553">
        <f t="shared" si="448"/>
        <v>4583.2049999999999</v>
      </c>
      <c r="T88" s="553">
        <f t="shared" si="448"/>
        <v>4583.2049999999999</v>
      </c>
      <c r="U88" s="553">
        <f t="shared" si="448"/>
        <v>4583.2049999999999</v>
      </c>
      <c r="V88" s="553">
        <f t="shared" si="448"/>
        <v>4583.2049999999999</v>
      </c>
      <c r="W88" s="553">
        <f t="shared" si="448"/>
        <v>4583.2049999999999</v>
      </c>
      <c r="X88" s="560">
        <f t="shared" si="448"/>
        <v>53446.05000000001</v>
      </c>
      <c r="Y88" s="565"/>
      <c r="Z88" s="553">
        <f t="shared" si="448"/>
        <v>16004.205</v>
      </c>
      <c r="AA88" s="553">
        <f t="shared" si="448"/>
        <v>16004.205</v>
      </c>
      <c r="AB88" s="553">
        <f t="shared" si="448"/>
        <v>18332.82</v>
      </c>
      <c r="AC88" s="553">
        <f t="shared" si="448"/>
        <v>18332.82</v>
      </c>
      <c r="AD88" s="553">
        <f t="shared" si="448"/>
        <v>18332.82</v>
      </c>
      <c r="AE88" s="553">
        <f t="shared" si="448"/>
        <v>18332.82</v>
      </c>
      <c r="AF88" s="553">
        <f t="shared" si="448"/>
        <v>22139.82</v>
      </c>
      <c r="AG88" s="553">
        <f t="shared" si="448"/>
        <v>22139.82</v>
      </c>
      <c r="AH88" s="553">
        <f t="shared" si="448"/>
        <v>18332.82</v>
      </c>
      <c r="AI88" s="553">
        <f t="shared" si="448"/>
        <v>18332.82</v>
      </c>
      <c r="AJ88" s="553">
        <f t="shared" si="448"/>
        <v>18332.82</v>
      </c>
      <c r="AK88" s="553">
        <f t="shared" si="448"/>
        <v>18332.82</v>
      </c>
      <c r="AL88" s="560">
        <f t="shared" si="448"/>
        <v>222950.61000000002</v>
      </c>
      <c r="AM88" s="565"/>
      <c r="AN88" s="553">
        <f t="shared" si="448"/>
        <v>18332.82</v>
      </c>
      <c r="AO88" s="553">
        <f t="shared" si="448"/>
        <v>18332.82</v>
      </c>
      <c r="AP88" s="553">
        <f t="shared" si="448"/>
        <v>18332.82</v>
      </c>
      <c r="AQ88" s="553">
        <f t="shared" si="448"/>
        <v>18332.82</v>
      </c>
      <c r="AR88" s="553">
        <f t="shared" si="448"/>
        <v>18332.82</v>
      </c>
      <c r="AS88" s="553">
        <f t="shared" si="448"/>
        <v>18332.82</v>
      </c>
      <c r="AT88" s="553">
        <f t="shared" si="448"/>
        <v>29753.82</v>
      </c>
      <c r="AU88" s="553">
        <f t="shared" si="448"/>
        <v>29753.82</v>
      </c>
      <c r="AV88" s="553">
        <f t="shared" si="448"/>
        <v>18332.82</v>
      </c>
      <c r="AW88" s="553">
        <f t="shared" si="448"/>
        <v>18332.82</v>
      </c>
      <c r="AX88" s="553">
        <f t="shared" si="448"/>
        <v>18332.82</v>
      </c>
      <c r="AY88" s="553">
        <f t="shared" si="448"/>
        <v>18332.82</v>
      </c>
      <c r="AZ88" s="560">
        <f t="shared" si="448"/>
        <v>242835.83999999997</v>
      </c>
      <c r="BA88" s="565"/>
      <c r="BB88" s="553">
        <f t="shared" si="448"/>
        <v>22139.82</v>
      </c>
      <c r="BC88" s="553">
        <f t="shared" si="448"/>
        <v>22139.82</v>
      </c>
      <c r="BD88" s="553">
        <f t="shared" si="448"/>
        <v>18332.82</v>
      </c>
      <c r="BE88" s="553">
        <f t="shared" si="448"/>
        <v>18332.82</v>
      </c>
      <c r="BF88" s="553">
        <f t="shared" si="448"/>
        <v>18332.82</v>
      </c>
      <c r="BG88" s="553">
        <f t="shared" si="448"/>
        <v>18332.82</v>
      </c>
      <c r="BH88" s="553">
        <f t="shared" si="448"/>
        <v>18332.82</v>
      </c>
      <c r="BI88" s="553">
        <f t="shared" si="448"/>
        <v>18332.82</v>
      </c>
      <c r="BJ88" s="553">
        <f t="shared" si="448"/>
        <v>18332.82</v>
      </c>
      <c r="BK88" s="553">
        <f t="shared" si="448"/>
        <v>18332.82</v>
      </c>
      <c r="BL88" s="553">
        <f t="shared" si="448"/>
        <v>18332.82</v>
      </c>
      <c r="BM88" s="553">
        <f t="shared" si="448"/>
        <v>18332.82</v>
      </c>
      <c r="BN88" s="560">
        <f t="shared" si="448"/>
        <v>227607.84000000003</v>
      </c>
      <c r="BO88" s="565"/>
      <c r="BP88" s="553">
        <f t="shared" si="448"/>
        <v>29753.82</v>
      </c>
      <c r="BQ88" s="553">
        <f t="shared" si="448"/>
        <v>29753.82</v>
      </c>
      <c r="BR88" s="553">
        <f t="shared" si="448"/>
        <v>18332.82</v>
      </c>
      <c r="BS88" s="553">
        <f t="shared" si="448"/>
        <v>18332.82</v>
      </c>
      <c r="BT88" s="553">
        <f t="shared" si="448"/>
        <v>18332.82</v>
      </c>
      <c r="BU88" s="553">
        <f t="shared" si="448"/>
        <v>18332.82</v>
      </c>
      <c r="BV88" s="553">
        <f t="shared" si="448"/>
        <v>22139.82</v>
      </c>
      <c r="BW88" s="553">
        <f t="shared" si="448"/>
        <v>22139.82</v>
      </c>
      <c r="BX88" s="553">
        <f t="shared" ref="BX88:EI88" si="449">BX21+BX56</f>
        <v>18332.82</v>
      </c>
      <c r="BY88" s="553">
        <f t="shared" si="449"/>
        <v>18332.82</v>
      </c>
      <c r="BZ88" s="553">
        <f t="shared" si="449"/>
        <v>18332.82</v>
      </c>
      <c r="CA88" s="553">
        <f t="shared" si="449"/>
        <v>18332.82</v>
      </c>
      <c r="CB88" s="560">
        <f t="shared" ref="CB88" si="450">CB21+CB56</f>
        <v>250449.84</v>
      </c>
      <c r="CC88" s="565"/>
      <c r="CD88" s="553">
        <f t="shared" si="449"/>
        <v>18332.82</v>
      </c>
      <c r="CE88" s="553">
        <f t="shared" si="449"/>
        <v>18332.82</v>
      </c>
      <c r="CF88" s="553">
        <f t="shared" si="449"/>
        <v>18332.82</v>
      </c>
      <c r="CG88" s="553">
        <f t="shared" si="449"/>
        <v>18332.82</v>
      </c>
      <c r="CH88" s="553">
        <f t="shared" si="449"/>
        <v>18332.82</v>
      </c>
      <c r="CI88" s="553">
        <f t="shared" si="449"/>
        <v>18332.82</v>
      </c>
      <c r="CJ88" s="553">
        <f t="shared" si="449"/>
        <v>29753.82</v>
      </c>
      <c r="CK88" s="553">
        <f t="shared" si="449"/>
        <v>29753.82</v>
      </c>
      <c r="CL88" s="553">
        <f t="shared" si="449"/>
        <v>18332.82</v>
      </c>
      <c r="CM88" s="553">
        <f t="shared" si="449"/>
        <v>18332.82</v>
      </c>
      <c r="CN88" s="553">
        <f t="shared" si="449"/>
        <v>18332.82</v>
      </c>
      <c r="CO88" s="553">
        <f t="shared" si="449"/>
        <v>18332.82</v>
      </c>
      <c r="CP88" s="560">
        <f t="shared" ref="CP88" si="451">CP21+CP56</f>
        <v>242835.83999999997</v>
      </c>
      <c r="CQ88" s="565"/>
      <c r="CR88" s="553">
        <f t="shared" si="449"/>
        <v>22139.82</v>
      </c>
      <c r="CS88" s="553">
        <f t="shared" si="449"/>
        <v>22139.82</v>
      </c>
      <c r="CT88" s="553">
        <f t="shared" si="449"/>
        <v>18332.82</v>
      </c>
      <c r="CU88" s="553">
        <f t="shared" si="449"/>
        <v>18332.82</v>
      </c>
      <c r="CV88" s="553">
        <f t="shared" si="449"/>
        <v>18332.82</v>
      </c>
      <c r="CW88" s="553">
        <f t="shared" si="449"/>
        <v>18332.82</v>
      </c>
      <c r="CX88" s="553">
        <f t="shared" si="449"/>
        <v>18332.82</v>
      </c>
      <c r="CY88" s="553">
        <f t="shared" si="449"/>
        <v>18332.82</v>
      </c>
      <c r="CZ88" s="553">
        <f t="shared" si="449"/>
        <v>18332.82</v>
      </c>
      <c r="DA88" s="553">
        <f t="shared" si="449"/>
        <v>18332.82</v>
      </c>
      <c r="DB88" s="553">
        <f t="shared" si="449"/>
        <v>18332.82</v>
      </c>
      <c r="DC88" s="553">
        <f t="shared" si="449"/>
        <v>18332.82</v>
      </c>
      <c r="DD88" s="560">
        <f t="shared" ref="DD88" si="452">DD21+DD56</f>
        <v>227607.84000000003</v>
      </c>
      <c r="DE88" s="565"/>
      <c r="DF88" s="553">
        <f t="shared" si="449"/>
        <v>29753.82</v>
      </c>
      <c r="DG88" s="553">
        <f t="shared" si="449"/>
        <v>29753.82</v>
      </c>
      <c r="DH88" s="553">
        <f t="shared" si="449"/>
        <v>18332.82</v>
      </c>
      <c r="DI88" s="553">
        <f t="shared" si="449"/>
        <v>18332.82</v>
      </c>
      <c r="DJ88" s="553">
        <f t="shared" si="449"/>
        <v>18332.82</v>
      </c>
      <c r="DK88" s="553">
        <f t="shared" si="449"/>
        <v>18332.82</v>
      </c>
      <c r="DL88" s="553">
        <f t="shared" si="449"/>
        <v>22139.82</v>
      </c>
      <c r="DM88" s="553">
        <f t="shared" si="449"/>
        <v>22139.82</v>
      </c>
      <c r="DN88" s="553">
        <f t="shared" si="449"/>
        <v>18332.82</v>
      </c>
      <c r="DO88" s="553">
        <f t="shared" si="449"/>
        <v>18332.82</v>
      </c>
      <c r="DP88" s="553">
        <f t="shared" si="449"/>
        <v>18332.82</v>
      </c>
      <c r="DQ88" s="553">
        <f t="shared" si="449"/>
        <v>18332.82</v>
      </c>
      <c r="DR88" s="560">
        <f t="shared" si="449"/>
        <v>250449.84</v>
      </c>
      <c r="DS88" s="565"/>
      <c r="DT88" s="553">
        <f t="shared" si="449"/>
        <v>18332.82</v>
      </c>
      <c r="DU88" s="553">
        <f t="shared" si="449"/>
        <v>18332.82</v>
      </c>
      <c r="DV88" s="553">
        <f t="shared" si="449"/>
        <v>18332.82</v>
      </c>
      <c r="DW88" s="553">
        <f t="shared" si="449"/>
        <v>18332.82</v>
      </c>
      <c r="DX88" s="553">
        <f t="shared" si="449"/>
        <v>18332.82</v>
      </c>
      <c r="DY88" s="553">
        <f t="shared" si="449"/>
        <v>18332.82</v>
      </c>
      <c r="DZ88" s="553">
        <f t="shared" si="449"/>
        <v>29753.82</v>
      </c>
      <c r="EA88" s="553">
        <f t="shared" si="449"/>
        <v>29753.82</v>
      </c>
      <c r="EB88" s="553">
        <f t="shared" si="449"/>
        <v>18332.82</v>
      </c>
      <c r="EC88" s="553">
        <f t="shared" si="449"/>
        <v>18332.82</v>
      </c>
      <c r="ED88" s="553">
        <f t="shared" si="449"/>
        <v>18332.82</v>
      </c>
      <c r="EE88" s="553">
        <f t="shared" si="449"/>
        <v>18332.82</v>
      </c>
      <c r="EF88" s="560">
        <f t="shared" si="449"/>
        <v>242835.83999999997</v>
      </c>
      <c r="EG88" s="565"/>
      <c r="EH88" s="553">
        <f t="shared" si="449"/>
        <v>22139.82</v>
      </c>
      <c r="EI88" s="553">
        <f t="shared" si="449"/>
        <v>22139.82</v>
      </c>
      <c r="EJ88" s="553">
        <f t="shared" ref="EJ88:ET88" si="453">EJ21+EJ56</f>
        <v>18332.82</v>
      </c>
      <c r="EK88" s="553">
        <f t="shared" si="453"/>
        <v>18332.82</v>
      </c>
      <c r="EL88" s="553">
        <f t="shared" si="453"/>
        <v>18332.82</v>
      </c>
      <c r="EM88" s="553">
        <f t="shared" si="453"/>
        <v>18332.82</v>
      </c>
      <c r="EN88" s="553">
        <f t="shared" si="453"/>
        <v>18332.82</v>
      </c>
      <c r="EO88" s="553">
        <f t="shared" si="453"/>
        <v>18332.82</v>
      </c>
      <c r="EP88" s="553">
        <f t="shared" si="453"/>
        <v>18332.82</v>
      </c>
      <c r="EQ88" s="553">
        <f t="shared" si="453"/>
        <v>18332.82</v>
      </c>
      <c r="ER88" s="553">
        <f t="shared" si="453"/>
        <v>18332.82</v>
      </c>
      <c r="ES88" s="553">
        <f t="shared" si="453"/>
        <v>18332.82</v>
      </c>
      <c r="ET88" s="560">
        <f t="shared" si="453"/>
        <v>227607.84000000003</v>
      </c>
      <c r="EU88" s="565"/>
    </row>
    <row r="89" spans="9:151" ht="10.5" customHeight="1" x14ac:dyDescent="0.35">
      <c r="I89" s="536"/>
      <c r="J89" s="531" t="s">
        <v>10</v>
      </c>
      <c r="K89" s="531" t="s">
        <v>1064</v>
      </c>
      <c r="L89" s="553">
        <f t="shared" ref="L89:BW89" si="454">L22+L57</f>
        <v>1093.5</v>
      </c>
      <c r="M89" s="553">
        <f t="shared" si="454"/>
        <v>1093.5</v>
      </c>
      <c r="N89" s="553">
        <f t="shared" si="454"/>
        <v>1316.4525000000001</v>
      </c>
      <c r="O89" s="553">
        <f t="shared" si="454"/>
        <v>1316.4525000000001</v>
      </c>
      <c r="P89" s="553">
        <f t="shared" si="454"/>
        <v>1316.4525000000001</v>
      </c>
      <c r="Q89" s="553">
        <f t="shared" si="454"/>
        <v>1316.4525000000001</v>
      </c>
      <c r="R89" s="553">
        <f t="shared" si="454"/>
        <v>1316.4525000000001</v>
      </c>
      <c r="S89" s="553">
        <f t="shared" si="454"/>
        <v>1316.4525000000001</v>
      </c>
      <c r="T89" s="553">
        <f t="shared" si="454"/>
        <v>1316.4525000000001</v>
      </c>
      <c r="U89" s="553">
        <f t="shared" si="454"/>
        <v>1316.4525000000001</v>
      </c>
      <c r="V89" s="553">
        <f t="shared" si="454"/>
        <v>1316.4525000000001</v>
      </c>
      <c r="W89" s="553">
        <f t="shared" si="454"/>
        <v>1316.4525000000001</v>
      </c>
      <c r="X89" s="560">
        <f t="shared" si="454"/>
        <v>15351.524999999998</v>
      </c>
      <c r="Y89" s="565"/>
      <c r="Z89" s="553">
        <f t="shared" si="454"/>
        <v>4596.9525000000003</v>
      </c>
      <c r="AA89" s="553">
        <f t="shared" si="454"/>
        <v>4596.9525000000003</v>
      </c>
      <c r="AB89" s="553">
        <f t="shared" si="454"/>
        <v>5265.81</v>
      </c>
      <c r="AC89" s="553">
        <f t="shared" si="454"/>
        <v>5265.81</v>
      </c>
      <c r="AD89" s="553">
        <f t="shared" si="454"/>
        <v>5265.81</v>
      </c>
      <c r="AE89" s="553">
        <f t="shared" si="454"/>
        <v>5265.81</v>
      </c>
      <c r="AF89" s="553">
        <f t="shared" si="454"/>
        <v>6359.31</v>
      </c>
      <c r="AG89" s="553">
        <f t="shared" si="454"/>
        <v>6359.31</v>
      </c>
      <c r="AH89" s="553">
        <f t="shared" si="454"/>
        <v>5265.81</v>
      </c>
      <c r="AI89" s="553">
        <f t="shared" si="454"/>
        <v>5265.81</v>
      </c>
      <c r="AJ89" s="553">
        <f t="shared" si="454"/>
        <v>5265.81</v>
      </c>
      <c r="AK89" s="553">
        <f t="shared" si="454"/>
        <v>5265.81</v>
      </c>
      <c r="AL89" s="560">
        <f t="shared" si="454"/>
        <v>64039.00499999999</v>
      </c>
      <c r="AM89" s="565"/>
      <c r="AN89" s="553">
        <f t="shared" si="454"/>
        <v>5265.81</v>
      </c>
      <c r="AO89" s="553">
        <f t="shared" si="454"/>
        <v>5265.81</v>
      </c>
      <c r="AP89" s="553">
        <f t="shared" si="454"/>
        <v>5265.81</v>
      </c>
      <c r="AQ89" s="553">
        <f t="shared" si="454"/>
        <v>5265.81</v>
      </c>
      <c r="AR89" s="553">
        <f t="shared" si="454"/>
        <v>5265.81</v>
      </c>
      <c r="AS89" s="553">
        <f t="shared" si="454"/>
        <v>5265.81</v>
      </c>
      <c r="AT89" s="553">
        <f t="shared" si="454"/>
        <v>8546.31</v>
      </c>
      <c r="AU89" s="553">
        <f t="shared" si="454"/>
        <v>8546.31</v>
      </c>
      <c r="AV89" s="553">
        <f t="shared" si="454"/>
        <v>5265.81</v>
      </c>
      <c r="AW89" s="553">
        <f t="shared" si="454"/>
        <v>5265.81</v>
      </c>
      <c r="AX89" s="553">
        <f t="shared" si="454"/>
        <v>5265.81</v>
      </c>
      <c r="AY89" s="553">
        <f t="shared" si="454"/>
        <v>5265.81</v>
      </c>
      <c r="AZ89" s="560">
        <f t="shared" si="454"/>
        <v>69750.719999999987</v>
      </c>
      <c r="BA89" s="565"/>
      <c r="BB89" s="553">
        <f t="shared" si="454"/>
        <v>6359.31</v>
      </c>
      <c r="BC89" s="553">
        <f t="shared" si="454"/>
        <v>6359.31</v>
      </c>
      <c r="BD89" s="553">
        <f t="shared" si="454"/>
        <v>5265.81</v>
      </c>
      <c r="BE89" s="553">
        <f t="shared" si="454"/>
        <v>5265.81</v>
      </c>
      <c r="BF89" s="553">
        <f t="shared" si="454"/>
        <v>5265.81</v>
      </c>
      <c r="BG89" s="553">
        <f t="shared" si="454"/>
        <v>5265.81</v>
      </c>
      <c r="BH89" s="553">
        <f t="shared" si="454"/>
        <v>5265.81</v>
      </c>
      <c r="BI89" s="553">
        <f t="shared" si="454"/>
        <v>5265.81</v>
      </c>
      <c r="BJ89" s="553">
        <f t="shared" si="454"/>
        <v>5265.81</v>
      </c>
      <c r="BK89" s="553">
        <f t="shared" si="454"/>
        <v>5265.81</v>
      </c>
      <c r="BL89" s="553">
        <f t="shared" si="454"/>
        <v>5265.81</v>
      </c>
      <c r="BM89" s="553">
        <f t="shared" si="454"/>
        <v>5265.81</v>
      </c>
      <c r="BN89" s="560">
        <f t="shared" si="454"/>
        <v>65376.719999999987</v>
      </c>
      <c r="BO89" s="565"/>
      <c r="BP89" s="553">
        <f t="shared" si="454"/>
        <v>8546.31</v>
      </c>
      <c r="BQ89" s="553">
        <f t="shared" si="454"/>
        <v>8546.31</v>
      </c>
      <c r="BR89" s="553">
        <f t="shared" si="454"/>
        <v>5265.81</v>
      </c>
      <c r="BS89" s="553">
        <f t="shared" si="454"/>
        <v>5265.81</v>
      </c>
      <c r="BT89" s="553">
        <f t="shared" si="454"/>
        <v>5265.81</v>
      </c>
      <c r="BU89" s="553">
        <f t="shared" si="454"/>
        <v>5265.81</v>
      </c>
      <c r="BV89" s="553">
        <f t="shared" si="454"/>
        <v>6359.31</v>
      </c>
      <c r="BW89" s="553">
        <f t="shared" si="454"/>
        <v>6359.31</v>
      </c>
      <c r="BX89" s="553">
        <f t="shared" ref="BX89:EI89" si="455">BX22+BX57</f>
        <v>5265.81</v>
      </c>
      <c r="BY89" s="553">
        <f t="shared" si="455"/>
        <v>5265.81</v>
      </c>
      <c r="BZ89" s="553">
        <f t="shared" si="455"/>
        <v>5265.81</v>
      </c>
      <c r="CA89" s="553">
        <f t="shared" si="455"/>
        <v>5265.81</v>
      </c>
      <c r="CB89" s="560">
        <f t="shared" ref="CB89" si="456">CB22+CB57</f>
        <v>71937.719999999987</v>
      </c>
      <c r="CC89" s="565"/>
      <c r="CD89" s="553">
        <f t="shared" si="455"/>
        <v>5265.81</v>
      </c>
      <c r="CE89" s="553">
        <f t="shared" si="455"/>
        <v>5265.81</v>
      </c>
      <c r="CF89" s="553">
        <f t="shared" si="455"/>
        <v>5265.81</v>
      </c>
      <c r="CG89" s="553">
        <f t="shared" si="455"/>
        <v>5265.81</v>
      </c>
      <c r="CH89" s="553">
        <f t="shared" si="455"/>
        <v>5265.81</v>
      </c>
      <c r="CI89" s="553">
        <f t="shared" si="455"/>
        <v>5265.81</v>
      </c>
      <c r="CJ89" s="553">
        <f t="shared" si="455"/>
        <v>8546.31</v>
      </c>
      <c r="CK89" s="553">
        <f t="shared" si="455"/>
        <v>8546.31</v>
      </c>
      <c r="CL89" s="553">
        <f t="shared" si="455"/>
        <v>5265.81</v>
      </c>
      <c r="CM89" s="553">
        <f t="shared" si="455"/>
        <v>5265.81</v>
      </c>
      <c r="CN89" s="553">
        <f t="shared" si="455"/>
        <v>5265.81</v>
      </c>
      <c r="CO89" s="553">
        <f t="shared" si="455"/>
        <v>5265.81</v>
      </c>
      <c r="CP89" s="560">
        <f t="shared" ref="CP89" si="457">CP22+CP57</f>
        <v>69750.719999999987</v>
      </c>
      <c r="CQ89" s="565"/>
      <c r="CR89" s="553">
        <f t="shared" si="455"/>
        <v>6359.31</v>
      </c>
      <c r="CS89" s="553">
        <f t="shared" si="455"/>
        <v>6359.31</v>
      </c>
      <c r="CT89" s="553">
        <f t="shared" si="455"/>
        <v>5265.81</v>
      </c>
      <c r="CU89" s="553">
        <f t="shared" si="455"/>
        <v>5265.81</v>
      </c>
      <c r="CV89" s="553">
        <f t="shared" si="455"/>
        <v>5265.81</v>
      </c>
      <c r="CW89" s="553">
        <f t="shared" si="455"/>
        <v>5265.81</v>
      </c>
      <c r="CX89" s="553">
        <f t="shared" si="455"/>
        <v>5265.81</v>
      </c>
      <c r="CY89" s="553">
        <f t="shared" si="455"/>
        <v>5265.81</v>
      </c>
      <c r="CZ89" s="553">
        <f t="shared" si="455"/>
        <v>5265.81</v>
      </c>
      <c r="DA89" s="553">
        <f t="shared" si="455"/>
        <v>5265.81</v>
      </c>
      <c r="DB89" s="553">
        <f t="shared" si="455"/>
        <v>5265.81</v>
      </c>
      <c r="DC89" s="553">
        <f t="shared" si="455"/>
        <v>5265.81</v>
      </c>
      <c r="DD89" s="560">
        <f t="shared" ref="DD89" si="458">DD22+DD57</f>
        <v>65376.719999999987</v>
      </c>
      <c r="DE89" s="565"/>
      <c r="DF89" s="553">
        <f t="shared" si="455"/>
        <v>8546.31</v>
      </c>
      <c r="DG89" s="553">
        <f t="shared" si="455"/>
        <v>8546.31</v>
      </c>
      <c r="DH89" s="553">
        <f t="shared" si="455"/>
        <v>5265.81</v>
      </c>
      <c r="DI89" s="553">
        <f t="shared" si="455"/>
        <v>5265.81</v>
      </c>
      <c r="DJ89" s="553">
        <f t="shared" si="455"/>
        <v>5265.81</v>
      </c>
      <c r="DK89" s="553">
        <f t="shared" si="455"/>
        <v>5265.81</v>
      </c>
      <c r="DL89" s="553">
        <f t="shared" si="455"/>
        <v>6359.31</v>
      </c>
      <c r="DM89" s="553">
        <f t="shared" si="455"/>
        <v>6359.31</v>
      </c>
      <c r="DN89" s="553">
        <f t="shared" si="455"/>
        <v>5265.81</v>
      </c>
      <c r="DO89" s="553">
        <f t="shared" si="455"/>
        <v>5265.81</v>
      </c>
      <c r="DP89" s="553">
        <f t="shared" si="455"/>
        <v>5265.81</v>
      </c>
      <c r="DQ89" s="553">
        <f t="shared" si="455"/>
        <v>5265.81</v>
      </c>
      <c r="DR89" s="560">
        <f t="shared" si="455"/>
        <v>71937.719999999987</v>
      </c>
      <c r="DS89" s="565"/>
      <c r="DT89" s="553">
        <f t="shared" si="455"/>
        <v>5265.81</v>
      </c>
      <c r="DU89" s="553">
        <f t="shared" si="455"/>
        <v>5265.81</v>
      </c>
      <c r="DV89" s="553">
        <f t="shared" si="455"/>
        <v>5265.81</v>
      </c>
      <c r="DW89" s="553">
        <f t="shared" si="455"/>
        <v>5265.81</v>
      </c>
      <c r="DX89" s="553">
        <f t="shared" si="455"/>
        <v>5265.81</v>
      </c>
      <c r="DY89" s="553">
        <f t="shared" si="455"/>
        <v>5265.81</v>
      </c>
      <c r="DZ89" s="553">
        <f t="shared" si="455"/>
        <v>8546.31</v>
      </c>
      <c r="EA89" s="553">
        <f t="shared" si="455"/>
        <v>8546.31</v>
      </c>
      <c r="EB89" s="553">
        <f t="shared" si="455"/>
        <v>5265.81</v>
      </c>
      <c r="EC89" s="553">
        <f t="shared" si="455"/>
        <v>5265.81</v>
      </c>
      <c r="ED89" s="553">
        <f t="shared" si="455"/>
        <v>5265.81</v>
      </c>
      <c r="EE89" s="553">
        <f t="shared" si="455"/>
        <v>5265.81</v>
      </c>
      <c r="EF89" s="560">
        <f t="shared" si="455"/>
        <v>69750.719999999987</v>
      </c>
      <c r="EG89" s="565"/>
      <c r="EH89" s="553">
        <f t="shared" si="455"/>
        <v>6359.31</v>
      </c>
      <c r="EI89" s="553">
        <f t="shared" si="455"/>
        <v>6359.31</v>
      </c>
      <c r="EJ89" s="553">
        <f t="shared" ref="EJ89:ET89" si="459">EJ22+EJ57</f>
        <v>5265.81</v>
      </c>
      <c r="EK89" s="553">
        <f t="shared" si="459"/>
        <v>5265.81</v>
      </c>
      <c r="EL89" s="553">
        <f t="shared" si="459"/>
        <v>5265.81</v>
      </c>
      <c r="EM89" s="553">
        <f t="shared" si="459"/>
        <v>5265.81</v>
      </c>
      <c r="EN89" s="553">
        <f t="shared" si="459"/>
        <v>5265.81</v>
      </c>
      <c r="EO89" s="553">
        <f t="shared" si="459"/>
        <v>5265.81</v>
      </c>
      <c r="EP89" s="553">
        <f t="shared" si="459"/>
        <v>5265.81</v>
      </c>
      <c r="EQ89" s="553">
        <f t="shared" si="459"/>
        <v>5265.81</v>
      </c>
      <c r="ER89" s="553">
        <f t="shared" si="459"/>
        <v>5265.81</v>
      </c>
      <c r="ES89" s="553">
        <f t="shared" si="459"/>
        <v>5265.81</v>
      </c>
      <c r="ET89" s="560">
        <f t="shared" si="459"/>
        <v>65376.719999999987</v>
      </c>
      <c r="EU89" s="565"/>
    </row>
    <row r="90" spans="9:151" ht="10.5" customHeight="1" x14ac:dyDescent="0.35">
      <c r="I90" s="536"/>
      <c r="J90" s="531" t="s">
        <v>13</v>
      </c>
      <c r="K90" s="531" t="s">
        <v>1065</v>
      </c>
      <c r="L90" s="553">
        <f t="shared" ref="L90:BW90" si="460">L23+L58</f>
        <v>2592</v>
      </c>
      <c r="M90" s="553">
        <f t="shared" si="460"/>
        <v>2592</v>
      </c>
      <c r="N90" s="553">
        <f t="shared" si="460"/>
        <v>3120.48</v>
      </c>
      <c r="O90" s="553">
        <f t="shared" si="460"/>
        <v>3120.48</v>
      </c>
      <c r="P90" s="553">
        <f t="shared" si="460"/>
        <v>3120.48</v>
      </c>
      <c r="Q90" s="553">
        <f t="shared" si="460"/>
        <v>3120.48</v>
      </c>
      <c r="R90" s="553">
        <f t="shared" si="460"/>
        <v>3120.48</v>
      </c>
      <c r="S90" s="553">
        <f t="shared" si="460"/>
        <v>3120.48</v>
      </c>
      <c r="T90" s="553">
        <f t="shared" si="460"/>
        <v>3120.48</v>
      </c>
      <c r="U90" s="553">
        <f t="shared" si="460"/>
        <v>3120.48</v>
      </c>
      <c r="V90" s="553">
        <f t="shared" si="460"/>
        <v>3120.48</v>
      </c>
      <c r="W90" s="553">
        <f t="shared" si="460"/>
        <v>3120.48</v>
      </c>
      <c r="X90" s="560">
        <f t="shared" si="460"/>
        <v>36388.800000000003</v>
      </c>
      <c r="Y90" s="565"/>
      <c r="Z90" s="553">
        <f t="shared" si="460"/>
        <v>10896.48</v>
      </c>
      <c r="AA90" s="553">
        <f t="shared" si="460"/>
        <v>10896.48</v>
      </c>
      <c r="AB90" s="553">
        <f t="shared" si="460"/>
        <v>12481.92</v>
      </c>
      <c r="AC90" s="553">
        <f t="shared" si="460"/>
        <v>12481.92</v>
      </c>
      <c r="AD90" s="553">
        <f t="shared" si="460"/>
        <v>12481.92</v>
      </c>
      <c r="AE90" s="553">
        <f t="shared" si="460"/>
        <v>12481.92</v>
      </c>
      <c r="AF90" s="553">
        <f t="shared" si="460"/>
        <v>15073.920000000002</v>
      </c>
      <c r="AG90" s="553">
        <f t="shared" si="460"/>
        <v>15073.920000000002</v>
      </c>
      <c r="AH90" s="553">
        <f t="shared" si="460"/>
        <v>12481.92</v>
      </c>
      <c r="AI90" s="553">
        <f t="shared" si="460"/>
        <v>12481.92</v>
      </c>
      <c r="AJ90" s="553">
        <f t="shared" si="460"/>
        <v>12481.92</v>
      </c>
      <c r="AK90" s="553">
        <f t="shared" si="460"/>
        <v>12481.92</v>
      </c>
      <c r="AL90" s="560">
        <f t="shared" si="460"/>
        <v>151796.16000000003</v>
      </c>
      <c r="AM90" s="565"/>
      <c r="AN90" s="553">
        <f t="shared" si="460"/>
        <v>12481.92</v>
      </c>
      <c r="AO90" s="553">
        <f t="shared" si="460"/>
        <v>12481.92</v>
      </c>
      <c r="AP90" s="553">
        <f t="shared" si="460"/>
        <v>12481.92</v>
      </c>
      <c r="AQ90" s="553">
        <f t="shared" si="460"/>
        <v>12481.92</v>
      </c>
      <c r="AR90" s="553">
        <f t="shared" si="460"/>
        <v>12481.92</v>
      </c>
      <c r="AS90" s="553">
        <f t="shared" si="460"/>
        <v>12481.92</v>
      </c>
      <c r="AT90" s="553">
        <f t="shared" si="460"/>
        <v>20257.919999999998</v>
      </c>
      <c r="AU90" s="553">
        <f t="shared" si="460"/>
        <v>20257.919999999998</v>
      </c>
      <c r="AV90" s="553">
        <f t="shared" si="460"/>
        <v>12481.92</v>
      </c>
      <c r="AW90" s="553">
        <f t="shared" si="460"/>
        <v>12481.92</v>
      </c>
      <c r="AX90" s="553">
        <f t="shared" si="460"/>
        <v>12481.92</v>
      </c>
      <c r="AY90" s="553">
        <f t="shared" si="460"/>
        <v>12481.92</v>
      </c>
      <c r="AZ90" s="560">
        <f t="shared" si="460"/>
        <v>165335.04000000001</v>
      </c>
      <c r="BA90" s="565"/>
      <c r="BB90" s="553">
        <f t="shared" si="460"/>
        <v>15073.920000000002</v>
      </c>
      <c r="BC90" s="553">
        <f t="shared" si="460"/>
        <v>15073.920000000002</v>
      </c>
      <c r="BD90" s="553">
        <f t="shared" si="460"/>
        <v>12481.92</v>
      </c>
      <c r="BE90" s="553">
        <f t="shared" si="460"/>
        <v>12481.92</v>
      </c>
      <c r="BF90" s="553">
        <f t="shared" si="460"/>
        <v>12481.92</v>
      </c>
      <c r="BG90" s="553">
        <f t="shared" si="460"/>
        <v>12481.92</v>
      </c>
      <c r="BH90" s="553">
        <f t="shared" si="460"/>
        <v>12481.92</v>
      </c>
      <c r="BI90" s="553">
        <f t="shared" si="460"/>
        <v>12481.92</v>
      </c>
      <c r="BJ90" s="553">
        <f t="shared" si="460"/>
        <v>12481.92</v>
      </c>
      <c r="BK90" s="553">
        <f t="shared" si="460"/>
        <v>12481.92</v>
      </c>
      <c r="BL90" s="553">
        <f t="shared" si="460"/>
        <v>12481.92</v>
      </c>
      <c r="BM90" s="553">
        <f t="shared" si="460"/>
        <v>12481.92</v>
      </c>
      <c r="BN90" s="560">
        <f t="shared" si="460"/>
        <v>154967.04000000004</v>
      </c>
      <c r="BO90" s="565"/>
      <c r="BP90" s="553">
        <f t="shared" si="460"/>
        <v>20257.919999999998</v>
      </c>
      <c r="BQ90" s="553">
        <f t="shared" si="460"/>
        <v>20257.919999999998</v>
      </c>
      <c r="BR90" s="553">
        <f t="shared" si="460"/>
        <v>12481.92</v>
      </c>
      <c r="BS90" s="553">
        <f t="shared" si="460"/>
        <v>12481.92</v>
      </c>
      <c r="BT90" s="553">
        <f t="shared" si="460"/>
        <v>12481.92</v>
      </c>
      <c r="BU90" s="553">
        <f t="shared" si="460"/>
        <v>12481.92</v>
      </c>
      <c r="BV90" s="553">
        <f t="shared" si="460"/>
        <v>15073.920000000002</v>
      </c>
      <c r="BW90" s="553">
        <f t="shared" si="460"/>
        <v>15073.920000000002</v>
      </c>
      <c r="BX90" s="553">
        <f t="shared" ref="BX90:EI90" si="461">BX23+BX58</f>
        <v>12481.92</v>
      </c>
      <c r="BY90" s="553">
        <f t="shared" si="461"/>
        <v>12481.92</v>
      </c>
      <c r="BZ90" s="553">
        <f t="shared" si="461"/>
        <v>12481.92</v>
      </c>
      <c r="CA90" s="553">
        <f t="shared" si="461"/>
        <v>12481.92</v>
      </c>
      <c r="CB90" s="560">
        <f t="shared" ref="CB90" si="462">CB23+CB58</f>
        <v>170519.04000000004</v>
      </c>
      <c r="CC90" s="565"/>
      <c r="CD90" s="553">
        <f t="shared" si="461"/>
        <v>12481.92</v>
      </c>
      <c r="CE90" s="553">
        <f t="shared" si="461"/>
        <v>12481.92</v>
      </c>
      <c r="CF90" s="553">
        <f t="shared" si="461"/>
        <v>12481.92</v>
      </c>
      <c r="CG90" s="553">
        <f t="shared" si="461"/>
        <v>12481.92</v>
      </c>
      <c r="CH90" s="553">
        <f t="shared" si="461"/>
        <v>12481.92</v>
      </c>
      <c r="CI90" s="553">
        <f t="shared" si="461"/>
        <v>12481.92</v>
      </c>
      <c r="CJ90" s="553">
        <f t="shared" si="461"/>
        <v>20257.919999999998</v>
      </c>
      <c r="CK90" s="553">
        <f t="shared" si="461"/>
        <v>20257.919999999998</v>
      </c>
      <c r="CL90" s="553">
        <f t="shared" si="461"/>
        <v>12481.92</v>
      </c>
      <c r="CM90" s="553">
        <f t="shared" si="461"/>
        <v>12481.92</v>
      </c>
      <c r="CN90" s="553">
        <f t="shared" si="461"/>
        <v>12481.92</v>
      </c>
      <c r="CO90" s="553">
        <f t="shared" si="461"/>
        <v>12481.92</v>
      </c>
      <c r="CP90" s="560">
        <f t="shared" ref="CP90" si="463">CP23+CP58</f>
        <v>165335.04000000001</v>
      </c>
      <c r="CQ90" s="565"/>
      <c r="CR90" s="553">
        <f t="shared" si="461"/>
        <v>15073.920000000002</v>
      </c>
      <c r="CS90" s="553">
        <f t="shared" si="461"/>
        <v>15073.920000000002</v>
      </c>
      <c r="CT90" s="553">
        <f t="shared" si="461"/>
        <v>12481.92</v>
      </c>
      <c r="CU90" s="553">
        <f t="shared" si="461"/>
        <v>12481.92</v>
      </c>
      <c r="CV90" s="553">
        <f t="shared" si="461"/>
        <v>12481.92</v>
      </c>
      <c r="CW90" s="553">
        <f t="shared" si="461"/>
        <v>12481.92</v>
      </c>
      <c r="CX90" s="553">
        <f t="shared" si="461"/>
        <v>12481.92</v>
      </c>
      <c r="CY90" s="553">
        <f t="shared" si="461"/>
        <v>12481.92</v>
      </c>
      <c r="CZ90" s="553">
        <f t="shared" si="461"/>
        <v>12481.92</v>
      </c>
      <c r="DA90" s="553">
        <f t="shared" si="461"/>
        <v>12481.92</v>
      </c>
      <c r="DB90" s="553">
        <f t="shared" si="461"/>
        <v>12481.92</v>
      </c>
      <c r="DC90" s="553">
        <f t="shared" si="461"/>
        <v>12481.92</v>
      </c>
      <c r="DD90" s="560">
        <f t="shared" ref="DD90" si="464">DD23+DD58</f>
        <v>154967.04000000004</v>
      </c>
      <c r="DE90" s="565"/>
      <c r="DF90" s="553">
        <f t="shared" si="461"/>
        <v>20257.919999999998</v>
      </c>
      <c r="DG90" s="553">
        <f t="shared" si="461"/>
        <v>20257.919999999998</v>
      </c>
      <c r="DH90" s="553">
        <f t="shared" si="461"/>
        <v>12481.92</v>
      </c>
      <c r="DI90" s="553">
        <f t="shared" si="461"/>
        <v>12481.92</v>
      </c>
      <c r="DJ90" s="553">
        <f t="shared" si="461"/>
        <v>12481.92</v>
      </c>
      <c r="DK90" s="553">
        <f t="shared" si="461"/>
        <v>12481.92</v>
      </c>
      <c r="DL90" s="553">
        <f t="shared" si="461"/>
        <v>15073.920000000002</v>
      </c>
      <c r="DM90" s="553">
        <f t="shared" si="461"/>
        <v>15073.920000000002</v>
      </c>
      <c r="DN90" s="553">
        <f t="shared" si="461"/>
        <v>12481.92</v>
      </c>
      <c r="DO90" s="553">
        <f t="shared" si="461"/>
        <v>12481.92</v>
      </c>
      <c r="DP90" s="553">
        <f t="shared" si="461"/>
        <v>12481.92</v>
      </c>
      <c r="DQ90" s="553">
        <f t="shared" si="461"/>
        <v>12481.92</v>
      </c>
      <c r="DR90" s="560">
        <f t="shared" si="461"/>
        <v>170519.04000000004</v>
      </c>
      <c r="DS90" s="565"/>
      <c r="DT90" s="553">
        <f t="shared" si="461"/>
        <v>12481.92</v>
      </c>
      <c r="DU90" s="553">
        <f t="shared" si="461"/>
        <v>12481.92</v>
      </c>
      <c r="DV90" s="553">
        <f t="shared" si="461"/>
        <v>12481.92</v>
      </c>
      <c r="DW90" s="553">
        <f t="shared" si="461"/>
        <v>12481.92</v>
      </c>
      <c r="DX90" s="553">
        <f t="shared" si="461"/>
        <v>12481.92</v>
      </c>
      <c r="DY90" s="553">
        <f t="shared" si="461"/>
        <v>12481.92</v>
      </c>
      <c r="DZ90" s="553">
        <f t="shared" si="461"/>
        <v>20257.919999999998</v>
      </c>
      <c r="EA90" s="553">
        <f t="shared" si="461"/>
        <v>20257.919999999998</v>
      </c>
      <c r="EB90" s="553">
        <f t="shared" si="461"/>
        <v>12481.92</v>
      </c>
      <c r="EC90" s="553">
        <f t="shared" si="461"/>
        <v>12481.92</v>
      </c>
      <c r="ED90" s="553">
        <f t="shared" si="461"/>
        <v>12481.92</v>
      </c>
      <c r="EE90" s="553">
        <f t="shared" si="461"/>
        <v>12481.92</v>
      </c>
      <c r="EF90" s="560">
        <f t="shared" si="461"/>
        <v>165335.04000000001</v>
      </c>
      <c r="EG90" s="565"/>
      <c r="EH90" s="553">
        <f t="shared" si="461"/>
        <v>15073.920000000002</v>
      </c>
      <c r="EI90" s="553">
        <f t="shared" si="461"/>
        <v>15073.920000000002</v>
      </c>
      <c r="EJ90" s="553">
        <f t="shared" ref="EJ90:ET90" si="465">EJ23+EJ58</f>
        <v>12481.92</v>
      </c>
      <c r="EK90" s="553">
        <f t="shared" si="465"/>
        <v>12481.92</v>
      </c>
      <c r="EL90" s="553">
        <f t="shared" si="465"/>
        <v>12481.92</v>
      </c>
      <c r="EM90" s="553">
        <f t="shared" si="465"/>
        <v>12481.92</v>
      </c>
      <c r="EN90" s="553">
        <f t="shared" si="465"/>
        <v>12481.92</v>
      </c>
      <c r="EO90" s="553">
        <f t="shared" si="465"/>
        <v>12481.92</v>
      </c>
      <c r="EP90" s="553">
        <f t="shared" si="465"/>
        <v>12481.92</v>
      </c>
      <c r="EQ90" s="553">
        <f t="shared" si="465"/>
        <v>12481.92</v>
      </c>
      <c r="ER90" s="553">
        <f t="shared" si="465"/>
        <v>12481.92</v>
      </c>
      <c r="ES90" s="553">
        <f t="shared" si="465"/>
        <v>12481.92</v>
      </c>
      <c r="ET90" s="560">
        <f t="shared" si="465"/>
        <v>154967.04000000004</v>
      </c>
      <c r="EU90" s="565"/>
    </row>
    <row r="91" spans="9:151" ht="10.5" customHeight="1" x14ac:dyDescent="0.35">
      <c r="I91" s="536"/>
      <c r="J91" s="531" t="s">
        <v>15</v>
      </c>
      <c r="K91" s="531" t="s">
        <v>1066</v>
      </c>
      <c r="L91" s="553">
        <f t="shared" ref="L91:BW91" si="466">L24+L59</f>
        <v>81</v>
      </c>
      <c r="M91" s="553">
        <f t="shared" si="466"/>
        <v>81</v>
      </c>
      <c r="N91" s="553">
        <f t="shared" si="466"/>
        <v>97.515000000000001</v>
      </c>
      <c r="O91" s="553">
        <f t="shared" si="466"/>
        <v>97.515000000000001</v>
      </c>
      <c r="P91" s="553">
        <f t="shared" si="466"/>
        <v>97.515000000000001</v>
      </c>
      <c r="Q91" s="553">
        <f t="shared" si="466"/>
        <v>97.515000000000001</v>
      </c>
      <c r="R91" s="553">
        <f t="shared" si="466"/>
        <v>97.515000000000001</v>
      </c>
      <c r="S91" s="553">
        <f t="shared" si="466"/>
        <v>97.515000000000001</v>
      </c>
      <c r="T91" s="553">
        <f t="shared" si="466"/>
        <v>97.515000000000001</v>
      </c>
      <c r="U91" s="553">
        <f t="shared" si="466"/>
        <v>97.515000000000001</v>
      </c>
      <c r="V91" s="553">
        <f t="shared" si="466"/>
        <v>97.515000000000001</v>
      </c>
      <c r="W91" s="553">
        <f t="shared" si="466"/>
        <v>97.515000000000001</v>
      </c>
      <c r="X91" s="560">
        <f t="shared" si="466"/>
        <v>1137.1500000000001</v>
      </c>
      <c r="Y91" s="565"/>
      <c r="Z91" s="553">
        <f t="shared" si="466"/>
        <v>340.51499999999999</v>
      </c>
      <c r="AA91" s="553">
        <f t="shared" si="466"/>
        <v>340.51499999999999</v>
      </c>
      <c r="AB91" s="553">
        <f t="shared" si="466"/>
        <v>390.06</v>
      </c>
      <c r="AC91" s="553">
        <f t="shared" si="466"/>
        <v>390.06</v>
      </c>
      <c r="AD91" s="553">
        <f t="shared" si="466"/>
        <v>390.06</v>
      </c>
      <c r="AE91" s="553">
        <f t="shared" si="466"/>
        <v>390.06</v>
      </c>
      <c r="AF91" s="553">
        <f t="shared" si="466"/>
        <v>471.06000000000006</v>
      </c>
      <c r="AG91" s="553">
        <f t="shared" si="466"/>
        <v>471.06000000000006</v>
      </c>
      <c r="AH91" s="553">
        <f t="shared" si="466"/>
        <v>390.06</v>
      </c>
      <c r="AI91" s="553">
        <f t="shared" si="466"/>
        <v>390.06</v>
      </c>
      <c r="AJ91" s="553">
        <f t="shared" si="466"/>
        <v>390.06</v>
      </c>
      <c r="AK91" s="553">
        <f t="shared" si="466"/>
        <v>390.06</v>
      </c>
      <c r="AL91" s="560">
        <f t="shared" si="466"/>
        <v>4743.630000000001</v>
      </c>
      <c r="AM91" s="565"/>
      <c r="AN91" s="553">
        <f t="shared" si="466"/>
        <v>390.06</v>
      </c>
      <c r="AO91" s="553">
        <f t="shared" si="466"/>
        <v>390.06</v>
      </c>
      <c r="AP91" s="553">
        <f t="shared" si="466"/>
        <v>390.06</v>
      </c>
      <c r="AQ91" s="553">
        <f t="shared" si="466"/>
        <v>390.06</v>
      </c>
      <c r="AR91" s="553">
        <f t="shared" si="466"/>
        <v>390.06</v>
      </c>
      <c r="AS91" s="553">
        <f t="shared" si="466"/>
        <v>390.06</v>
      </c>
      <c r="AT91" s="553">
        <f t="shared" si="466"/>
        <v>633.05999999999995</v>
      </c>
      <c r="AU91" s="553">
        <f t="shared" si="466"/>
        <v>633.05999999999995</v>
      </c>
      <c r="AV91" s="553">
        <f t="shared" si="466"/>
        <v>390.06</v>
      </c>
      <c r="AW91" s="553">
        <f t="shared" si="466"/>
        <v>390.06</v>
      </c>
      <c r="AX91" s="553">
        <f t="shared" si="466"/>
        <v>390.06</v>
      </c>
      <c r="AY91" s="553">
        <f t="shared" si="466"/>
        <v>390.06</v>
      </c>
      <c r="AZ91" s="560">
        <f t="shared" si="466"/>
        <v>5166.72</v>
      </c>
      <c r="BA91" s="565"/>
      <c r="BB91" s="553">
        <f t="shared" si="466"/>
        <v>471.06000000000006</v>
      </c>
      <c r="BC91" s="553">
        <f t="shared" si="466"/>
        <v>471.06000000000006</v>
      </c>
      <c r="BD91" s="553">
        <f t="shared" si="466"/>
        <v>390.06</v>
      </c>
      <c r="BE91" s="553">
        <f t="shared" si="466"/>
        <v>390.06</v>
      </c>
      <c r="BF91" s="553">
        <f t="shared" si="466"/>
        <v>390.06</v>
      </c>
      <c r="BG91" s="553">
        <f t="shared" si="466"/>
        <v>390.06</v>
      </c>
      <c r="BH91" s="553">
        <f t="shared" si="466"/>
        <v>390.06</v>
      </c>
      <c r="BI91" s="553">
        <f t="shared" si="466"/>
        <v>390.06</v>
      </c>
      <c r="BJ91" s="553">
        <f t="shared" si="466"/>
        <v>390.06</v>
      </c>
      <c r="BK91" s="553">
        <f t="shared" si="466"/>
        <v>390.06</v>
      </c>
      <c r="BL91" s="553">
        <f t="shared" si="466"/>
        <v>390.06</v>
      </c>
      <c r="BM91" s="553">
        <f t="shared" si="466"/>
        <v>390.06</v>
      </c>
      <c r="BN91" s="560">
        <f t="shared" si="466"/>
        <v>4842.7200000000012</v>
      </c>
      <c r="BO91" s="565"/>
      <c r="BP91" s="553">
        <f t="shared" si="466"/>
        <v>633.05999999999995</v>
      </c>
      <c r="BQ91" s="553">
        <f t="shared" si="466"/>
        <v>633.05999999999995</v>
      </c>
      <c r="BR91" s="553">
        <f t="shared" si="466"/>
        <v>390.06</v>
      </c>
      <c r="BS91" s="553">
        <f t="shared" si="466"/>
        <v>390.06</v>
      </c>
      <c r="BT91" s="553">
        <f t="shared" si="466"/>
        <v>390.06</v>
      </c>
      <c r="BU91" s="553">
        <f t="shared" si="466"/>
        <v>390.06</v>
      </c>
      <c r="BV91" s="553">
        <f t="shared" si="466"/>
        <v>471.06000000000006</v>
      </c>
      <c r="BW91" s="553">
        <f t="shared" si="466"/>
        <v>471.06000000000006</v>
      </c>
      <c r="BX91" s="553">
        <f t="shared" ref="BX91:EI91" si="467">BX24+BX59</f>
        <v>390.06</v>
      </c>
      <c r="BY91" s="553">
        <f t="shared" si="467"/>
        <v>390.06</v>
      </c>
      <c r="BZ91" s="553">
        <f t="shared" si="467"/>
        <v>390.06</v>
      </c>
      <c r="CA91" s="553">
        <f t="shared" si="467"/>
        <v>390.06</v>
      </c>
      <c r="CB91" s="560">
        <f t="shared" ref="CB91" si="468">CB24+CB59</f>
        <v>5328.7200000000012</v>
      </c>
      <c r="CC91" s="565"/>
      <c r="CD91" s="553">
        <f t="shared" si="467"/>
        <v>390.06</v>
      </c>
      <c r="CE91" s="553">
        <f t="shared" si="467"/>
        <v>390.06</v>
      </c>
      <c r="CF91" s="553">
        <f t="shared" si="467"/>
        <v>390.06</v>
      </c>
      <c r="CG91" s="553">
        <f t="shared" si="467"/>
        <v>390.06</v>
      </c>
      <c r="CH91" s="553">
        <f t="shared" si="467"/>
        <v>390.06</v>
      </c>
      <c r="CI91" s="553">
        <f t="shared" si="467"/>
        <v>390.06</v>
      </c>
      <c r="CJ91" s="553">
        <f t="shared" si="467"/>
        <v>633.05999999999995</v>
      </c>
      <c r="CK91" s="553">
        <f t="shared" si="467"/>
        <v>633.05999999999995</v>
      </c>
      <c r="CL91" s="553">
        <f t="shared" si="467"/>
        <v>390.06</v>
      </c>
      <c r="CM91" s="553">
        <f t="shared" si="467"/>
        <v>390.06</v>
      </c>
      <c r="CN91" s="553">
        <f t="shared" si="467"/>
        <v>390.06</v>
      </c>
      <c r="CO91" s="553">
        <f t="shared" si="467"/>
        <v>390.06</v>
      </c>
      <c r="CP91" s="560">
        <f t="shared" ref="CP91" si="469">CP24+CP59</f>
        <v>5166.72</v>
      </c>
      <c r="CQ91" s="565"/>
      <c r="CR91" s="553">
        <f t="shared" si="467"/>
        <v>471.06000000000006</v>
      </c>
      <c r="CS91" s="553">
        <f t="shared" si="467"/>
        <v>471.06000000000006</v>
      </c>
      <c r="CT91" s="553">
        <f t="shared" si="467"/>
        <v>390.06</v>
      </c>
      <c r="CU91" s="553">
        <f t="shared" si="467"/>
        <v>390.06</v>
      </c>
      <c r="CV91" s="553">
        <f t="shared" si="467"/>
        <v>390.06</v>
      </c>
      <c r="CW91" s="553">
        <f t="shared" si="467"/>
        <v>390.06</v>
      </c>
      <c r="CX91" s="553">
        <f t="shared" si="467"/>
        <v>390.06</v>
      </c>
      <c r="CY91" s="553">
        <f t="shared" si="467"/>
        <v>390.06</v>
      </c>
      <c r="CZ91" s="553">
        <f t="shared" si="467"/>
        <v>390.06</v>
      </c>
      <c r="DA91" s="553">
        <f t="shared" si="467"/>
        <v>390.06</v>
      </c>
      <c r="DB91" s="553">
        <f t="shared" si="467"/>
        <v>390.06</v>
      </c>
      <c r="DC91" s="553">
        <f t="shared" si="467"/>
        <v>390.06</v>
      </c>
      <c r="DD91" s="560">
        <f t="shared" ref="DD91" si="470">DD24+DD59</f>
        <v>4842.7200000000012</v>
      </c>
      <c r="DE91" s="565"/>
      <c r="DF91" s="553">
        <f t="shared" si="467"/>
        <v>633.05999999999995</v>
      </c>
      <c r="DG91" s="553">
        <f t="shared" si="467"/>
        <v>633.05999999999995</v>
      </c>
      <c r="DH91" s="553">
        <f t="shared" si="467"/>
        <v>390.06</v>
      </c>
      <c r="DI91" s="553">
        <f t="shared" si="467"/>
        <v>390.06</v>
      </c>
      <c r="DJ91" s="553">
        <f t="shared" si="467"/>
        <v>390.06</v>
      </c>
      <c r="DK91" s="553">
        <f t="shared" si="467"/>
        <v>390.06</v>
      </c>
      <c r="DL91" s="553">
        <f t="shared" si="467"/>
        <v>471.06000000000006</v>
      </c>
      <c r="DM91" s="553">
        <f t="shared" si="467"/>
        <v>471.06000000000006</v>
      </c>
      <c r="DN91" s="553">
        <f t="shared" si="467"/>
        <v>390.06</v>
      </c>
      <c r="DO91" s="553">
        <f t="shared" si="467"/>
        <v>390.06</v>
      </c>
      <c r="DP91" s="553">
        <f t="shared" si="467"/>
        <v>390.06</v>
      </c>
      <c r="DQ91" s="553">
        <f t="shared" si="467"/>
        <v>390.06</v>
      </c>
      <c r="DR91" s="560">
        <f t="shared" si="467"/>
        <v>5328.7200000000012</v>
      </c>
      <c r="DS91" s="565"/>
      <c r="DT91" s="553">
        <f t="shared" si="467"/>
        <v>390.06</v>
      </c>
      <c r="DU91" s="553">
        <f t="shared" si="467"/>
        <v>390.06</v>
      </c>
      <c r="DV91" s="553">
        <f t="shared" si="467"/>
        <v>390.06</v>
      </c>
      <c r="DW91" s="553">
        <f t="shared" si="467"/>
        <v>390.06</v>
      </c>
      <c r="DX91" s="553">
        <f t="shared" si="467"/>
        <v>390.06</v>
      </c>
      <c r="DY91" s="553">
        <f t="shared" si="467"/>
        <v>390.06</v>
      </c>
      <c r="DZ91" s="553">
        <f t="shared" si="467"/>
        <v>633.05999999999995</v>
      </c>
      <c r="EA91" s="553">
        <f t="shared" si="467"/>
        <v>633.05999999999995</v>
      </c>
      <c r="EB91" s="553">
        <f t="shared" si="467"/>
        <v>390.06</v>
      </c>
      <c r="EC91" s="553">
        <f t="shared" si="467"/>
        <v>390.06</v>
      </c>
      <c r="ED91" s="553">
        <f t="shared" si="467"/>
        <v>390.06</v>
      </c>
      <c r="EE91" s="553">
        <f t="shared" si="467"/>
        <v>390.06</v>
      </c>
      <c r="EF91" s="560">
        <f t="shared" si="467"/>
        <v>5166.72</v>
      </c>
      <c r="EG91" s="565"/>
      <c r="EH91" s="553">
        <f t="shared" si="467"/>
        <v>471.06000000000006</v>
      </c>
      <c r="EI91" s="553">
        <f t="shared" si="467"/>
        <v>471.06000000000006</v>
      </c>
      <c r="EJ91" s="553">
        <f t="shared" ref="EJ91:ET91" si="471">EJ24+EJ59</f>
        <v>390.06</v>
      </c>
      <c r="EK91" s="553">
        <f t="shared" si="471"/>
        <v>390.06</v>
      </c>
      <c r="EL91" s="553">
        <f t="shared" si="471"/>
        <v>390.06</v>
      </c>
      <c r="EM91" s="553">
        <f t="shared" si="471"/>
        <v>390.06</v>
      </c>
      <c r="EN91" s="553">
        <f t="shared" si="471"/>
        <v>390.06</v>
      </c>
      <c r="EO91" s="553">
        <f t="shared" si="471"/>
        <v>390.06</v>
      </c>
      <c r="EP91" s="553">
        <f t="shared" si="471"/>
        <v>390.06</v>
      </c>
      <c r="EQ91" s="553">
        <f t="shared" si="471"/>
        <v>390.06</v>
      </c>
      <c r="ER91" s="553">
        <f t="shared" si="471"/>
        <v>390.06</v>
      </c>
      <c r="ES91" s="553">
        <f t="shared" si="471"/>
        <v>390.06</v>
      </c>
      <c r="ET91" s="560">
        <f t="shared" si="471"/>
        <v>4842.7200000000012</v>
      </c>
      <c r="EU91" s="565"/>
    </row>
    <row r="92" spans="9:151" ht="10.5" customHeight="1" x14ac:dyDescent="0.35">
      <c r="I92" s="536"/>
      <c r="J92" s="531" t="s">
        <v>18</v>
      </c>
      <c r="K92" s="531" t="s">
        <v>1067</v>
      </c>
      <c r="L92" s="553">
        <f t="shared" ref="L92:BW92" si="472">L25+L60</f>
        <v>8.1</v>
      </c>
      <c r="M92" s="553">
        <f t="shared" si="472"/>
        <v>8.1</v>
      </c>
      <c r="N92" s="553">
        <f t="shared" si="472"/>
        <v>9.7515000000000001</v>
      </c>
      <c r="O92" s="553">
        <f t="shared" si="472"/>
        <v>9.7515000000000001</v>
      </c>
      <c r="P92" s="553">
        <f t="shared" si="472"/>
        <v>9.7515000000000001</v>
      </c>
      <c r="Q92" s="553">
        <f t="shared" si="472"/>
        <v>9.7515000000000001</v>
      </c>
      <c r="R92" s="553">
        <f t="shared" si="472"/>
        <v>9.7515000000000001</v>
      </c>
      <c r="S92" s="553">
        <f t="shared" si="472"/>
        <v>9.7515000000000001</v>
      </c>
      <c r="T92" s="553">
        <f t="shared" si="472"/>
        <v>9.7515000000000001</v>
      </c>
      <c r="U92" s="553">
        <f t="shared" si="472"/>
        <v>9.7515000000000001</v>
      </c>
      <c r="V92" s="553">
        <f t="shared" si="472"/>
        <v>9.7515000000000001</v>
      </c>
      <c r="W92" s="553">
        <f t="shared" si="472"/>
        <v>9.7515000000000001</v>
      </c>
      <c r="X92" s="560">
        <f t="shared" si="472"/>
        <v>113.71499999999997</v>
      </c>
      <c r="Y92" s="565"/>
      <c r="Z92" s="553">
        <f t="shared" si="472"/>
        <v>34.051500000000004</v>
      </c>
      <c r="AA92" s="553">
        <f t="shared" si="472"/>
        <v>34.051500000000004</v>
      </c>
      <c r="AB92" s="553">
        <f t="shared" si="472"/>
        <v>39.006</v>
      </c>
      <c r="AC92" s="553">
        <f t="shared" si="472"/>
        <v>39.006</v>
      </c>
      <c r="AD92" s="553">
        <f t="shared" si="472"/>
        <v>39.006</v>
      </c>
      <c r="AE92" s="553">
        <f t="shared" si="472"/>
        <v>39.006</v>
      </c>
      <c r="AF92" s="553">
        <f t="shared" si="472"/>
        <v>47.106000000000002</v>
      </c>
      <c r="AG92" s="553">
        <f t="shared" si="472"/>
        <v>47.106000000000002</v>
      </c>
      <c r="AH92" s="553">
        <f t="shared" si="472"/>
        <v>39.006</v>
      </c>
      <c r="AI92" s="553">
        <f t="shared" si="472"/>
        <v>39.006</v>
      </c>
      <c r="AJ92" s="553">
        <f t="shared" si="472"/>
        <v>39.006</v>
      </c>
      <c r="AK92" s="553">
        <f t="shared" si="472"/>
        <v>39.006</v>
      </c>
      <c r="AL92" s="560">
        <f t="shared" si="472"/>
        <v>474.36300000000006</v>
      </c>
      <c r="AM92" s="565"/>
      <c r="AN92" s="553">
        <f t="shared" si="472"/>
        <v>39.006</v>
      </c>
      <c r="AO92" s="553">
        <f t="shared" si="472"/>
        <v>39.006</v>
      </c>
      <c r="AP92" s="553">
        <f t="shared" si="472"/>
        <v>39.006</v>
      </c>
      <c r="AQ92" s="553">
        <f t="shared" si="472"/>
        <v>39.006</v>
      </c>
      <c r="AR92" s="553">
        <f t="shared" si="472"/>
        <v>39.006</v>
      </c>
      <c r="AS92" s="553">
        <f t="shared" si="472"/>
        <v>39.006</v>
      </c>
      <c r="AT92" s="553">
        <f t="shared" si="472"/>
        <v>63.306000000000004</v>
      </c>
      <c r="AU92" s="553">
        <f t="shared" si="472"/>
        <v>63.306000000000004</v>
      </c>
      <c r="AV92" s="553">
        <f t="shared" si="472"/>
        <v>39.006</v>
      </c>
      <c r="AW92" s="553">
        <f t="shared" si="472"/>
        <v>39.006</v>
      </c>
      <c r="AX92" s="553">
        <f t="shared" si="472"/>
        <v>39.006</v>
      </c>
      <c r="AY92" s="553">
        <f t="shared" si="472"/>
        <v>39.006</v>
      </c>
      <c r="AZ92" s="560">
        <f t="shared" si="472"/>
        <v>516.67200000000003</v>
      </c>
      <c r="BA92" s="565"/>
      <c r="BB92" s="553">
        <f t="shared" si="472"/>
        <v>47.106000000000002</v>
      </c>
      <c r="BC92" s="553">
        <f t="shared" si="472"/>
        <v>47.106000000000002</v>
      </c>
      <c r="BD92" s="553">
        <f t="shared" si="472"/>
        <v>39.006</v>
      </c>
      <c r="BE92" s="553">
        <f t="shared" si="472"/>
        <v>39.006</v>
      </c>
      <c r="BF92" s="553">
        <f t="shared" si="472"/>
        <v>39.006</v>
      </c>
      <c r="BG92" s="553">
        <f t="shared" si="472"/>
        <v>39.006</v>
      </c>
      <c r="BH92" s="553">
        <f t="shared" si="472"/>
        <v>39.006</v>
      </c>
      <c r="BI92" s="553">
        <f t="shared" si="472"/>
        <v>39.006</v>
      </c>
      <c r="BJ92" s="553">
        <f t="shared" si="472"/>
        <v>39.006</v>
      </c>
      <c r="BK92" s="553">
        <f t="shared" si="472"/>
        <v>39.006</v>
      </c>
      <c r="BL92" s="553">
        <f t="shared" si="472"/>
        <v>39.006</v>
      </c>
      <c r="BM92" s="553">
        <f t="shared" si="472"/>
        <v>39.006</v>
      </c>
      <c r="BN92" s="560">
        <f t="shared" si="472"/>
        <v>484.27199999999999</v>
      </c>
      <c r="BO92" s="565"/>
      <c r="BP92" s="553">
        <f t="shared" si="472"/>
        <v>63.306000000000004</v>
      </c>
      <c r="BQ92" s="553">
        <f t="shared" si="472"/>
        <v>63.306000000000004</v>
      </c>
      <c r="BR92" s="553">
        <f t="shared" si="472"/>
        <v>39.006</v>
      </c>
      <c r="BS92" s="553">
        <f t="shared" si="472"/>
        <v>39.006</v>
      </c>
      <c r="BT92" s="553">
        <f t="shared" si="472"/>
        <v>39.006</v>
      </c>
      <c r="BU92" s="553">
        <f t="shared" si="472"/>
        <v>39.006</v>
      </c>
      <c r="BV92" s="553">
        <f t="shared" si="472"/>
        <v>47.106000000000002</v>
      </c>
      <c r="BW92" s="553">
        <f t="shared" si="472"/>
        <v>47.106000000000002</v>
      </c>
      <c r="BX92" s="553">
        <f t="shared" ref="BX92:EI92" si="473">BX25+BX60</f>
        <v>39.006</v>
      </c>
      <c r="BY92" s="553">
        <f t="shared" si="473"/>
        <v>39.006</v>
      </c>
      <c r="BZ92" s="553">
        <f t="shared" si="473"/>
        <v>39.006</v>
      </c>
      <c r="CA92" s="553">
        <f t="shared" si="473"/>
        <v>39.006</v>
      </c>
      <c r="CB92" s="560">
        <f t="shared" ref="CB92" si="474">CB25+CB60</f>
        <v>532.87200000000007</v>
      </c>
      <c r="CC92" s="565"/>
      <c r="CD92" s="553">
        <f t="shared" si="473"/>
        <v>39.006</v>
      </c>
      <c r="CE92" s="553">
        <f t="shared" si="473"/>
        <v>39.006</v>
      </c>
      <c r="CF92" s="553">
        <f t="shared" si="473"/>
        <v>39.006</v>
      </c>
      <c r="CG92" s="553">
        <f t="shared" si="473"/>
        <v>39.006</v>
      </c>
      <c r="CH92" s="553">
        <f t="shared" si="473"/>
        <v>39.006</v>
      </c>
      <c r="CI92" s="553">
        <f t="shared" si="473"/>
        <v>39.006</v>
      </c>
      <c r="CJ92" s="553">
        <f t="shared" si="473"/>
        <v>63.306000000000004</v>
      </c>
      <c r="CK92" s="553">
        <f t="shared" si="473"/>
        <v>63.306000000000004</v>
      </c>
      <c r="CL92" s="553">
        <f t="shared" si="473"/>
        <v>39.006</v>
      </c>
      <c r="CM92" s="553">
        <f t="shared" si="473"/>
        <v>39.006</v>
      </c>
      <c r="CN92" s="553">
        <f t="shared" si="473"/>
        <v>39.006</v>
      </c>
      <c r="CO92" s="553">
        <f t="shared" si="473"/>
        <v>39.006</v>
      </c>
      <c r="CP92" s="560">
        <f t="shared" ref="CP92" si="475">CP25+CP60</f>
        <v>516.67200000000003</v>
      </c>
      <c r="CQ92" s="565"/>
      <c r="CR92" s="553">
        <f t="shared" si="473"/>
        <v>47.106000000000002</v>
      </c>
      <c r="CS92" s="553">
        <f t="shared" si="473"/>
        <v>47.106000000000002</v>
      </c>
      <c r="CT92" s="553">
        <f t="shared" si="473"/>
        <v>39.006</v>
      </c>
      <c r="CU92" s="553">
        <f t="shared" si="473"/>
        <v>39.006</v>
      </c>
      <c r="CV92" s="553">
        <f t="shared" si="473"/>
        <v>39.006</v>
      </c>
      <c r="CW92" s="553">
        <f t="shared" si="473"/>
        <v>39.006</v>
      </c>
      <c r="CX92" s="553">
        <f t="shared" si="473"/>
        <v>39.006</v>
      </c>
      <c r="CY92" s="553">
        <f t="shared" si="473"/>
        <v>39.006</v>
      </c>
      <c r="CZ92" s="553">
        <f t="shared" si="473"/>
        <v>39.006</v>
      </c>
      <c r="DA92" s="553">
        <f t="shared" si="473"/>
        <v>39.006</v>
      </c>
      <c r="DB92" s="553">
        <f t="shared" si="473"/>
        <v>39.006</v>
      </c>
      <c r="DC92" s="553">
        <f t="shared" si="473"/>
        <v>39.006</v>
      </c>
      <c r="DD92" s="560">
        <f t="shared" ref="DD92" si="476">DD25+DD60</f>
        <v>484.27199999999999</v>
      </c>
      <c r="DE92" s="565"/>
      <c r="DF92" s="553">
        <f t="shared" si="473"/>
        <v>63.306000000000004</v>
      </c>
      <c r="DG92" s="553">
        <f t="shared" si="473"/>
        <v>63.306000000000004</v>
      </c>
      <c r="DH92" s="553">
        <f t="shared" si="473"/>
        <v>39.006</v>
      </c>
      <c r="DI92" s="553">
        <f t="shared" si="473"/>
        <v>39.006</v>
      </c>
      <c r="DJ92" s="553">
        <f t="shared" si="473"/>
        <v>39.006</v>
      </c>
      <c r="DK92" s="553">
        <f t="shared" si="473"/>
        <v>39.006</v>
      </c>
      <c r="DL92" s="553">
        <f t="shared" si="473"/>
        <v>47.106000000000002</v>
      </c>
      <c r="DM92" s="553">
        <f t="shared" si="473"/>
        <v>47.106000000000002</v>
      </c>
      <c r="DN92" s="553">
        <f t="shared" si="473"/>
        <v>39.006</v>
      </c>
      <c r="DO92" s="553">
        <f t="shared" si="473"/>
        <v>39.006</v>
      </c>
      <c r="DP92" s="553">
        <f t="shared" si="473"/>
        <v>39.006</v>
      </c>
      <c r="DQ92" s="553">
        <f t="shared" si="473"/>
        <v>39.006</v>
      </c>
      <c r="DR92" s="560">
        <f t="shared" si="473"/>
        <v>532.87200000000007</v>
      </c>
      <c r="DS92" s="565"/>
      <c r="DT92" s="553">
        <f t="shared" si="473"/>
        <v>39.006</v>
      </c>
      <c r="DU92" s="553">
        <f t="shared" si="473"/>
        <v>39.006</v>
      </c>
      <c r="DV92" s="553">
        <f t="shared" si="473"/>
        <v>39.006</v>
      </c>
      <c r="DW92" s="553">
        <f t="shared" si="473"/>
        <v>39.006</v>
      </c>
      <c r="DX92" s="553">
        <f t="shared" si="473"/>
        <v>39.006</v>
      </c>
      <c r="DY92" s="553">
        <f t="shared" si="473"/>
        <v>39.006</v>
      </c>
      <c r="DZ92" s="553">
        <f t="shared" si="473"/>
        <v>63.306000000000004</v>
      </c>
      <c r="EA92" s="553">
        <f t="shared" si="473"/>
        <v>63.306000000000004</v>
      </c>
      <c r="EB92" s="553">
        <f t="shared" si="473"/>
        <v>39.006</v>
      </c>
      <c r="EC92" s="553">
        <f t="shared" si="473"/>
        <v>39.006</v>
      </c>
      <c r="ED92" s="553">
        <f t="shared" si="473"/>
        <v>39.006</v>
      </c>
      <c r="EE92" s="553">
        <f t="shared" si="473"/>
        <v>39.006</v>
      </c>
      <c r="EF92" s="560">
        <f t="shared" si="473"/>
        <v>516.67200000000003</v>
      </c>
      <c r="EG92" s="565"/>
      <c r="EH92" s="553">
        <f t="shared" si="473"/>
        <v>47.106000000000002</v>
      </c>
      <c r="EI92" s="553">
        <f t="shared" si="473"/>
        <v>47.106000000000002</v>
      </c>
      <c r="EJ92" s="553">
        <f t="shared" ref="EJ92:ET92" si="477">EJ25+EJ60</f>
        <v>39.006</v>
      </c>
      <c r="EK92" s="553">
        <f t="shared" si="477"/>
        <v>39.006</v>
      </c>
      <c r="EL92" s="553">
        <f t="shared" si="477"/>
        <v>39.006</v>
      </c>
      <c r="EM92" s="553">
        <f t="shared" si="477"/>
        <v>39.006</v>
      </c>
      <c r="EN92" s="553">
        <f t="shared" si="477"/>
        <v>39.006</v>
      </c>
      <c r="EO92" s="553">
        <f t="shared" si="477"/>
        <v>39.006</v>
      </c>
      <c r="EP92" s="553">
        <f t="shared" si="477"/>
        <v>39.006</v>
      </c>
      <c r="EQ92" s="553">
        <f t="shared" si="477"/>
        <v>39.006</v>
      </c>
      <c r="ER92" s="553">
        <f t="shared" si="477"/>
        <v>39.006</v>
      </c>
      <c r="ES92" s="553">
        <f t="shared" si="477"/>
        <v>39.006</v>
      </c>
      <c r="ET92" s="560">
        <f t="shared" si="477"/>
        <v>484.27199999999999</v>
      </c>
      <c r="EU92" s="565"/>
    </row>
    <row r="93" spans="9:151" ht="10.5" customHeight="1" x14ac:dyDescent="0.35">
      <c r="I93" s="536"/>
      <c r="J93" s="531" t="s">
        <v>510</v>
      </c>
      <c r="K93" s="531" t="s">
        <v>1068</v>
      </c>
      <c r="L93" s="553">
        <f t="shared" ref="L93:BW93" si="478">L26+L61</f>
        <v>1.62</v>
      </c>
      <c r="M93" s="553">
        <f t="shared" si="478"/>
        <v>1.62</v>
      </c>
      <c r="N93" s="553">
        <f t="shared" si="478"/>
        <v>1.9503000000000001</v>
      </c>
      <c r="O93" s="553">
        <f t="shared" si="478"/>
        <v>1.9503000000000001</v>
      </c>
      <c r="P93" s="553">
        <f t="shared" si="478"/>
        <v>1.9503000000000001</v>
      </c>
      <c r="Q93" s="553">
        <f t="shared" si="478"/>
        <v>1.9503000000000001</v>
      </c>
      <c r="R93" s="553">
        <f t="shared" si="478"/>
        <v>1.9503000000000001</v>
      </c>
      <c r="S93" s="553">
        <f t="shared" si="478"/>
        <v>1.9503000000000001</v>
      </c>
      <c r="T93" s="553">
        <f t="shared" si="478"/>
        <v>1.9503000000000001</v>
      </c>
      <c r="U93" s="553">
        <f t="shared" si="478"/>
        <v>1.9503000000000001</v>
      </c>
      <c r="V93" s="553">
        <f t="shared" si="478"/>
        <v>1.9503000000000001</v>
      </c>
      <c r="W93" s="553">
        <f t="shared" si="478"/>
        <v>1.9503000000000001</v>
      </c>
      <c r="X93" s="560">
        <f t="shared" si="478"/>
        <v>22.742999999999999</v>
      </c>
      <c r="Y93" s="565"/>
      <c r="Z93" s="553">
        <f t="shared" si="478"/>
        <v>6.8103000000000007</v>
      </c>
      <c r="AA93" s="553">
        <f t="shared" si="478"/>
        <v>6.8103000000000007</v>
      </c>
      <c r="AB93" s="553">
        <f t="shared" si="478"/>
        <v>7.8012000000000006</v>
      </c>
      <c r="AC93" s="553">
        <f t="shared" si="478"/>
        <v>7.8012000000000006</v>
      </c>
      <c r="AD93" s="553">
        <f t="shared" si="478"/>
        <v>7.8012000000000006</v>
      </c>
      <c r="AE93" s="553">
        <f t="shared" si="478"/>
        <v>7.8012000000000006</v>
      </c>
      <c r="AF93" s="553">
        <f t="shared" si="478"/>
        <v>9.4212000000000007</v>
      </c>
      <c r="AG93" s="553">
        <f t="shared" si="478"/>
        <v>9.4212000000000007</v>
      </c>
      <c r="AH93" s="553">
        <f t="shared" si="478"/>
        <v>7.8012000000000006</v>
      </c>
      <c r="AI93" s="553">
        <f t="shared" si="478"/>
        <v>7.8012000000000006</v>
      </c>
      <c r="AJ93" s="553">
        <f t="shared" si="478"/>
        <v>7.8012000000000006</v>
      </c>
      <c r="AK93" s="553">
        <f t="shared" si="478"/>
        <v>7.8012000000000006</v>
      </c>
      <c r="AL93" s="560">
        <f t="shared" si="478"/>
        <v>94.872600000000006</v>
      </c>
      <c r="AM93" s="565"/>
      <c r="AN93" s="553">
        <f t="shared" si="478"/>
        <v>7.8012000000000006</v>
      </c>
      <c r="AO93" s="553">
        <f t="shared" si="478"/>
        <v>7.8012000000000006</v>
      </c>
      <c r="AP93" s="553">
        <f t="shared" si="478"/>
        <v>7.8012000000000006</v>
      </c>
      <c r="AQ93" s="553">
        <f t="shared" si="478"/>
        <v>7.8012000000000006</v>
      </c>
      <c r="AR93" s="553">
        <f t="shared" si="478"/>
        <v>7.8012000000000006</v>
      </c>
      <c r="AS93" s="553">
        <f t="shared" si="478"/>
        <v>7.8012000000000006</v>
      </c>
      <c r="AT93" s="553">
        <f t="shared" si="478"/>
        <v>12.661200000000001</v>
      </c>
      <c r="AU93" s="553">
        <f t="shared" si="478"/>
        <v>12.661200000000001</v>
      </c>
      <c r="AV93" s="553">
        <f t="shared" si="478"/>
        <v>7.8012000000000006</v>
      </c>
      <c r="AW93" s="553">
        <f t="shared" si="478"/>
        <v>7.8012000000000006</v>
      </c>
      <c r="AX93" s="553">
        <f t="shared" si="478"/>
        <v>7.8012000000000006</v>
      </c>
      <c r="AY93" s="553">
        <f t="shared" si="478"/>
        <v>7.8012000000000006</v>
      </c>
      <c r="AZ93" s="560">
        <f t="shared" si="478"/>
        <v>103.3344</v>
      </c>
      <c r="BA93" s="565"/>
      <c r="BB93" s="553">
        <f t="shared" si="478"/>
        <v>9.4212000000000007</v>
      </c>
      <c r="BC93" s="553">
        <f t="shared" si="478"/>
        <v>9.4212000000000007</v>
      </c>
      <c r="BD93" s="553">
        <f t="shared" si="478"/>
        <v>7.8012000000000006</v>
      </c>
      <c r="BE93" s="553">
        <f t="shared" si="478"/>
        <v>7.8012000000000006</v>
      </c>
      <c r="BF93" s="553">
        <f t="shared" si="478"/>
        <v>7.8012000000000006</v>
      </c>
      <c r="BG93" s="553">
        <f t="shared" si="478"/>
        <v>7.8012000000000006</v>
      </c>
      <c r="BH93" s="553">
        <f t="shared" si="478"/>
        <v>7.8012000000000006</v>
      </c>
      <c r="BI93" s="553">
        <f t="shared" si="478"/>
        <v>7.8012000000000006</v>
      </c>
      <c r="BJ93" s="553">
        <f t="shared" si="478"/>
        <v>7.8012000000000006</v>
      </c>
      <c r="BK93" s="553">
        <f t="shared" si="478"/>
        <v>7.8012000000000006</v>
      </c>
      <c r="BL93" s="553">
        <f t="shared" si="478"/>
        <v>7.8012000000000006</v>
      </c>
      <c r="BM93" s="553">
        <f t="shared" si="478"/>
        <v>7.8012000000000006</v>
      </c>
      <c r="BN93" s="560">
        <f t="shared" si="478"/>
        <v>96.854399999999998</v>
      </c>
      <c r="BO93" s="565"/>
      <c r="BP93" s="553">
        <f t="shared" si="478"/>
        <v>12.661200000000001</v>
      </c>
      <c r="BQ93" s="553">
        <f t="shared" si="478"/>
        <v>12.661200000000001</v>
      </c>
      <c r="BR93" s="553">
        <f t="shared" si="478"/>
        <v>7.8012000000000006</v>
      </c>
      <c r="BS93" s="553">
        <f t="shared" si="478"/>
        <v>7.8012000000000006</v>
      </c>
      <c r="BT93" s="553">
        <f t="shared" si="478"/>
        <v>7.8012000000000006</v>
      </c>
      <c r="BU93" s="553">
        <f t="shared" si="478"/>
        <v>7.8012000000000006</v>
      </c>
      <c r="BV93" s="553">
        <f t="shared" si="478"/>
        <v>9.4212000000000007</v>
      </c>
      <c r="BW93" s="553">
        <f t="shared" si="478"/>
        <v>9.4212000000000007</v>
      </c>
      <c r="BX93" s="553">
        <f t="shared" ref="BX93:EI93" si="479">BX26+BX61</f>
        <v>7.8012000000000006</v>
      </c>
      <c r="BY93" s="553">
        <f t="shared" si="479"/>
        <v>7.8012000000000006</v>
      </c>
      <c r="BZ93" s="553">
        <f t="shared" si="479"/>
        <v>7.8012000000000006</v>
      </c>
      <c r="CA93" s="553">
        <f t="shared" si="479"/>
        <v>7.8012000000000006</v>
      </c>
      <c r="CB93" s="560">
        <f t="shared" ref="CB93" si="480">CB26+CB61</f>
        <v>106.5744</v>
      </c>
      <c r="CC93" s="565"/>
      <c r="CD93" s="553">
        <f t="shared" si="479"/>
        <v>7.8012000000000006</v>
      </c>
      <c r="CE93" s="553">
        <f t="shared" si="479"/>
        <v>7.8012000000000006</v>
      </c>
      <c r="CF93" s="553">
        <f t="shared" si="479"/>
        <v>7.8012000000000006</v>
      </c>
      <c r="CG93" s="553">
        <f t="shared" si="479"/>
        <v>7.8012000000000006</v>
      </c>
      <c r="CH93" s="553">
        <f t="shared" si="479"/>
        <v>7.8012000000000006</v>
      </c>
      <c r="CI93" s="553">
        <f t="shared" si="479"/>
        <v>7.8012000000000006</v>
      </c>
      <c r="CJ93" s="553">
        <f t="shared" si="479"/>
        <v>12.661200000000001</v>
      </c>
      <c r="CK93" s="553">
        <f t="shared" si="479"/>
        <v>12.661200000000001</v>
      </c>
      <c r="CL93" s="553">
        <f t="shared" si="479"/>
        <v>7.8012000000000006</v>
      </c>
      <c r="CM93" s="553">
        <f t="shared" si="479"/>
        <v>7.8012000000000006</v>
      </c>
      <c r="CN93" s="553">
        <f t="shared" si="479"/>
        <v>7.8012000000000006</v>
      </c>
      <c r="CO93" s="553">
        <f t="shared" si="479"/>
        <v>7.8012000000000006</v>
      </c>
      <c r="CP93" s="560">
        <f t="shared" ref="CP93" si="481">CP26+CP61</f>
        <v>103.3344</v>
      </c>
      <c r="CQ93" s="565"/>
      <c r="CR93" s="553">
        <f t="shared" si="479"/>
        <v>9.4212000000000007</v>
      </c>
      <c r="CS93" s="553">
        <f t="shared" si="479"/>
        <v>9.4212000000000007</v>
      </c>
      <c r="CT93" s="553">
        <f t="shared" si="479"/>
        <v>7.8012000000000006</v>
      </c>
      <c r="CU93" s="553">
        <f t="shared" si="479"/>
        <v>7.8012000000000006</v>
      </c>
      <c r="CV93" s="553">
        <f t="shared" si="479"/>
        <v>7.8012000000000006</v>
      </c>
      <c r="CW93" s="553">
        <f t="shared" si="479"/>
        <v>7.8012000000000006</v>
      </c>
      <c r="CX93" s="553">
        <f t="shared" si="479"/>
        <v>7.8012000000000006</v>
      </c>
      <c r="CY93" s="553">
        <f t="shared" si="479"/>
        <v>7.8012000000000006</v>
      </c>
      <c r="CZ93" s="553">
        <f t="shared" si="479"/>
        <v>7.8012000000000006</v>
      </c>
      <c r="DA93" s="553">
        <f t="shared" si="479"/>
        <v>7.8012000000000006</v>
      </c>
      <c r="DB93" s="553">
        <f t="shared" si="479"/>
        <v>7.8012000000000006</v>
      </c>
      <c r="DC93" s="553">
        <f t="shared" si="479"/>
        <v>7.8012000000000006</v>
      </c>
      <c r="DD93" s="560">
        <f t="shared" ref="DD93" si="482">DD26+DD61</f>
        <v>96.854399999999998</v>
      </c>
      <c r="DE93" s="565"/>
      <c r="DF93" s="553">
        <f t="shared" si="479"/>
        <v>12.661200000000001</v>
      </c>
      <c r="DG93" s="553">
        <f t="shared" si="479"/>
        <v>12.661200000000001</v>
      </c>
      <c r="DH93" s="553">
        <f t="shared" si="479"/>
        <v>7.8012000000000006</v>
      </c>
      <c r="DI93" s="553">
        <f t="shared" si="479"/>
        <v>7.8012000000000006</v>
      </c>
      <c r="DJ93" s="553">
        <f t="shared" si="479"/>
        <v>7.8012000000000006</v>
      </c>
      <c r="DK93" s="553">
        <f t="shared" si="479"/>
        <v>7.8012000000000006</v>
      </c>
      <c r="DL93" s="553">
        <f t="shared" si="479"/>
        <v>9.4212000000000007</v>
      </c>
      <c r="DM93" s="553">
        <f t="shared" si="479"/>
        <v>9.4212000000000007</v>
      </c>
      <c r="DN93" s="553">
        <f t="shared" si="479"/>
        <v>7.8012000000000006</v>
      </c>
      <c r="DO93" s="553">
        <f t="shared" si="479"/>
        <v>7.8012000000000006</v>
      </c>
      <c r="DP93" s="553">
        <f t="shared" si="479"/>
        <v>7.8012000000000006</v>
      </c>
      <c r="DQ93" s="553">
        <f t="shared" si="479"/>
        <v>7.8012000000000006</v>
      </c>
      <c r="DR93" s="560">
        <f t="shared" si="479"/>
        <v>106.5744</v>
      </c>
      <c r="DS93" s="565"/>
      <c r="DT93" s="553">
        <f t="shared" si="479"/>
        <v>7.8012000000000006</v>
      </c>
      <c r="DU93" s="553">
        <f t="shared" si="479"/>
        <v>7.8012000000000006</v>
      </c>
      <c r="DV93" s="553">
        <f t="shared" si="479"/>
        <v>7.8012000000000006</v>
      </c>
      <c r="DW93" s="553">
        <f t="shared" si="479"/>
        <v>7.8012000000000006</v>
      </c>
      <c r="DX93" s="553">
        <f t="shared" si="479"/>
        <v>7.8012000000000006</v>
      </c>
      <c r="DY93" s="553">
        <f t="shared" si="479"/>
        <v>7.8012000000000006</v>
      </c>
      <c r="DZ93" s="553">
        <f t="shared" si="479"/>
        <v>12.661200000000001</v>
      </c>
      <c r="EA93" s="553">
        <f t="shared" si="479"/>
        <v>12.661200000000001</v>
      </c>
      <c r="EB93" s="553">
        <f t="shared" si="479"/>
        <v>7.8012000000000006</v>
      </c>
      <c r="EC93" s="553">
        <f t="shared" si="479"/>
        <v>7.8012000000000006</v>
      </c>
      <c r="ED93" s="553">
        <f t="shared" si="479"/>
        <v>7.8012000000000006</v>
      </c>
      <c r="EE93" s="553">
        <f t="shared" si="479"/>
        <v>7.8012000000000006</v>
      </c>
      <c r="EF93" s="560">
        <f t="shared" si="479"/>
        <v>103.3344</v>
      </c>
      <c r="EG93" s="565"/>
      <c r="EH93" s="553">
        <f t="shared" si="479"/>
        <v>9.4212000000000007</v>
      </c>
      <c r="EI93" s="553">
        <f t="shared" si="479"/>
        <v>9.4212000000000007</v>
      </c>
      <c r="EJ93" s="553">
        <f t="shared" ref="EJ93:ET93" si="483">EJ26+EJ61</f>
        <v>7.8012000000000006</v>
      </c>
      <c r="EK93" s="553">
        <f t="shared" si="483"/>
        <v>7.8012000000000006</v>
      </c>
      <c r="EL93" s="553">
        <f t="shared" si="483"/>
        <v>7.8012000000000006</v>
      </c>
      <c r="EM93" s="553">
        <f t="shared" si="483"/>
        <v>7.8012000000000006</v>
      </c>
      <c r="EN93" s="553">
        <f t="shared" si="483"/>
        <v>7.8012000000000006</v>
      </c>
      <c r="EO93" s="553">
        <f t="shared" si="483"/>
        <v>7.8012000000000006</v>
      </c>
      <c r="EP93" s="553">
        <f t="shared" si="483"/>
        <v>7.8012000000000006</v>
      </c>
      <c r="EQ93" s="553">
        <f t="shared" si="483"/>
        <v>7.8012000000000006</v>
      </c>
      <c r="ER93" s="553">
        <f t="shared" si="483"/>
        <v>7.8012000000000006</v>
      </c>
      <c r="ES93" s="553">
        <f t="shared" si="483"/>
        <v>7.8012000000000006</v>
      </c>
      <c r="ET93" s="560">
        <f t="shared" si="483"/>
        <v>96.854399999999998</v>
      </c>
      <c r="EU93" s="565"/>
    </row>
    <row r="94" spans="9:151" ht="10.5" customHeight="1" x14ac:dyDescent="0.35">
      <c r="I94" s="536"/>
      <c r="J94" s="531" t="s">
        <v>511</v>
      </c>
      <c r="K94" s="531" t="s">
        <v>1069</v>
      </c>
      <c r="L94" s="553">
        <f t="shared" ref="L94:BW94" si="484">L27+L62</f>
        <v>4.05</v>
      </c>
      <c r="M94" s="553">
        <f t="shared" si="484"/>
        <v>4.05</v>
      </c>
      <c r="N94" s="553">
        <f t="shared" si="484"/>
        <v>4.87575</v>
      </c>
      <c r="O94" s="553">
        <f t="shared" si="484"/>
        <v>4.87575</v>
      </c>
      <c r="P94" s="553">
        <f t="shared" si="484"/>
        <v>4.87575</v>
      </c>
      <c r="Q94" s="553">
        <f t="shared" si="484"/>
        <v>4.87575</v>
      </c>
      <c r="R94" s="553">
        <f t="shared" si="484"/>
        <v>4.87575</v>
      </c>
      <c r="S94" s="553">
        <f t="shared" si="484"/>
        <v>4.87575</v>
      </c>
      <c r="T94" s="553">
        <f t="shared" si="484"/>
        <v>4.87575</v>
      </c>
      <c r="U94" s="553">
        <f t="shared" si="484"/>
        <v>4.87575</v>
      </c>
      <c r="V94" s="553">
        <f t="shared" si="484"/>
        <v>4.87575</v>
      </c>
      <c r="W94" s="553">
        <f t="shared" si="484"/>
        <v>4.87575</v>
      </c>
      <c r="X94" s="560">
        <f t="shared" si="484"/>
        <v>56.857499999999987</v>
      </c>
      <c r="Y94" s="565"/>
      <c r="Z94" s="553">
        <f t="shared" si="484"/>
        <v>17.025750000000002</v>
      </c>
      <c r="AA94" s="553">
        <f t="shared" si="484"/>
        <v>17.025750000000002</v>
      </c>
      <c r="AB94" s="553">
        <f t="shared" si="484"/>
        <v>19.503</v>
      </c>
      <c r="AC94" s="553">
        <f t="shared" si="484"/>
        <v>19.503</v>
      </c>
      <c r="AD94" s="553">
        <f t="shared" si="484"/>
        <v>19.503</v>
      </c>
      <c r="AE94" s="553">
        <f t="shared" si="484"/>
        <v>19.503</v>
      </c>
      <c r="AF94" s="553">
        <f t="shared" si="484"/>
        <v>23.553000000000001</v>
      </c>
      <c r="AG94" s="553">
        <f t="shared" si="484"/>
        <v>23.553000000000001</v>
      </c>
      <c r="AH94" s="553">
        <f t="shared" si="484"/>
        <v>19.503</v>
      </c>
      <c r="AI94" s="553">
        <f t="shared" si="484"/>
        <v>19.503</v>
      </c>
      <c r="AJ94" s="553">
        <f t="shared" si="484"/>
        <v>19.503</v>
      </c>
      <c r="AK94" s="553">
        <f t="shared" si="484"/>
        <v>19.503</v>
      </c>
      <c r="AL94" s="560">
        <f t="shared" si="484"/>
        <v>237.18150000000003</v>
      </c>
      <c r="AM94" s="565"/>
      <c r="AN94" s="553">
        <f t="shared" si="484"/>
        <v>19.503</v>
      </c>
      <c r="AO94" s="553">
        <f t="shared" si="484"/>
        <v>19.503</v>
      </c>
      <c r="AP94" s="553">
        <f t="shared" si="484"/>
        <v>19.503</v>
      </c>
      <c r="AQ94" s="553">
        <f t="shared" si="484"/>
        <v>19.503</v>
      </c>
      <c r="AR94" s="553">
        <f t="shared" si="484"/>
        <v>19.503</v>
      </c>
      <c r="AS94" s="553">
        <f t="shared" si="484"/>
        <v>19.503</v>
      </c>
      <c r="AT94" s="553">
        <f t="shared" si="484"/>
        <v>31.653000000000002</v>
      </c>
      <c r="AU94" s="553">
        <f t="shared" si="484"/>
        <v>31.653000000000002</v>
      </c>
      <c r="AV94" s="553">
        <f t="shared" si="484"/>
        <v>19.503</v>
      </c>
      <c r="AW94" s="553">
        <f t="shared" si="484"/>
        <v>19.503</v>
      </c>
      <c r="AX94" s="553">
        <f t="shared" si="484"/>
        <v>19.503</v>
      </c>
      <c r="AY94" s="553">
        <f t="shared" si="484"/>
        <v>19.503</v>
      </c>
      <c r="AZ94" s="560">
        <f t="shared" si="484"/>
        <v>258.33600000000001</v>
      </c>
      <c r="BA94" s="565"/>
      <c r="BB94" s="553">
        <f t="shared" si="484"/>
        <v>23.553000000000001</v>
      </c>
      <c r="BC94" s="553">
        <f t="shared" si="484"/>
        <v>23.553000000000001</v>
      </c>
      <c r="BD94" s="553">
        <f t="shared" si="484"/>
        <v>19.503</v>
      </c>
      <c r="BE94" s="553">
        <f t="shared" si="484"/>
        <v>19.503</v>
      </c>
      <c r="BF94" s="553">
        <f t="shared" si="484"/>
        <v>19.503</v>
      </c>
      <c r="BG94" s="553">
        <f t="shared" si="484"/>
        <v>19.503</v>
      </c>
      <c r="BH94" s="553">
        <f t="shared" si="484"/>
        <v>19.503</v>
      </c>
      <c r="BI94" s="553">
        <f t="shared" si="484"/>
        <v>19.503</v>
      </c>
      <c r="BJ94" s="553">
        <f t="shared" si="484"/>
        <v>19.503</v>
      </c>
      <c r="BK94" s="553">
        <f t="shared" si="484"/>
        <v>19.503</v>
      </c>
      <c r="BL94" s="553">
        <f t="shared" si="484"/>
        <v>19.503</v>
      </c>
      <c r="BM94" s="553">
        <f t="shared" si="484"/>
        <v>19.503</v>
      </c>
      <c r="BN94" s="560">
        <f t="shared" si="484"/>
        <v>242.136</v>
      </c>
      <c r="BO94" s="565"/>
      <c r="BP94" s="553">
        <f t="shared" si="484"/>
        <v>31.653000000000002</v>
      </c>
      <c r="BQ94" s="553">
        <f t="shared" si="484"/>
        <v>31.653000000000002</v>
      </c>
      <c r="BR94" s="553">
        <f t="shared" si="484"/>
        <v>19.503</v>
      </c>
      <c r="BS94" s="553">
        <f t="shared" si="484"/>
        <v>19.503</v>
      </c>
      <c r="BT94" s="553">
        <f t="shared" si="484"/>
        <v>19.503</v>
      </c>
      <c r="BU94" s="553">
        <f t="shared" si="484"/>
        <v>19.503</v>
      </c>
      <c r="BV94" s="553">
        <f t="shared" si="484"/>
        <v>23.553000000000001</v>
      </c>
      <c r="BW94" s="553">
        <f t="shared" si="484"/>
        <v>23.553000000000001</v>
      </c>
      <c r="BX94" s="553">
        <f t="shared" ref="BX94:EI94" si="485">BX27+BX62</f>
        <v>19.503</v>
      </c>
      <c r="BY94" s="553">
        <f t="shared" si="485"/>
        <v>19.503</v>
      </c>
      <c r="BZ94" s="553">
        <f t="shared" si="485"/>
        <v>19.503</v>
      </c>
      <c r="CA94" s="553">
        <f t="shared" si="485"/>
        <v>19.503</v>
      </c>
      <c r="CB94" s="560">
        <f t="shared" ref="CB94" si="486">CB27+CB62</f>
        <v>266.43600000000004</v>
      </c>
      <c r="CC94" s="565"/>
      <c r="CD94" s="553">
        <f t="shared" si="485"/>
        <v>19.503</v>
      </c>
      <c r="CE94" s="553">
        <f t="shared" si="485"/>
        <v>19.503</v>
      </c>
      <c r="CF94" s="553">
        <f t="shared" si="485"/>
        <v>19.503</v>
      </c>
      <c r="CG94" s="553">
        <f t="shared" si="485"/>
        <v>19.503</v>
      </c>
      <c r="CH94" s="553">
        <f t="shared" si="485"/>
        <v>19.503</v>
      </c>
      <c r="CI94" s="553">
        <f t="shared" si="485"/>
        <v>19.503</v>
      </c>
      <c r="CJ94" s="553">
        <f t="shared" si="485"/>
        <v>31.653000000000002</v>
      </c>
      <c r="CK94" s="553">
        <f t="shared" si="485"/>
        <v>31.653000000000002</v>
      </c>
      <c r="CL94" s="553">
        <f t="shared" si="485"/>
        <v>19.503</v>
      </c>
      <c r="CM94" s="553">
        <f t="shared" si="485"/>
        <v>19.503</v>
      </c>
      <c r="CN94" s="553">
        <f t="shared" si="485"/>
        <v>19.503</v>
      </c>
      <c r="CO94" s="553">
        <f t="shared" si="485"/>
        <v>19.503</v>
      </c>
      <c r="CP94" s="560">
        <f t="shared" ref="CP94" si="487">CP27+CP62</f>
        <v>258.33600000000001</v>
      </c>
      <c r="CQ94" s="565"/>
      <c r="CR94" s="553">
        <f t="shared" si="485"/>
        <v>23.553000000000001</v>
      </c>
      <c r="CS94" s="553">
        <f t="shared" si="485"/>
        <v>23.553000000000001</v>
      </c>
      <c r="CT94" s="553">
        <f t="shared" si="485"/>
        <v>19.503</v>
      </c>
      <c r="CU94" s="553">
        <f t="shared" si="485"/>
        <v>19.503</v>
      </c>
      <c r="CV94" s="553">
        <f t="shared" si="485"/>
        <v>19.503</v>
      </c>
      <c r="CW94" s="553">
        <f t="shared" si="485"/>
        <v>19.503</v>
      </c>
      <c r="CX94" s="553">
        <f t="shared" si="485"/>
        <v>19.503</v>
      </c>
      <c r="CY94" s="553">
        <f t="shared" si="485"/>
        <v>19.503</v>
      </c>
      <c r="CZ94" s="553">
        <f t="shared" si="485"/>
        <v>19.503</v>
      </c>
      <c r="DA94" s="553">
        <f t="shared" si="485"/>
        <v>19.503</v>
      </c>
      <c r="DB94" s="553">
        <f t="shared" si="485"/>
        <v>19.503</v>
      </c>
      <c r="DC94" s="553">
        <f t="shared" si="485"/>
        <v>19.503</v>
      </c>
      <c r="DD94" s="560">
        <f t="shared" ref="DD94" si="488">DD27+DD62</f>
        <v>242.136</v>
      </c>
      <c r="DE94" s="565"/>
      <c r="DF94" s="553">
        <f t="shared" si="485"/>
        <v>31.653000000000002</v>
      </c>
      <c r="DG94" s="553">
        <f t="shared" si="485"/>
        <v>31.653000000000002</v>
      </c>
      <c r="DH94" s="553">
        <f t="shared" si="485"/>
        <v>19.503</v>
      </c>
      <c r="DI94" s="553">
        <f t="shared" si="485"/>
        <v>19.503</v>
      </c>
      <c r="DJ94" s="553">
        <f t="shared" si="485"/>
        <v>19.503</v>
      </c>
      <c r="DK94" s="553">
        <f t="shared" si="485"/>
        <v>19.503</v>
      </c>
      <c r="DL94" s="553">
        <f t="shared" si="485"/>
        <v>23.553000000000001</v>
      </c>
      <c r="DM94" s="553">
        <f t="shared" si="485"/>
        <v>23.553000000000001</v>
      </c>
      <c r="DN94" s="553">
        <f t="shared" si="485"/>
        <v>19.503</v>
      </c>
      <c r="DO94" s="553">
        <f t="shared" si="485"/>
        <v>19.503</v>
      </c>
      <c r="DP94" s="553">
        <f t="shared" si="485"/>
        <v>19.503</v>
      </c>
      <c r="DQ94" s="553">
        <f t="shared" si="485"/>
        <v>19.503</v>
      </c>
      <c r="DR94" s="560">
        <f t="shared" si="485"/>
        <v>266.43600000000004</v>
      </c>
      <c r="DS94" s="565"/>
      <c r="DT94" s="553">
        <f t="shared" si="485"/>
        <v>19.503</v>
      </c>
      <c r="DU94" s="553">
        <f t="shared" si="485"/>
        <v>19.503</v>
      </c>
      <c r="DV94" s="553">
        <f t="shared" si="485"/>
        <v>19.503</v>
      </c>
      <c r="DW94" s="553">
        <f t="shared" si="485"/>
        <v>19.503</v>
      </c>
      <c r="DX94" s="553">
        <f t="shared" si="485"/>
        <v>19.503</v>
      </c>
      <c r="DY94" s="553">
        <f t="shared" si="485"/>
        <v>19.503</v>
      </c>
      <c r="DZ94" s="553">
        <f t="shared" si="485"/>
        <v>31.653000000000002</v>
      </c>
      <c r="EA94" s="553">
        <f t="shared" si="485"/>
        <v>31.653000000000002</v>
      </c>
      <c r="EB94" s="553">
        <f t="shared" si="485"/>
        <v>19.503</v>
      </c>
      <c r="EC94" s="553">
        <f t="shared" si="485"/>
        <v>19.503</v>
      </c>
      <c r="ED94" s="553">
        <f t="shared" si="485"/>
        <v>19.503</v>
      </c>
      <c r="EE94" s="553">
        <f t="shared" si="485"/>
        <v>19.503</v>
      </c>
      <c r="EF94" s="560">
        <f t="shared" si="485"/>
        <v>258.33600000000001</v>
      </c>
      <c r="EG94" s="565"/>
      <c r="EH94" s="553">
        <f t="shared" si="485"/>
        <v>23.553000000000001</v>
      </c>
      <c r="EI94" s="553">
        <f t="shared" si="485"/>
        <v>23.553000000000001</v>
      </c>
      <c r="EJ94" s="553">
        <f t="shared" ref="EJ94:ET94" si="489">EJ27+EJ62</f>
        <v>19.503</v>
      </c>
      <c r="EK94" s="553">
        <f t="shared" si="489"/>
        <v>19.503</v>
      </c>
      <c r="EL94" s="553">
        <f t="shared" si="489"/>
        <v>19.503</v>
      </c>
      <c r="EM94" s="553">
        <f t="shared" si="489"/>
        <v>19.503</v>
      </c>
      <c r="EN94" s="553">
        <f t="shared" si="489"/>
        <v>19.503</v>
      </c>
      <c r="EO94" s="553">
        <f t="shared" si="489"/>
        <v>19.503</v>
      </c>
      <c r="EP94" s="553">
        <f t="shared" si="489"/>
        <v>19.503</v>
      </c>
      <c r="EQ94" s="553">
        <f t="shared" si="489"/>
        <v>19.503</v>
      </c>
      <c r="ER94" s="553">
        <f t="shared" si="489"/>
        <v>19.503</v>
      </c>
      <c r="ES94" s="553">
        <f t="shared" si="489"/>
        <v>19.503</v>
      </c>
      <c r="ET94" s="560">
        <f t="shared" si="489"/>
        <v>242.136</v>
      </c>
      <c r="EU94" s="565"/>
    </row>
    <row r="95" spans="9:151" ht="10.5" customHeight="1" x14ac:dyDescent="0.35">
      <c r="I95" s="536"/>
      <c r="J95" s="531" t="s">
        <v>526</v>
      </c>
      <c r="K95" s="531" t="s">
        <v>1070</v>
      </c>
      <c r="L95" s="553">
        <f t="shared" ref="L95:BW95" si="490">L28+L63</f>
        <v>5.67</v>
      </c>
      <c r="M95" s="553">
        <f t="shared" si="490"/>
        <v>5.67</v>
      </c>
      <c r="N95" s="553">
        <f t="shared" si="490"/>
        <v>6.8260499999999995</v>
      </c>
      <c r="O95" s="553">
        <f t="shared" si="490"/>
        <v>6.8260499999999995</v>
      </c>
      <c r="P95" s="553">
        <f t="shared" si="490"/>
        <v>6.8260499999999995</v>
      </c>
      <c r="Q95" s="553">
        <f t="shared" si="490"/>
        <v>6.8260499999999995</v>
      </c>
      <c r="R95" s="553">
        <f t="shared" si="490"/>
        <v>6.8260499999999995</v>
      </c>
      <c r="S95" s="553">
        <f t="shared" si="490"/>
        <v>6.8260499999999995</v>
      </c>
      <c r="T95" s="553">
        <f t="shared" si="490"/>
        <v>6.8260499999999995</v>
      </c>
      <c r="U95" s="553">
        <f t="shared" si="490"/>
        <v>6.8260499999999995</v>
      </c>
      <c r="V95" s="553">
        <f t="shared" si="490"/>
        <v>6.8260499999999995</v>
      </c>
      <c r="W95" s="553">
        <f t="shared" si="490"/>
        <v>6.8260499999999995</v>
      </c>
      <c r="X95" s="560">
        <f t="shared" si="490"/>
        <v>79.600499999999997</v>
      </c>
      <c r="Y95" s="565"/>
      <c r="Z95" s="553">
        <f t="shared" si="490"/>
        <v>23.83605</v>
      </c>
      <c r="AA95" s="553">
        <f t="shared" si="490"/>
        <v>23.83605</v>
      </c>
      <c r="AB95" s="553">
        <f t="shared" si="490"/>
        <v>27.304199999999998</v>
      </c>
      <c r="AC95" s="553">
        <f t="shared" si="490"/>
        <v>27.304199999999998</v>
      </c>
      <c r="AD95" s="553">
        <f t="shared" si="490"/>
        <v>27.304199999999998</v>
      </c>
      <c r="AE95" s="553">
        <f t="shared" si="490"/>
        <v>27.304199999999998</v>
      </c>
      <c r="AF95" s="553">
        <f t="shared" si="490"/>
        <v>32.974199999999996</v>
      </c>
      <c r="AG95" s="553">
        <f t="shared" si="490"/>
        <v>32.974199999999996</v>
      </c>
      <c r="AH95" s="553">
        <f t="shared" si="490"/>
        <v>27.304199999999998</v>
      </c>
      <c r="AI95" s="553">
        <f t="shared" si="490"/>
        <v>27.304199999999998</v>
      </c>
      <c r="AJ95" s="553">
        <f t="shared" si="490"/>
        <v>27.304199999999998</v>
      </c>
      <c r="AK95" s="553">
        <f t="shared" si="490"/>
        <v>27.304199999999998</v>
      </c>
      <c r="AL95" s="560">
        <f t="shared" si="490"/>
        <v>332.05409999999995</v>
      </c>
      <c r="AM95" s="565"/>
      <c r="AN95" s="553">
        <f t="shared" si="490"/>
        <v>27.304199999999998</v>
      </c>
      <c r="AO95" s="553">
        <f t="shared" si="490"/>
        <v>27.304199999999998</v>
      </c>
      <c r="AP95" s="553">
        <f t="shared" si="490"/>
        <v>27.304199999999998</v>
      </c>
      <c r="AQ95" s="553">
        <f t="shared" si="490"/>
        <v>27.304199999999998</v>
      </c>
      <c r="AR95" s="553">
        <f t="shared" si="490"/>
        <v>27.304199999999998</v>
      </c>
      <c r="AS95" s="553">
        <f t="shared" si="490"/>
        <v>27.304199999999998</v>
      </c>
      <c r="AT95" s="553">
        <f t="shared" si="490"/>
        <v>44.3142</v>
      </c>
      <c r="AU95" s="553">
        <f t="shared" si="490"/>
        <v>44.3142</v>
      </c>
      <c r="AV95" s="553">
        <f t="shared" si="490"/>
        <v>27.304199999999998</v>
      </c>
      <c r="AW95" s="553">
        <f t="shared" si="490"/>
        <v>27.304199999999998</v>
      </c>
      <c r="AX95" s="553">
        <f t="shared" si="490"/>
        <v>27.304199999999998</v>
      </c>
      <c r="AY95" s="553">
        <f t="shared" si="490"/>
        <v>27.304199999999998</v>
      </c>
      <c r="AZ95" s="560">
        <f t="shared" si="490"/>
        <v>361.67039999999997</v>
      </c>
      <c r="BA95" s="565"/>
      <c r="BB95" s="553">
        <f t="shared" si="490"/>
        <v>32.974199999999996</v>
      </c>
      <c r="BC95" s="553">
        <f t="shared" si="490"/>
        <v>32.974199999999996</v>
      </c>
      <c r="BD95" s="553">
        <f t="shared" si="490"/>
        <v>27.304199999999998</v>
      </c>
      <c r="BE95" s="553">
        <f t="shared" si="490"/>
        <v>27.304199999999998</v>
      </c>
      <c r="BF95" s="553">
        <f t="shared" si="490"/>
        <v>27.304199999999998</v>
      </c>
      <c r="BG95" s="553">
        <f t="shared" si="490"/>
        <v>27.304199999999998</v>
      </c>
      <c r="BH95" s="553">
        <f t="shared" si="490"/>
        <v>27.304199999999998</v>
      </c>
      <c r="BI95" s="553">
        <f t="shared" si="490"/>
        <v>27.304199999999998</v>
      </c>
      <c r="BJ95" s="553">
        <f t="shared" si="490"/>
        <v>27.304199999999998</v>
      </c>
      <c r="BK95" s="553">
        <f t="shared" si="490"/>
        <v>27.304199999999998</v>
      </c>
      <c r="BL95" s="553">
        <f t="shared" si="490"/>
        <v>27.304199999999998</v>
      </c>
      <c r="BM95" s="553">
        <f t="shared" si="490"/>
        <v>27.304199999999998</v>
      </c>
      <c r="BN95" s="560">
        <f t="shared" si="490"/>
        <v>338.99039999999997</v>
      </c>
      <c r="BO95" s="565"/>
      <c r="BP95" s="553">
        <f t="shared" si="490"/>
        <v>44.3142</v>
      </c>
      <c r="BQ95" s="553">
        <f t="shared" si="490"/>
        <v>44.3142</v>
      </c>
      <c r="BR95" s="553">
        <f t="shared" si="490"/>
        <v>27.304199999999998</v>
      </c>
      <c r="BS95" s="553">
        <f t="shared" si="490"/>
        <v>27.304199999999998</v>
      </c>
      <c r="BT95" s="553">
        <f t="shared" si="490"/>
        <v>27.304199999999998</v>
      </c>
      <c r="BU95" s="553">
        <f t="shared" si="490"/>
        <v>27.304199999999998</v>
      </c>
      <c r="BV95" s="553">
        <f t="shared" si="490"/>
        <v>32.974199999999996</v>
      </c>
      <c r="BW95" s="553">
        <f t="shared" si="490"/>
        <v>32.974199999999996</v>
      </c>
      <c r="BX95" s="553">
        <f t="shared" ref="BX95:EI95" si="491">BX28+BX63</f>
        <v>27.304199999999998</v>
      </c>
      <c r="BY95" s="553">
        <f t="shared" si="491"/>
        <v>27.304199999999998</v>
      </c>
      <c r="BZ95" s="553">
        <f t="shared" si="491"/>
        <v>27.304199999999998</v>
      </c>
      <c r="CA95" s="553">
        <f t="shared" si="491"/>
        <v>27.304199999999998</v>
      </c>
      <c r="CB95" s="560">
        <f t="shared" ref="CB95" si="492">CB28+CB63</f>
        <v>373.01039999999995</v>
      </c>
      <c r="CC95" s="565"/>
      <c r="CD95" s="553">
        <f t="shared" si="491"/>
        <v>27.304199999999998</v>
      </c>
      <c r="CE95" s="553">
        <f t="shared" si="491"/>
        <v>27.304199999999998</v>
      </c>
      <c r="CF95" s="553">
        <f t="shared" si="491"/>
        <v>27.304199999999998</v>
      </c>
      <c r="CG95" s="553">
        <f t="shared" si="491"/>
        <v>27.304199999999998</v>
      </c>
      <c r="CH95" s="553">
        <f t="shared" si="491"/>
        <v>27.304199999999998</v>
      </c>
      <c r="CI95" s="553">
        <f t="shared" si="491"/>
        <v>27.304199999999998</v>
      </c>
      <c r="CJ95" s="553">
        <f t="shared" si="491"/>
        <v>44.3142</v>
      </c>
      <c r="CK95" s="553">
        <f t="shared" si="491"/>
        <v>44.3142</v>
      </c>
      <c r="CL95" s="553">
        <f t="shared" si="491"/>
        <v>27.304199999999998</v>
      </c>
      <c r="CM95" s="553">
        <f t="shared" si="491"/>
        <v>27.304199999999998</v>
      </c>
      <c r="CN95" s="553">
        <f t="shared" si="491"/>
        <v>27.304199999999998</v>
      </c>
      <c r="CO95" s="553">
        <f t="shared" si="491"/>
        <v>27.304199999999998</v>
      </c>
      <c r="CP95" s="560">
        <f t="shared" ref="CP95" si="493">CP28+CP63</f>
        <v>361.67039999999997</v>
      </c>
      <c r="CQ95" s="565"/>
      <c r="CR95" s="553">
        <f t="shared" si="491"/>
        <v>32.974199999999996</v>
      </c>
      <c r="CS95" s="553">
        <f t="shared" si="491"/>
        <v>32.974199999999996</v>
      </c>
      <c r="CT95" s="553">
        <f t="shared" si="491"/>
        <v>27.304199999999998</v>
      </c>
      <c r="CU95" s="553">
        <f t="shared" si="491"/>
        <v>27.304199999999998</v>
      </c>
      <c r="CV95" s="553">
        <f t="shared" si="491"/>
        <v>27.304199999999998</v>
      </c>
      <c r="CW95" s="553">
        <f t="shared" si="491"/>
        <v>27.304199999999998</v>
      </c>
      <c r="CX95" s="553">
        <f t="shared" si="491"/>
        <v>27.304199999999998</v>
      </c>
      <c r="CY95" s="553">
        <f t="shared" si="491"/>
        <v>27.304199999999998</v>
      </c>
      <c r="CZ95" s="553">
        <f t="shared" si="491"/>
        <v>27.304199999999998</v>
      </c>
      <c r="DA95" s="553">
        <f t="shared" si="491"/>
        <v>27.304199999999998</v>
      </c>
      <c r="DB95" s="553">
        <f t="shared" si="491"/>
        <v>27.304199999999998</v>
      </c>
      <c r="DC95" s="553">
        <f t="shared" si="491"/>
        <v>27.304199999999998</v>
      </c>
      <c r="DD95" s="560">
        <f t="shared" ref="DD95" si="494">DD28+DD63</f>
        <v>338.99039999999997</v>
      </c>
      <c r="DE95" s="565"/>
      <c r="DF95" s="553">
        <f t="shared" si="491"/>
        <v>44.3142</v>
      </c>
      <c r="DG95" s="553">
        <f t="shared" si="491"/>
        <v>44.3142</v>
      </c>
      <c r="DH95" s="553">
        <f t="shared" si="491"/>
        <v>27.304199999999998</v>
      </c>
      <c r="DI95" s="553">
        <f t="shared" si="491"/>
        <v>27.304199999999998</v>
      </c>
      <c r="DJ95" s="553">
        <f t="shared" si="491"/>
        <v>27.304199999999998</v>
      </c>
      <c r="DK95" s="553">
        <f t="shared" si="491"/>
        <v>27.304199999999998</v>
      </c>
      <c r="DL95" s="553">
        <f t="shared" si="491"/>
        <v>32.974199999999996</v>
      </c>
      <c r="DM95" s="553">
        <f t="shared" si="491"/>
        <v>32.974199999999996</v>
      </c>
      <c r="DN95" s="553">
        <f t="shared" si="491"/>
        <v>27.304199999999998</v>
      </c>
      <c r="DO95" s="553">
        <f t="shared" si="491"/>
        <v>27.304199999999998</v>
      </c>
      <c r="DP95" s="553">
        <f t="shared" si="491"/>
        <v>27.304199999999998</v>
      </c>
      <c r="DQ95" s="553">
        <f t="shared" si="491"/>
        <v>27.304199999999998</v>
      </c>
      <c r="DR95" s="560">
        <f t="shared" si="491"/>
        <v>373.01039999999995</v>
      </c>
      <c r="DS95" s="565"/>
      <c r="DT95" s="553">
        <f t="shared" si="491"/>
        <v>27.304199999999998</v>
      </c>
      <c r="DU95" s="553">
        <f t="shared" si="491"/>
        <v>27.304199999999998</v>
      </c>
      <c r="DV95" s="553">
        <f t="shared" si="491"/>
        <v>27.304199999999998</v>
      </c>
      <c r="DW95" s="553">
        <f t="shared" si="491"/>
        <v>27.304199999999998</v>
      </c>
      <c r="DX95" s="553">
        <f t="shared" si="491"/>
        <v>27.304199999999998</v>
      </c>
      <c r="DY95" s="553">
        <f t="shared" si="491"/>
        <v>27.304199999999998</v>
      </c>
      <c r="DZ95" s="553">
        <f t="shared" si="491"/>
        <v>44.3142</v>
      </c>
      <c r="EA95" s="553">
        <f t="shared" si="491"/>
        <v>44.3142</v>
      </c>
      <c r="EB95" s="553">
        <f t="shared" si="491"/>
        <v>27.304199999999998</v>
      </c>
      <c r="EC95" s="553">
        <f t="shared" si="491"/>
        <v>27.304199999999998</v>
      </c>
      <c r="ED95" s="553">
        <f t="shared" si="491"/>
        <v>27.304199999999998</v>
      </c>
      <c r="EE95" s="553">
        <f t="shared" si="491"/>
        <v>27.304199999999998</v>
      </c>
      <c r="EF95" s="560">
        <f t="shared" si="491"/>
        <v>361.67039999999997</v>
      </c>
      <c r="EG95" s="565"/>
      <c r="EH95" s="553">
        <f t="shared" si="491"/>
        <v>32.974199999999996</v>
      </c>
      <c r="EI95" s="553">
        <f t="shared" si="491"/>
        <v>32.974199999999996</v>
      </c>
      <c r="EJ95" s="553">
        <f t="shared" ref="EJ95:ET95" si="495">EJ28+EJ63</f>
        <v>27.304199999999998</v>
      </c>
      <c r="EK95" s="553">
        <f t="shared" si="495"/>
        <v>27.304199999999998</v>
      </c>
      <c r="EL95" s="553">
        <f t="shared" si="495"/>
        <v>27.304199999999998</v>
      </c>
      <c r="EM95" s="553">
        <f t="shared" si="495"/>
        <v>27.304199999999998</v>
      </c>
      <c r="EN95" s="553">
        <f t="shared" si="495"/>
        <v>27.304199999999998</v>
      </c>
      <c r="EO95" s="553">
        <f t="shared" si="495"/>
        <v>27.304199999999998</v>
      </c>
      <c r="EP95" s="553">
        <f t="shared" si="495"/>
        <v>27.304199999999998</v>
      </c>
      <c r="EQ95" s="553">
        <f t="shared" si="495"/>
        <v>27.304199999999998</v>
      </c>
      <c r="ER95" s="553">
        <f t="shared" si="495"/>
        <v>27.304199999999998</v>
      </c>
      <c r="ES95" s="553">
        <f t="shared" si="495"/>
        <v>27.304199999999998</v>
      </c>
      <c r="ET95" s="560">
        <f t="shared" si="495"/>
        <v>338.99039999999997</v>
      </c>
      <c r="EU95" s="565"/>
    </row>
    <row r="96" spans="9:151" ht="10.5" customHeight="1" x14ac:dyDescent="0.35">
      <c r="I96" s="536"/>
      <c r="J96" s="531" t="s">
        <v>513</v>
      </c>
      <c r="K96" s="531" t="s">
        <v>1084</v>
      </c>
      <c r="L96" s="553">
        <f t="shared" ref="L96:BW96" si="496">L29+L64</f>
        <v>16.2</v>
      </c>
      <c r="M96" s="553">
        <f t="shared" si="496"/>
        <v>16.2</v>
      </c>
      <c r="N96" s="553">
        <f t="shared" si="496"/>
        <v>19.503</v>
      </c>
      <c r="O96" s="553">
        <f t="shared" si="496"/>
        <v>19.503</v>
      </c>
      <c r="P96" s="553">
        <f t="shared" si="496"/>
        <v>19.503</v>
      </c>
      <c r="Q96" s="553">
        <f t="shared" si="496"/>
        <v>19.503</v>
      </c>
      <c r="R96" s="553">
        <f t="shared" si="496"/>
        <v>19.503</v>
      </c>
      <c r="S96" s="553">
        <f t="shared" si="496"/>
        <v>19.503</v>
      </c>
      <c r="T96" s="553">
        <f t="shared" si="496"/>
        <v>19.503</v>
      </c>
      <c r="U96" s="553">
        <f t="shared" si="496"/>
        <v>19.503</v>
      </c>
      <c r="V96" s="553">
        <f t="shared" si="496"/>
        <v>19.503</v>
      </c>
      <c r="W96" s="553">
        <f t="shared" si="496"/>
        <v>19.503</v>
      </c>
      <c r="X96" s="560">
        <f t="shared" si="496"/>
        <v>227.42999999999995</v>
      </c>
      <c r="Y96" s="565"/>
      <c r="Z96" s="553">
        <f t="shared" si="496"/>
        <v>68.103000000000009</v>
      </c>
      <c r="AA96" s="553">
        <f t="shared" si="496"/>
        <v>68.103000000000009</v>
      </c>
      <c r="AB96" s="553">
        <f t="shared" si="496"/>
        <v>78.012</v>
      </c>
      <c r="AC96" s="553">
        <f t="shared" si="496"/>
        <v>78.012</v>
      </c>
      <c r="AD96" s="553">
        <f t="shared" si="496"/>
        <v>78.012</v>
      </c>
      <c r="AE96" s="553">
        <f t="shared" si="496"/>
        <v>78.012</v>
      </c>
      <c r="AF96" s="553">
        <f t="shared" si="496"/>
        <v>94.212000000000003</v>
      </c>
      <c r="AG96" s="553">
        <f t="shared" si="496"/>
        <v>94.212000000000003</v>
      </c>
      <c r="AH96" s="553">
        <f t="shared" si="496"/>
        <v>78.012</v>
      </c>
      <c r="AI96" s="553">
        <f t="shared" si="496"/>
        <v>78.012</v>
      </c>
      <c r="AJ96" s="553">
        <f t="shared" si="496"/>
        <v>78.012</v>
      </c>
      <c r="AK96" s="553">
        <f t="shared" si="496"/>
        <v>78.012</v>
      </c>
      <c r="AL96" s="560">
        <f t="shared" si="496"/>
        <v>948.72600000000011</v>
      </c>
      <c r="AM96" s="565"/>
      <c r="AN96" s="553">
        <f t="shared" si="496"/>
        <v>78.012</v>
      </c>
      <c r="AO96" s="553">
        <f t="shared" si="496"/>
        <v>78.012</v>
      </c>
      <c r="AP96" s="553">
        <f t="shared" si="496"/>
        <v>78.012</v>
      </c>
      <c r="AQ96" s="553">
        <f t="shared" si="496"/>
        <v>78.012</v>
      </c>
      <c r="AR96" s="553">
        <f t="shared" si="496"/>
        <v>78.012</v>
      </c>
      <c r="AS96" s="553">
        <f t="shared" si="496"/>
        <v>78.012</v>
      </c>
      <c r="AT96" s="553">
        <f t="shared" si="496"/>
        <v>126.61200000000001</v>
      </c>
      <c r="AU96" s="553">
        <f t="shared" si="496"/>
        <v>126.61200000000001</v>
      </c>
      <c r="AV96" s="553">
        <f t="shared" si="496"/>
        <v>78.012</v>
      </c>
      <c r="AW96" s="553">
        <f t="shared" si="496"/>
        <v>78.012</v>
      </c>
      <c r="AX96" s="553">
        <f t="shared" si="496"/>
        <v>78.012</v>
      </c>
      <c r="AY96" s="553">
        <f t="shared" si="496"/>
        <v>78.012</v>
      </c>
      <c r="AZ96" s="560">
        <f t="shared" si="496"/>
        <v>1033.3440000000001</v>
      </c>
      <c r="BA96" s="565"/>
      <c r="BB96" s="553">
        <f t="shared" si="496"/>
        <v>94.212000000000003</v>
      </c>
      <c r="BC96" s="553">
        <f t="shared" si="496"/>
        <v>94.212000000000003</v>
      </c>
      <c r="BD96" s="553">
        <f t="shared" si="496"/>
        <v>78.012</v>
      </c>
      <c r="BE96" s="553">
        <f t="shared" si="496"/>
        <v>78.012</v>
      </c>
      <c r="BF96" s="553">
        <f t="shared" si="496"/>
        <v>78.012</v>
      </c>
      <c r="BG96" s="553">
        <f t="shared" si="496"/>
        <v>78.012</v>
      </c>
      <c r="BH96" s="553">
        <f t="shared" si="496"/>
        <v>78.012</v>
      </c>
      <c r="BI96" s="553">
        <f t="shared" si="496"/>
        <v>78.012</v>
      </c>
      <c r="BJ96" s="553">
        <f t="shared" si="496"/>
        <v>78.012</v>
      </c>
      <c r="BK96" s="553">
        <f t="shared" si="496"/>
        <v>78.012</v>
      </c>
      <c r="BL96" s="553">
        <f t="shared" si="496"/>
        <v>78.012</v>
      </c>
      <c r="BM96" s="553">
        <f t="shared" si="496"/>
        <v>78.012</v>
      </c>
      <c r="BN96" s="560">
        <f t="shared" si="496"/>
        <v>968.54399999999998</v>
      </c>
      <c r="BO96" s="565"/>
      <c r="BP96" s="553">
        <f t="shared" si="496"/>
        <v>126.61200000000001</v>
      </c>
      <c r="BQ96" s="553">
        <f t="shared" si="496"/>
        <v>126.61200000000001</v>
      </c>
      <c r="BR96" s="553">
        <f t="shared" si="496"/>
        <v>78.012</v>
      </c>
      <c r="BS96" s="553">
        <f t="shared" si="496"/>
        <v>78.012</v>
      </c>
      <c r="BT96" s="553">
        <f t="shared" si="496"/>
        <v>78.012</v>
      </c>
      <c r="BU96" s="553">
        <f t="shared" si="496"/>
        <v>78.012</v>
      </c>
      <c r="BV96" s="553">
        <f t="shared" si="496"/>
        <v>94.212000000000003</v>
      </c>
      <c r="BW96" s="553">
        <f t="shared" si="496"/>
        <v>94.212000000000003</v>
      </c>
      <c r="BX96" s="553">
        <f t="shared" ref="BX96:EI96" si="497">BX29+BX64</f>
        <v>78.012</v>
      </c>
      <c r="BY96" s="553">
        <f t="shared" si="497"/>
        <v>78.012</v>
      </c>
      <c r="BZ96" s="553">
        <f t="shared" si="497"/>
        <v>78.012</v>
      </c>
      <c r="CA96" s="553">
        <f t="shared" si="497"/>
        <v>78.012</v>
      </c>
      <c r="CB96" s="560">
        <f t="shared" ref="CB96" si="498">CB29+CB64</f>
        <v>1065.7440000000001</v>
      </c>
      <c r="CC96" s="565"/>
      <c r="CD96" s="553">
        <f t="shared" si="497"/>
        <v>78.012</v>
      </c>
      <c r="CE96" s="553">
        <f t="shared" si="497"/>
        <v>78.012</v>
      </c>
      <c r="CF96" s="553">
        <f t="shared" si="497"/>
        <v>78.012</v>
      </c>
      <c r="CG96" s="553">
        <f t="shared" si="497"/>
        <v>78.012</v>
      </c>
      <c r="CH96" s="553">
        <f t="shared" si="497"/>
        <v>78.012</v>
      </c>
      <c r="CI96" s="553">
        <f t="shared" si="497"/>
        <v>78.012</v>
      </c>
      <c r="CJ96" s="553">
        <f t="shared" si="497"/>
        <v>126.61200000000001</v>
      </c>
      <c r="CK96" s="553">
        <f t="shared" si="497"/>
        <v>126.61200000000001</v>
      </c>
      <c r="CL96" s="553">
        <f t="shared" si="497"/>
        <v>78.012</v>
      </c>
      <c r="CM96" s="553">
        <f t="shared" si="497"/>
        <v>78.012</v>
      </c>
      <c r="CN96" s="553">
        <f t="shared" si="497"/>
        <v>78.012</v>
      </c>
      <c r="CO96" s="553">
        <f t="shared" si="497"/>
        <v>78.012</v>
      </c>
      <c r="CP96" s="560">
        <f t="shared" ref="CP96" si="499">CP29+CP64</f>
        <v>1033.3440000000001</v>
      </c>
      <c r="CQ96" s="565"/>
      <c r="CR96" s="553">
        <f t="shared" si="497"/>
        <v>94.212000000000003</v>
      </c>
      <c r="CS96" s="553">
        <f t="shared" si="497"/>
        <v>94.212000000000003</v>
      </c>
      <c r="CT96" s="553">
        <f t="shared" si="497"/>
        <v>78.012</v>
      </c>
      <c r="CU96" s="553">
        <f t="shared" si="497"/>
        <v>78.012</v>
      </c>
      <c r="CV96" s="553">
        <f t="shared" si="497"/>
        <v>78.012</v>
      </c>
      <c r="CW96" s="553">
        <f t="shared" si="497"/>
        <v>78.012</v>
      </c>
      <c r="CX96" s="553">
        <f t="shared" si="497"/>
        <v>78.012</v>
      </c>
      <c r="CY96" s="553">
        <f t="shared" si="497"/>
        <v>78.012</v>
      </c>
      <c r="CZ96" s="553">
        <f t="shared" si="497"/>
        <v>78.012</v>
      </c>
      <c r="DA96" s="553">
        <f t="shared" si="497"/>
        <v>78.012</v>
      </c>
      <c r="DB96" s="553">
        <f t="shared" si="497"/>
        <v>78.012</v>
      </c>
      <c r="DC96" s="553">
        <f t="shared" si="497"/>
        <v>78.012</v>
      </c>
      <c r="DD96" s="560">
        <f t="shared" ref="DD96" si="500">DD29+DD64</f>
        <v>968.54399999999998</v>
      </c>
      <c r="DE96" s="565"/>
      <c r="DF96" s="553">
        <f t="shared" si="497"/>
        <v>126.61200000000001</v>
      </c>
      <c r="DG96" s="553">
        <f t="shared" si="497"/>
        <v>126.61200000000001</v>
      </c>
      <c r="DH96" s="553">
        <f t="shared" si="497"/>
        <v>78.012</v>
      </c>
      <c r="DI96" s="553">
        <f t="shared" si="497"/>
        <v>78.012</v>
      </c>
      <c r="DJ96" s="553">
        <f t="shared" si="497"/>
        <v>78.012</v>
      </c>
      <c r="DK96" s="553">
        <f t="shared" si="497"/>
        <v>78.012</v>
      </c>
      <c r="DL96" s="553">
        <f t="shared" si="497"/>
        <v>94.212000000000003</v>
      </c>
      <c r="DM96" s="553">
        <f t="shared" si="497"/>
        <v>94.212000000000003</v>
      </c>
      <c r="DN96" s="553">
        <f t="shared" si="497"/>
        <v>78.012</v>
      </c>
      <c r="DO96" s="553">
        <f t="shared" si="497"/>
        <v>78.012</v>
      </c>
      <c r="DP96" s="553">
        <f t="shared" si="497"/>
        <v>78.012</v>
      </c>
      <c r="DQ96" s="553">
        <f t="shared" si="497"/>
        <v>78.012</v>
      </c>
      <c r="DR96" s="560">
        <f t="shared" si="497"/>
        <v>1065.7440000000001</v>
      </c>
      <c r="DS96" s="565"/>
      <c r="DT96" s="553">
        <f t="shared" si="497"/>
        <v>78.012</v>
      </c>
      <c r="DU96" s="553">
        <f t="shared" si="497"/>
        <v>78.012</v>
      </c>
      <c r="DV96" s="553">
        <f t="shared" si="497"/>
        <v>78.012</v>
      </c>
      <c r="DW96" s="553">
        <f t="shared" si="497"/>
        <v>78.012</v>
      </c>
      <c r="DX96" s="553">
        <f t="shared" si="497"/>
        <v>78.012</v>
      </c>
      <c r="DY96" s="553">
        <f t="shared" si="497"/>
        <v>78.012</v>
      </c>
      <c r="DZ96" s="553">
        <f t="shared" si="497"/>
        <v>126.61200000000001</v>
      </c>
      <c r="EA96" s="553">
        <f t="shared" si="497"/>
        <v>126.61200000000001</v>
      </c>
      <c r="EB96" s="553">
        <f t="shared" si="497"/>
        <v>78.012</v>
      </c>
      <c r="EC96" s="553">
        <f t="shared" si="497"/>
        <v>78.012</v>
      </c>
      <c r="ED96" s="553">
        <f t="shared" si="497"/>
        <v>78.012</v>
      </c>
      <c r="EE96" s="553">
        <f t="shared" si="497"/>
        <v>78.012</v>
      </c>
      <c r="EF96" s="560">
        <f t="shared" si="497"/>
        <v>1033.3440000000001</v>
      </c>
      <c r="EG96" s="565"/>
      <c r="EH96" s="553">
        <f t="shared" si="497"/>
        <v>94.212000000000003</v>
      </c>
      <c r="EI96" s="553">
        <f t="shared" si="497"/>
        <v>94.212000000000003</v>
      </c>
      <c r="EJ96" s="553">
        <f t="shared" ref="EJ96:ET96" si="501">EJ29+EJ64</f>
        <v>78.012</v>
      </c>
      <c r="EK96" s="553">
        <f t="shared" si="501"/>
        <v>78.012</v>
      </c>
      <c r="EL96" s="553">
        <f t="shared" si="501"/>
        <v>78.012</v>
      </c>
      <c r="EM96" s="553">
        <f t="shared" si="501"/>
        <v>78.012</v>
      </c>
      <c r="EN96" s="553">
        <f t="shared" si="501"/>
        <v>78.012</v>
      </c>
      <c r="EO96" s="553">
        <f t="shared" si="501"/>
        <v>78.012</v>
      </c>
      <c r="EP96" s="553">
        <f t="shared" si="501"/>
        <v>78.012</v>
      </c>
      <c r="EQ96" s="553">
        <f t="shared" si="501"/>
        <v>78.012</v>
      </c>
      <c r="ER96" s="553">
        <f t="shared" si="501"/>
        <v>78.012</v>
      </c>
      <c r="ES96" s="553">
        <f t="shared" si="501"/>
        <v>78.012</v>
      </c>
      <c r="ET96" s="560">
        <f t="shared" si="501"/>
        <v>968.54399999999998</v>
      </c>
      <c r="EU96" s="565"/>
    </row>
    <row r="97" spans="9:151" ht="10.5" customHeight="1" x14ac:dyDescent="0.35">
      <c r="I97" s="536">
        <v>2.5</v>
      </c>
      <c r="J97" s="531" t="s">
        <v>43</v>
      </c>
      <c r="K97" s="461"/>
      <c r="L97" s="553"/>
      <c r="M97" s="553"/>
      <c r="N97" s="553"/>
      <c r="O97" s="553"/>
      <c r="P97" s="553"/>
      <c r="Q97" s="553"/>
      <c r="R97" s="553"/>
      <c r="S97" s="553"/>
      <c r="T97" s="553"/>
      <c r="U97" s="553"/>
      <c r="V97" s="553"/>
      <c r="W97" s="553"/>
      <c r="X97" s="560"/>
      <c r="Y97" s="565"/>
      <c r="Z97" s="553"/>
      <c r="AA97" s="553"/>
      <c r="AB97" s="553"/>
      <c r="AC97" s="553"/>
      <c r="AD97" s="553"/>
      <c r="AE97" s="553"/>
      <c r="AF97" s="553"/>
      <c r="AG97" s="553"/>
      <c r="AH97" s="553"/>
      <c r="AI97" s="553"/>
      <c r="AJ97" s="553"/>
      <c r="AK97" s="553"/>
      <c r="AL97" s="560"/>
      <c r="AM97" s="565"/>
      <c r="AN97" s="553"/>
      <c r="AO97" s="553"/>
      <c r="AP97" s="553"/>
      <c r="AQ97" s="553"/>
      <c r="AR97" s="553"/>
      <c r="AS97" s="553"/>
      <c r="AT97" s="553"/>
      <c r="AU97" s="553"/>
      <c r="AV97" s="553"/>
      <c r="AW97" s="553"/>
      <c r="AX97" s="553"/>
      <c r="AY97" s="553"/>
      <c r="AZ97" s="560"/>
      <c r="BA97" s="565"/>
      <c r="BB97" s="553"/>
      <c r="BC97" s="553"/>
      <c r="BD97" s="553"/>
      <c r="BE97" s="553"/>
      <c r="BF97" s="553"/>
      <c r="BG97" s="553"/>
      <c r="BH97" s="553"/>
      <c r="BI97" s="553"/>
      <c r="BJ97" s="553"/>
      <c r="BK97" s="553"/>
      <c r="BL97" s="553"/>
      <c r="BM97" s="553"/>
      <c r="BN97" s="560"/>
      <c r="BO97" s="565"/>
      <c r="BP97" s="553"/>
      <c r="BQ97" s="553"/>
      <c r="BR97" s="553"/>
      <c r="BS97" s="553"/>
      <c r="BT97" s="553"/>
      <c r="BU97" s="553"/>
      <c r="BV97" s="553"/>
      <c r="BW97" s="553"/>
      <c r="BX97" s="553"/>
      <c r="BY97" s="553"/>
      <c r="BZ97" s="553"/>
      <c r="CA97" s="553"/>
      <c r="CB97" s="560"/>
      <c r="CC97" s="565"/>
      <c r="CD97" s="553"/>
      <c r="CE97" s="553"/>
      <c r="CF97" s="553"/>
      <c r="CG97" s="553"/>
      <c r="CH97" s="553"/>
      <c r="CI97" s="553"/>
      <c r="CJ97" s="553"/>
      <c r="CK97" s="553"/>
      <c r="CL97" s="553"/>
      <c r="CM97" s="553"/>
      <c r="CN97" s="553"/>
      <c r="CO97" s="553"/>
      <c r="CP97" s="560"/>
      <c r="CQ97" s="565"/>
      <c r="CR97" s="553"/>
      <c r="CS97" s="553"/>
      <c r="CT97" s="553"/>
      <c r="CU97" s="553"/>
      <c r="CV97" s="553"/>
      <c r="CW97" s="553"/>
      <c r="CX97" s="553"/>
      <c r="CY97" s="553"/>
      <c r="CZ97" s="553"/>
      <c r="DA97" s="553"/>
      <c r="DB97" s="553"/>
      <c r="DC97" s="553"/>
      <c r="DD97" s="560"/>
      <c r="DE97" s="565"/>
      <c r="DF97" s="553"/>
      <c r="DG97" s="553"/>
      <c r="DH97" s="553"/>
      <c r="DI97" s="553"/>
      <c r="DJ97" s="553"/>
      <c r="DK97" s="553"/>
      <c r="DL97" s="553"/>
      <c r="DM97" s="553"/>
      <c r="DN97" s="553"/>
      <c r="DO97" s="553"/>
      <c r="DP97" s="553"/>
      <c r="DQ97" s="553"/>
      <c r="DR97" s="560"/>
      <c r="DS97" s="565"/>
      <c r="DT97" s="553"/>
      <c r="DU97" s="553"/>
      <c r="DV97" s="553"/>
      <c r="DW97" s="553"/>
      <c r="DX97" s="553"/>
      <c r="DY97" s="553"/>
      <c r="DZ97" s="553"/>
      <c r="EA97" s="553"/>
      <c r="EB97" s="553"/>
      <c r="EC97" s="553"/>
      <c r="ED97" s="553"/>
      <c r="EE97" s="553"/>
      <c r="EF97" s="560"/>
      <c r="EG97" s="565"/>
      <c r="EH97" s="553"/>
      <c r="EI97" s="553"/>
      <c r="EJ97" s="553"/>
      <c r="EK97" s="553"/>
      <c r="EL97" s="553"/>
      <c r="EM97" s="553"/>
      <c r="EN97" s="553"/>
      <c r="EO97" s="553"/>
      <c r="EP97" s="553"/>
      <c r="EQ97" s="553"/>
      <c r="ER97" s="553"/>
      <c r="ES97" s="553"/>
      <c r="ET97" s="560"/>
      <c r="EU97" s="565"/>
    </row>
    <row r="98" spans="9:151" ht="10.5" customHeight="1" x14ac:dyDescent="0.35">
      <c r="I98" s="536"/>
      <c r="J98" s="531" t="s">
        <v>9</v>
      </c>
      <c r="K98" s="531" t="s">
        <v>500</v>
      </c>
      <c r="L98" s="553">
        <f t="shared" ref="L98:BW98" si="502">L31+L66</f>
        <v>3</v>
      </c>
      <c r="M98" s="553">
        <f t="shared" si="502"/>
        <v>0</v>
      </c>
      <c r="N98" s="553">
        <f t="shared" si="502"/>
        <v>0</v>
      </c>
      <c r="O98" s="553">
        <f t="shared" si="502"/>
        <v>0</v>
      </c>
      <c r="P98" s="553">
        <f t="shared" si="502"/>
        <v>0</v>
      </c>
      <c r="Q98" s="553">
        <f t="shared" si="502"/>
        <v>0</v>
      </c>
      <c r="R98" s="553">
        <f t="shared" si="502"/>
        <v>0</v>
      </c>
      <c r="S98" s="553">
        <f t="shared" si="502"/>
        <v>0</v>
      </c>
      <c r="T98" s="553">
        <f t="shared" si="502"/>
        <v>0</v>
      </c>
      <c r="U98" s="553">
        <f t="shared" si="502"/>
        <v>0</v>
      </c>
      <c r="V98" s="553">
        <f t="shared" si="502"/>
        <v>0</v>
      </c>
      <c r="W98" s="553">
        <f t="shared" si="502"/>
        <v>0</v>
      </c>
      <c r="X98" s="560">
        <f t="shared" si="502"/>
        <v>3</v>
      </c>
      <c r="Y98" s="565"/>
      <c r="Z98" s="553">
        <f t="shared" si="502"/>
        <v>9</v>
      </c>
      <c r="AA98" s="553">
        <f t="shared" si="502"/>
        <v>0</v>
      </c>
      <c r="AB98" s="553">
        <f t="shared" si="502"/>
        <v>0</v>
      </c>
      <c r="AC98" s="553">
        <f t="shared" si="502"/>
        <v>0</v>
      </c>
      <c r="AD98" s="553">
        <f t="shared" si="502"/>
        <v>0</v>
      </c>
      <c r="AE98" s="553">
        <f t="shared" si="502"/>
        <v>0</v>
      </c>
      <c r="AF98" s="553">
        <f t="shared" si="502"/>
        <v>3</v>
      </c>
      <c r="AG98" s="553">
        <f t="shared" si="502"/>
        <v>0</v>
      </c>
      <c r="AH98" s="553">
        <f t="shared" si="502"/>
        <v>0</v>
      </c>
      <c r="AI98" s="553">
        <f t="shared" si="502"/>
        <v>0</v>
      </c>
      <c r="AJ98" s="553">
        <f t="shared" si="502"/>
        <v>0</v>
      </c>
      <c r="AK98" s="553">
        <f t="shared" si="502"/>
        <v>0</v>
      </c>
      <c r="AL98" s="560">
        <f t="shared" si="502"/>
        <v>12</v>
      </c>
      <c r="AM98" s="565"/>
      <c r="AN98" s="553">
        <f t="shared" si="502"/>
        <v>0</v>
      </c>
      <c r="AO98" s="553">
        <f t="shared" si="502"/>
        <v>0</v>
      </c>
      <c r="AP98" s="553">
        <f t="shared" si="502"/>
        <v>0</v>
      </c>
      <c r="AQ98" s="553">
        <f t="shared" si="502"/>
        <v>0</v>
      </c>
      <c r="AR98" s="553">
        <f t="shared" si="502"/>
        <v>0</v>
      </c>
      <c r="AS98" s="553">
        <f t="shared" si="502"/>
        <v>0</v>
      </c>
      <c r="AT98" s="553">
        <f t="shared" si="502"/>
        <v>9</v>
      </c>
      <c r="AU98" s="553">
        <f t="shared" si="502"/>
        <v>0</v>
      </c>
      <c r="AV98" s="553">
        <f t="shared" si="502"/>
        <v>0</v>
      </c>
      <c r="AW98" s="553">
        <f t="shared" si="502"/>
        <v>0</v>
      </c>
      <c r="AX98" s="553">
        <f t="shared" si="502"/>
        <v>0</v>
      </c>
      <c r="AY98" s="553">
        <f t="shared" si="502"/>
        <v>0</v>
      </c>
      <c r="AZ98" s="560">
        <f t="shared" si="502"/>
        <v>9</v>
      </c>
      <c r="BA98" s="565"/>
      <c r="BB98" s="553">
        <f t="shared" si="502"/>
        <v>3</v>
      </c>
      <c r="BC98" s="553">
        <f t="shared" si="502"/>
        <v>0</v>
      </c>
      <c r="BD98" s="553">
        <f t="shared" si="502"/>
        <v>0</v>
      </c>
      <c r="BE98" s="553">
        <f t="shared" si="502"/>
        <v>0</v>
      </c>
      <c r="BF98" s="553">
        <f t="shared" si="502"/>
        <v>0</v>
      </c>
      <c r="BG98" s="553">
        <f t="shared" si="502"/>
        <v>0</v>
      </c>
      <c r="BH98" s="553">
        <f t="shared" si="502"/>
        <v>0</v>
      </c>
      <c r="BI98" s="553">
        <f t="shared" si="502"/>
        <v>0</v>
      </c>
      <c r="BJ98" s="553">
        <f t="shared" si="502"/>
        <v>0</v>
      </c>
      <c r="BK98" s="553">
        <f t="shared" si="502"/>
        <v>0</v>
      </c>
      <c r="BL98" s="553">
        <f t="shared" si="502"/>
        <v>0</v>
      </c>
      <c r="BM98" s="553">
        <f t="shared" si="502"/>
        <v>0</v>
      </c>
      <c r="BN98" s="560">
        <f t="shared" si="502"/>
        <v>3</v>
      </c>
      <c r="BO98" s="565"/>
      <c r="BP98" s="553">
        <f t="shared" si="502"/>
        <v>9</v>
      </c>
      <c r="BQ98" s="553">
        <f t="shared" si="502"/>
        <v>0</v>
      </c>
      <c r="BR98" s="553">
        <f t="shared" si="502"/>
        <v>0</v>
      </c>
      <c r="BS98" s="553">
        <f t="shared" si="502"/>
        <v>0</v>
      </c>
      <c r="BT98" s="553">
        <f t="shared" si="502"/>
        <v>0</v>
      </c>
      <c r="BU98" s="553">
        <f t="shared" si="502"/>
        <v>0</v>
      </c>
      <c r="BV98" s="553">
        <f t="shared" si="502"/>
        <v>3</v>
      </c>
      <c r="BW98" s="553">
        <f t="shared" si="502"/>
        <v>0</v>
      </c>
      <c r="BX98" s="553">
        <f t="shared" ref="BX98:EI98" si="503">BX31+BX66</f>
        <v>0</v>
      </c>
      <c r="BY98" s="553">
        <f t="shared" si="503"/>
        <v>0</v>
      </c>
      <c r="BZ98" s="553">
        <f t="shared" si="503"/>
        <v>0</v>
      </c>
      <c r="CA98" s="553">
        <f t="shared" si="503"/>
        <v>0</v>
      </c>
      <c r="CB98" s="560">
        <f t="shared" ref="CB98" si="504">CB31+CB66</f>
        <v>12</v>
      </c>
      <c r="CC98" s="565"/>
      <c r="CD98" s="553">
        <f t="shared" si="503"/>
        <v>0</v>
      </c>
      <c r="CE98" s="553">
        <f t="shared" si="503"/>
        <v>0</v>
      </c>
      <c r="CF98" s="553">
        <f t="shared" si="503"/>
        <v>0</v>
      </c>
      <c r="CG98" s="553">
        <f t="shared" si="503"/>
        <v>0</v>
      </c>
      <c r="CH98" s="553">
        <f t="shared" si="503"/>
        <v>0</v>
      </c>
      <c r="CI98" s="553">
        <f t="shared" si="503"/>
        <v>0</v>
      </c>
      <c r="CJ98" s="553">
        <f t="shared" si="503"/>
        <v>9</v>
      </c>
      <c r="CK98" s="553">
        <f t="shared" si="503"/>
        <v>0</v>
      </c>
      <c r="CL98" s="553">
        <f t="shared" si="503"/>
        <v>0</v>
      </c>
      <c r="CM98" s="553">
        <f t="shared" si="503"/>
        <v>0</v>
      </c>
      <c r="CN98" s="553">
        <f t="shared" si="503"/>
        <v>0</v>
      </c>
      <c r="CO98" s="553">
        <f t="shared" si="503"/>
        <v>0</v>
      </c>
      <c r="CP98" s="560">
        <f t="shared" ref="CP98" si="505">CP31+CP66</f>
        <v>9</v>
      </c>
      <c r="CQ98" s="565"/>
      <c r="CR98" s="553">
        <f t="shared" si="503"/>
        <v>3</v>
      </c>
      <c r="CS98" s="553">
        <f t="shared" si="503"/>
        <v>0</v>
      </c>
      <c r="CT98" s="553">
        <f t="shared" si="503"/>
        <v>0</v>
      </c>
      <c r="CU98" s="553">
        <f t="shared" si="503"/>
        <v>0</v>
      </c>
      <c r="CV98" s="553">
        <f t="shared" si="503"/>
        <v>0</v>
      </c>
      <c r="CW98" s="553">
        <f t="shared" si="503"/>
        <v>0</v>
      </c>
      <c r="CX98" s="553">
        <f t="shared" si="503"/>
        <v>0</v>
      </c>
      <c r="CY98" s="553">
        <f t="shared" si="503"/>
        <v>0</v>
      </c>
      <c r="CZ98" s="553">
        <f t="shared" si="503"/>
        <v>0</v>
      </c>
      <c r="DA98" s="553">
        <f t="shared" si="503"/>
        <v>0</v>
      </c>
      <c r="DB98" s="553">
        <f t="shared" si="503"/>
        <v>0</v>
      </c>
      <c r="DC98" s="553">
        <f t="shared" si="503"/>
        <v>0</v>
      </c>
      <c r="DD98" s="560">
        <f t="shared" ref="DD98" si="506">DD31+DD66</f>
        <v>3</v>
      </c>
      <c r="DE98" s="565"/>
      <c r="DF98" s="553">
        <f t="shared" si="503"/>
        <v>9</v>
      </c>
      <c r="DG98" s="553">
        <f t="shared" si="503"/>
        <v>0</v>
      </c>
      <c r="DH98" s="553">
        <f t="shared" si="503"/>
        <v>0</v>
      </c>
      <c r="DI98" s="553">
        <f t="shared" si="503"/>
        <v>0</v>
      </c>
      <c r="DJ98" s="553">
        <f t="shared" si="503"/>
        <v>0</v>
      </c>
      <c r="DK98" s="553">
        <f t="shared" si="503"/>
        <v>0</v>
      </c>
      <c r="DL98" s="553">
        <f t="shared" si="503"/>
        <v>3</v>
      </c>
      <c r="DM98" s="553">
        <f t="shared" si="503"/>
        <v>0</v>
      </c>
      <c r="DN98" s="553">
        <f t="shared" si="503"/>
        <v>0</v>
      </c>
      <c r="DO98" s="553">
        <f t="shared" si="503"/>
        <v>0</v>
      </c>
      <c r="DP98" s="553">
        <f t="shared" si="503"/>
        <v>0</v>
      </c>
      <c r="DQ98" s="553">
        <f t="shared" si="503"/>
        <v>0</v>
      </c>
      <c r="DR98" s="560">
        <f t="shared" si="503"/>
        <v>12</v>
      </c>
      <c r="DS98" s="565"/>
      <c r="DT98" s="553">
        <f t="shared" si="503"/>
        <v>0</v>
      </c>
      <c r="DU98" s="553">
        <f t="shared" si="503"/>
        <v>0</v>
      </c>
      <c r="DV98" s="553">
        <f t="shared" si="503"/>
        <v>0</v>
      </c>
      <c r="DW98" s="553">
        <f t="shared" si="503"/>
        <v>0</v>
      </c>
      <c r="DX98" s="553">
        <f t="shared" si="503"/>
        <v>0</v>
      </c>
      <c r="DY98" s="553">
        <f t="shared" si="503"/>
        <v>0</v>
      </c>
      <c r="DZ98" s="553">
        <f t="shared" si="503"/>
        <v>9</v>
      </c>
      <c r="EA98" s="553">
        <f t="shared" si="503"/>
        <v>0</v>
      </c>
      <c r="EB98" s="553">
        <f t="shared" si="503"/>
        <v>0</v>
      </c>
      <c r="EC98" s="553">
        <f t="shared" si="503"/>
        <v>0</v>
      </c>
      <c r="ED98" s="553">
        <f t="shared" si="503"/>
        <v>0</v>
      </c>
      <c r="EE98" s="553">
        <f t="shared" si="503"/>
        <v>0</v>
      </c>
      <c r="EF98" s="560">
        <f t="shared" si="503"/>
        <v>9</v>
      </c>
      <c r="EG98" s="565"/>
      <c r="EH98" s="553">
        <f t="shared" si="503"/>
        <v>3</v>
      </c>
      <c r="EI98" s="553">
        <f t="shared" si="503"/>
        <v>0</v>
      </c>
      <c r="EJ98" s="553">
        <f t="shared" ref="EJ98:ET98" si="507">EJ31+EJ66</f>
        <v>0</v>
      </c>
      <c r="EK98" s="553">
        <f t="shared" si="507"/>
        <v>0</v>
      </c>
      <c r="EL98" s="553">
        <f t="shared" si="507"/>
        <v>0</v>
      </c>
      <c r="EM98" s="553">
        <f t="shared" si="507"/>
        <v>0</v>
      </c>
      <c r="EN98" s="553">
        <f t="shared" si="507"/>
        <v>0</v>
      </c>
      <c r="EO98" s="553">
        <f t="shared" si="507"/>
        <v>0</v>
      </c>
      <c r="EP98" s="553">
        <f t="shared" si="507"/>
        <v>0</v>
      </c>
      <c r="EQ98" s="553">
        <f t="shared" si="507"/>
        <v>0</v>
      </c>
      <c r="ER98" s="553">
        <f t="shared" si="507"/>
        <v>0</v>
      </c>
      <c r="ES98" s="553">
        <f t="shared" si="507"/>
        <v>0</v>
      </c>
      <c r="ET98" s="560">
        <f t="shared" si="507"/>
        <v>3</v>
      </c>
      <c r="EU98" s="565"/>
    </row>
    <row r="99" spans="9:151" ht="10.5" customHeight="1" x14ac:dyDescent="0.35">
      <c r="I99" s="536"/>
      <c r="J99" s="531" t="s">
        <v>10</v>
      </c>
      <c r="K99" s="531" t="s">
        <v>501</v>
      </c>
      <c r="L99" s="553">
        <f t="shared" ref="L99:BW99" si="508">L32+L67</f>
        <v>0</v>
      </c>
      <c r="M99" s="553">
        <f t="shared" si="508"/>
        <v>3</v>
      </c>
      <c r="N99" s="553">
        <f t="shared" si="508"/>
        <v>0</v>
      </c>
      <c r="O99" s="553">
        <f t="shared" si="508"/>
        <v>0</v>
      </c>
      <c r="P99" s="553">
        <f t="shared" si="508"/>
        <v>0</v>
      </c>
      <c r="Q99" s="553">
        <f t="shared" si="508"/>
        <v>0</v>
      </c>
      <c r="R99" s="553">
        <f t="shared" si="508"/>
        <v>0</v>
      </c>
      <c r="S99" s="553">
        <f t="shared" si="508"/>
        <v>0</v>
      </c>
      <c r="T99" s="553">
        <f t="shared" si="508"/>
        <v>0</v>
      </c>
      <c r="U99" s="553">
        <f t="shared" si="508"/>
        <v>0</v>
      </c>
      <c r="V99" s="553">
        <f t="shared" si="508"/>
        <v>0</v>
      </c>
      <c r="W99" s="553">
        <f t="shared" si="508"/>
        <v>0</v>
      </c>
      <c r="X99" s="560">
        <f t="shared" si="508"/>
        <v>3</v>
      </c>
      <c r="Y99" s="565"/>
      <c r="Z99" s="553">
        <f t="shared" si="508"/>
        <v>0</v>
      </c>
      <c r="AA99" s="553">
        <f t="shared" si="508"/>
        <v>9</v>
      </c>
      <c r="AB99" s="553">
        <f t="shared" si="508"/>
        <v>0</v>
      </c>
      <c r="AC99" s="553">
        <f t="shared" si="508"/>
        <v>0</v>
      </c>
      <c r="AD99" s="553">
        <f t="shared" si="508"/>
        <v>0</v>
      </c>
      <c r="AE99" s="553">
        <f t="shared" si="508"/>
        <v>0</v>
      </c>
      <c r="AF99" s="553">
        <f t="shared" si="508"/>
        <v>0</v>
      </c>
      <c r="AG99" s="553">
        <f t="shared" si="508"/>
        <v>3</v>
      </c>
      <c r="AH99" s="553">
        <f t="shared" si="508"/>
        <v>0</v>
      </c>
      <c r="AI99" s="553">
        <f t="shared" si="508"/>
        <v>0</v>
      </c>
      <c r="AJ99" s="553">
        <f t="shared" si="508"/>
        <v>0</v>
      </c>
      <c r="AK99" s="553">
        <f t="shared" si="508"/>
        <v>0</v>
      </c>
      <c r="AL99" s="560">
        <f t="shared" si="508"/>
        <v>12</v>
      </c>
      <c r="AM99" s="565"/>
      <c r="AN99" s="553">
        <f t="shared" si="508"/>
        <v>0</v>
      </c>
      <c r="AO99" s="553">
        <f t="shared" si="508"/>
        <v>0</v>
      </c>
      <c r="AP99" s="553">
        <f t="shared" si="508"/>
        <v>0</v>
      </c>
      <c r="AQ99" s="553">
        <f t="shared" si="508"/>
        <v>0</v>
      </c>
      <c r="AR99" s="553">
        <f t="shared" si="508"/>
        <v>0</v>
      </c>
      <c r="AS99" s="553">
        <f t="shared" si="508"/>
        <v>0</v>
      </c>
      <c r="AT99" s="553">
        <f t="shared" si="508"/>
        <v>0</v>
      </c>
      <c r="AU99" s="553">
        <f t="shared" si="508"/>
        <v>9</v>
      </c>
      <c r="AV99" s="553">
        <f t="shared" si="508"/>
        <v>0</v>
      </c>
      <c r="AW99" s="553">
        <f t="shared" si="508"/>
        <v>0</v>
      </c>
      <c r="AX99" s="553">
        <f t="shared" si="508"/>
        <v>0</v>
      </c>
      <c r="AY99" s="553">
        <f t="shared" si="508"/>
        <v>0</v>
      </c>
      <c r="AZ99" s="560">
        <f t="shared" si="508"/>
        <v>9</v>
      </c>
      <c r="BA99" s="565"/>
      <c r="BB99" s="553">
        <f t="shared" si="508"/>
        <v>0</v>
      </c>
      <c r="BC99" s="553">
        <f t="shared" si="508"/>
        <v>3</v>
      </c>
      <c r="BD99" s="553">
        <f t="shared" si="508"/>
        <v>0</v>
      </c>
      <c r="BE99" s="553">
        <f t="shared" si="508"/>
        <v>0</v>
      </c>
      <c r="BF99" s="553">
        <f t="shared" si="508"/>
        <v>0</v>
      </c>
      <c r="BG99" s="553">
        <f t="shared" si="508"/>
        <v>0</v>
      </c>
      <c r="BH99" s="553">
        <f t="shared" si="508"/>
        <v>0</v>
      </c>
      <c r="BI99" s="553">
        <f t="shared" si="508"/>
        <v>0</v>
      </c>
      <c r="BJ99" s="553">
        <f t="shared" si="508"/>
        <v>0</v>
      </c>
      <c r="BK99" s="553">
        <f t="shared" si="508"/>
        <v>0</v>
      </c>
      <c r="BL99" s="553">
        <f t="shared" si="508"/>
        <v>0</v>
      </c>
      <c r="BM99" s="553">
        <f t="shared" si="508"/>
        <v>0</v>
      </c>
      <c r="BN99" s="560">
        <f t="shared" si="508"/>
        <v>3</v>
      </c>
      <c r="BO99" s="565"/>
      <c r="BP99" s="553">
        <f t="shared" si="508"/>
        <v>0</v>
      </c>
      <c r="BQ99" s="553">
        <f t="shared" si="508"/>
        <v>9</v>
      </c>
      <c r="BR99" s="553">
        <f t="shared" si="508"/>
        <v>0</v>
      </c>
      <c r="BS99" s="553">
        <f t="shared" si="508"/>
        <v>0</v>
      </c>
      <c r="BT99" s="553">
        <f t="shared" si="508"/>
        <v>0</v>
      </c>
      <c r="BU99" s="553">
        <f t="shared" si="508"/>
        <v>0</v>
      </c>
      <c r="BV99" s="553">
        <f t="shared" si="508"/>
        <v>0</v>
      </c>
      <c r="BW99" s="553">
        <f t="shared" si="508"/>
        <v>3</v>
      </c>
      <c r="BX99" s="553">
        <f t="shared" ref="BX99:EI99" si="509">BX32+BX67</f>
        <v>0</v>
      </c>
      <c r="BY99" s="553">
        <f t="shared" si="509"/>
        <v>0</v>
      </c>
      <c r="BZ99" s="553">
        <f t="shared" si="509"/>
        <v>0</v>
      </c>
      <c r="CA99" s="553">
        <f t="shared" si="509"/>
        <v>0</v>
      </c>
      <c r="CB99" s="560">
        <f t="shared" ref="CB99" si="510">CB32+CB67</f>
        <v>12</v>
      </c>
      <c r="CC99" s="565"/>
      <c r="CD99" s="553">
        <f t="shared" si="509"/>
        <v>0</v>
      </c>
      <c r="CE99" s="553">
        <f t="shared" si="509"/>
        <v>0</v>
      </c>
      <c r="CF99" s="553">
        <f t="shared" si="509"/>
        <v>0</v>
      </c>
      <c r="CG99" s="553">
        <f t="shared" si="509"/>
        <v>0</v>
      </c>
      <c r="CH99" s="553">
        <f t="shared" si="509"/>
        <v>0</v>
      </c>
      <c r="CI99" s="553">
        <f t="shared" si="509"/>
        <v>0</v>
      </c>
      <c r="CJ99" s="553">
        <f t="shared" si="509"/>
        <v>0</v>
      </c>
      <c r="CK99" s="553">
        <f t="shared" si="509"/>
        <v>9</v>
      </c>
      <c r="CL99" s="553">
        <f t="shared" si="509"/>
        <v>0</v>
      </c>
      <c r="CM99" s="553">
        <f t="shared" si="509"/>
        <v>0</v>
      </c>
      <c r="CN99" s="553">
        <f t="shared" si="509"/>
        <v>0</v>
      </c>
      <c r="CO99" s="553">
        <f t="shared" si="509"/>
        <v>0</v>
      </c>
      <c r="CP99" s="560">
        <f t="shared" ref="CP99" si="511">CP32+CP67</f>
        <v>9</v>
      </c>
      <c r="CQ99" s="565"/>
      <c r="CR99" s="553">
        <f t="shared" si="509"/>
        <v>0</v>
      </c>
      <c r="CS99" s="553">
        <f t="shared" si="509"/>
        <v>3</v>
      </c>
      <c r="CT99" s="553">
        <f t="shared" si="509"/>
        <v>0</v>
      </c>
      <c r="CU99" s="553">
        <f t="shared" si="509"/>
        <v>0</v>
      </c>
      <c r="CV99" s="553">
        <f t="shared" si="509"/>
        <v>0</v>
      </c>
      <c r="CW99" s="553">
        <f t="shared" si="509"/>
        <v>0</v>
      </c>
      <c r="CX99" s="553">
        <f t="shared" si="509"/>
        <v>0</v>
      </c>
      <c r="CY99" s="553">
        <f t="shared" si="509"/>
        <v>0</v>
      </c>
      <c r="CZ99" s="553">
        <f t="shared" si="509"/>
        <v>0</v>
      </c>
      <c r="DA99" s="553">
        <f t="shared" si="509"/>
        <v>0</v>
      </c>
      <c r="DB99" s="553">
        <f t="shared" si="509"/>
        <v>0</v>
      </c>
      <c r="DC99" s="553">
        <f t="shared" si="509"/>
        <v>0</v>
      </c>
      <c r="DD99" s="560">
        <f t="shared" ref="DD99" si="512">DD32+DD67</f>
        <v>3</v>
      </c>
      <c r="DE99" s="565"/>
      <c r="DF99" s="553">
        <f t="shared" si="509"/>
        <v>0</v>
      </c>
      <c r="DG99" s="553">
        <f t="shared" si="509"/>
        <v>9</v>
      </c>
      <c r="DH99" s="553">
        <f t="shared" si="509"/>
        <v>0</v>
      </c>
      <c r="DI99" s="553">
        <f t="shared" si="509"/>
        <v>0</v>
      </c>
      <c r="DJ99" s="553">
        <f t="shared" si="509"/>
        <v>0</v>
      </c>
      <c r="DK99" s="553">
        <f t="shared" si="509"/>
        <v>0</v>
      </c>
      <c r="DL99" s="553">
        <f t="shared" si="509"/>
        <v>0</v>
      </c>
      <c r="DM99" s="553">
        <f t="shared" si="509"/>
        <v>3</v>
      </c>
      <c r="DN99" s="553">
        <f t="shared" si="509"/>
        <v>0</v>
      </c>
      <c r="DO99" s="553">
        <f t="shared" si="509"/>
        <v>0</v>
      </c>
      <c r="DP99" s="553">
        <f t="shared" si="509"/>
        <v>0</v>
      </c>
      <c r="DQ99" s="553">
        <f t="shared" si="509"/>
        <v>0</v>
      </c>
      <c r="DR99" s="560">
        <f t="shared" si="509"/>
        <v>12</v>
      </c>
      <c r="DS99" s="565"/>
      <c r="DT99" s="553">
        <f t="shared" si="509"/>
        <v>0</v>
      </c>
      <c r="DU99" s="553">
        <f t="shared" si="509"/>
        <v>0</v>
      </c>
      <c r="DV99" s="553">
        <f t="shared" si="509"/>
        <v>0</v>
      </c>
      <c r="DW99" s="553">
        <f t="shared" si="509"/>
        <v>0</v>
      </c>
      <c r="DX99" s="553">
        <f t="shared" si="509"/>
        <v>0</v>
      </c>
      <c r="DY99" s="553">
        <f t="shared" si="509"/>
        <v>0</v>
      </c>
      <c r="DZ99" s="553">
        <f t="shared" si="509"/>
        <v>0</v>
      </c>
      <c r="EA99" s="553">
        <f t="shared" si="509"/>
        <v>9</v>
      </c>
      <c r="EB99" s="553">
        <f t="shared" si="509"/>
        <v>0</v>
      </c>
      <c r="EC99" s="553">
        <f t="shared" si="509"/>
        <v>0</v>
      </c>
      <c r="ED99" s="553">
        <f t="shared" si="509"/>
        <v>0</v>
      </c>
      <c r="EE99" s="553">
        <f t="shared" si="509"/>
        <v>0</v>
      </c>
      <c r="EF99" s="560">
        <f t="shared" si="509"/>
        <v>9</v>
      </c>
      <c r="EG99" s="565"/>
      <c r="EH99" s="553">
        <f t="shared" si="509"/>
        <v>0</v>
      </c>
      <c r="EI99" s="553">
        <f t="shared" si="509"/>
        <v>3</v>
      </c>
      <c r="EJ99" s="553">
        <f t="shared" ref="EJ99:ET99" si="513">EJ32+EJ67</f>
        <v>0</v>
      </c>
      <c r="EK99" s="553">
        <f t="shared" si="513"/>
        <v>0</v>
      </c>
      <c r="EL99" s="553">
        <f t="shared" si="513"/>
        <v>0</v>
      </c>
      <c r="EM99" s="553">
        <f t="shared" si="513"/>
        <v>0</v>
      </c>
      <c r="EN99" s="553">
        <f t="shared" si="513"/>
        <v>0</v>
      </c>
      <c r="EO99" s="553">
        <f t="shared" si="513"/>
        <v>0</v>
      </c>
      <c r="EP99" s="553">
        <f t="shared" si="513"/>
        <v>0</v>
      </c>
      <c r="EQ99" s="553">
        <f t="shared" si="513"/>
        <v>0</v>
      </c>
      <c r="ER99" s="553">
        <f t="shared" si="513"/>
        <v>0</v>
      </c>
      <c r="ES99" s="553">
        <f t="shared" si="513"/>
        <v>0</v>
      </c>
      <c r="ET99" s="560">
        <f t="shared" si="513"/>
        <v>3</v>
      </c>
      <c r="EU99" s="565"/>
    </row>
    <row r="100" spans="9:151" ht="10.5" customHeight="1" x14ac:dyDescent="0.35">
      <c r="I100" s="536"/>
      <c r="J100" s="531" t="s">
        <v>13</v>
      </c>
      <c r="K100" s="531" t="s">
        <v>502</v>
      </c>
      <c r="L100" s="553">
        <f t="shared" ref="L100:BW100" si="514">L33+L68</f>
        <v>0</v>
      </c>
      <c r="M100" s="553">
        <f t="shared" si="514"/>
        <v>0</v>
      </c>
      <c r="N100" s="553">
        <f t="shared" si="514"/>
        <v>0</v>
      </c>
      <c r="O100" s="553">
        <f t="shared" si="514"/>
        <v>0</v>
      </c>
      <c r="P100" s="553">
        <f t="shared" si="514"/>
        <v>0</v>
      </c>
      <c r="Q100" s="553">
        <f t="shared" si="514"/>
        <v>0</v>
      </c>
      <c r="R100" s="553">
        <f t="shared" si="514"/>
        <v>0</v>
      </c>
      <c r="S100" s="553">
        <f t="shared" si="514"/>
        <v>30</v>
      </c>
      <c r="T100" s="553">
        <f t="shared" si="514"/>
        <v>0</v>
      </c>
      <c r="U100" s="553">
        <f t="shared" si="514"/>
        <v>0</v>
      </c>
      <c r="V100" s="553">
        <f t="shared" si="514"/>
        <v>0</v>
      </c>
      <c r="W100" s="553">
        <f t="shared" si="514"/>
        <v>0</v>
      </c>
      <c r="X100" s="560">
        <f t="shared" si="514"/>
        <v>30</v>
      </c>
      <c r="Y100" s="565"/>
      <c r="Z100" s="553">
        <f t="shared" si="514"/>
        <v>0</v>
      </c>
      <c r="AA100" s="553">
        <f t="shared" si="514"/>
        <v>0</v>
      </c>
      <c r="AB100" s="553">
        <f t="shared" si="514"/>
        <v>0</v>
      </c>
      <c r="AC100" s="553">
        <f t="shared" si="514"/>
        <v>0</v>
      </c>
      <c r="AD100" s="553">
        <f t="shared" si="514"/>
        <v>0</v>
      </c>
      <c r="AE100" s="553">
        <f t="shared" si="514"/>
        <v>0</v>
      </c>
      <c r="AF100" s="553">
        <f t="shared" si="514"/>
        <v>0</v>
      </c>
      <c r="AG100" s="553">
        <f t="shared" si="514"/>
        <v>89</v>
      </c>
      <c r="AH100" s="553">
        <f t="shared" si="514"/>
        <v>0</v>
      </c>
      <c r="AI100" s="553">
        <f t="shared" si="514"/>
        <v>0</v>
      </c>
      <c r="AJ100" s="553">
        <f t="shared" si="514"/>
        <v>0</v>
      </c>
      <c r="AK100" s="553">
        <f t="shared" si="514"/>
        <v>0</v>
      </c>
      <c r="AL100" s="560">
        <f t="shared" si="514"/>
        <v>89</v>
      </c>
      <c r="AM100" s="565"/>
      <c r="AN100" s="553">
        <f t="shared" si="514"/>
        <v>0</v>
      </c>
      <c r="AO100" s="553">
        <f t="shared" si="514"/>
        <v>30</v>
      </c>
      <c r="AP100" s="553">
        <f t="shared" si="514"/>
        <v>0</v>
      </c>
      <c r="AQ100" s="553">
        <f t="shared" si="514"/>
        <v>0</v>
      </c>
      <c r="AR100" s="553">
        <f t="shared" si="514"/>
        <v>0</v>
      </c>
      <c r="AS100" s="553">
        <f t="shared" si="514"/>
        <v>0</v>
      </c>
      <c r="AT100" s="553">
        <f t="shared" si="514"/>
        <v>0</v>
      </c>
      <c r="AU100" s="553">
        <f t="shared" si="514"/>
        <v>0</v>
      </c>
      <c r="AV100" s="553">
        <f t="shared" si="514"/>
        <v>0</v>
      </c>
      <c r="AW100" s="553">
        <f t="shared" si="514"/>
        <v>0</v>
      </c>
      <c r="AX100" s="553">
        <f t="shared" si="514"/>
        <v>0</v>
      </c>
      <c r="AY100" s="553">
        <f t="shared" si="514"/>
        <v>0</v>
      </c>
      <c r="AZ100" s="560">
        <f t="shared" si="514"/>
        <v>30</v>
      </c>
      <c r="BA100" s="565"/>
      <c r="BB100" s="553">
        <f t="shared" si="514"/>
        <v>0</v>
      </c>
      <c r="BC100" s="553">
        <f t="shared" si="514"/>
        <v>89</v>
      </c>
      <c r="BD100" s="553">
        <f t="shared" si="514"/>
        <v>0</v>
      </c>
      <c r="BE100" s="553">
        <f t="shared" si="514"/>
        <v>0</v>
      </c>
      <c r="BF100" s="553">
        <f t="shared" si="514"/>
        <v>0</v>
      </c>
      <c r="BG100" s="553">
        <f t="shared" si="514"/>
        <v>0</v>
      </c>
      <c r="BH100" s="553">
        <f t="shared" si="514"/>
        <v>0</v>
      </c>
      <c r="BI100" s="553">
        <f t="shared" si="514"/>
        <v>30</v>
      </c>
      <c r="BJ100" s="553">
        <f t="shared" si="514"/>
        <v>0</v>
      </c>
      <c r="BK100" s="553">
        <f t="shared" si="514"/>
        <v>0</v>
      </c>
      <c r="BL100" s="553">
        <f t="shared" si="514"/>
        <v>0</v>
      </c>
      <c r="BM100" s="553">
        <f t="shared" si="514"/>
        <v>0</v>
      </c>
      <c r="BN100" s="560">
        <f t="shared" si="514"/>
        <v>119</v>
      </c>
      <c r="BO100" s="565"/>
      <c r="BP100" s="553">
        <f t="shared" si="514"/>
        <v>0</v>
      </c>
      <c r="BQ100" s="553">
        <f t="shared" si="514"/>
        <v>0</v>
      </c>
      <c r="BR100" s="553">
        <f t="shared" si="514"/>
        <v>0</v>
      </c>
      <c r="BS100" s="553">
        <f t="shared" si="514"/>
        <v>0</v>
      </c>
      <c r="BT100" s="553">
        <f t="shared" si="514"/>
        <v>0</v>
      </c>
      <c r="BU100" s="553">
        <f t="shared" si="514"/>
        <v>0</v>
      </c>
      <c r="BV100" s="553">
        <f t="shared" si="514"/>
        <v>0</v>
      </c>
      <c r="BW100" s="553">
        <f t="shared" si="514"/>
        <v>89</v>
      </c>
      <c r="BX100" s="553">
        <f t="shared" ref="BX100:EI100" si="515">BX33+BX68</f>
        <v>0</v>
      </c>
      <c r="BY100" s="553">
        <f t="shared" si="515"/>
        <v>0</v>
      </c>
      <c r="BZ100" s="553">
        <f t="shared" si="515"/>
        <v>0</v>
      </c>
      <c r="CA100" s="553">
        <f t="shared" si="515"/>
        <v>0</v>
      </c>
      <c r="CB100" s="560">
        <f t="shared" ref="CB100" si="516">CB33+CB68</f>
        <v>89</v>
      </c>
      <c r="CC100" s="565"/>
      <c r="CD100" s="553">
        <f t="shared" si="515"/>
        <v>0</v>
      </c>
      <c r="CE100" s="553">
        <f t="shared" si="515"/>
        <v>0</v>
      </c>
      <c r="CF100" s="553">
        <f t="shared" si="515"/>
        <v>30</v>
      </c>
      <c r="CG100" s="553">
        <f t="shared" si="515"/>
        <v>0</v>
      </c>
      <c r="CH100" s="553">
        <f t="shared" si="515"/>
        <v>0</v>
      </c>
      <c r="CI100" s="553">
        <f t="shared" si="515"/>
        <v>0</v>
      </c>
      <c r="CJ100" s="553">
        <f t="shared" si="515"/>
        <v>0</v>
      </c>
      <c r="CK100" s="553">
        <f t="shared" si="515"/>
        <v>0</v>
      </c>
      <c r="CL100" s="553">
        <f t="shared" si="515"/>
        <v>0</v>
      </c>
      <c r="CM100" s="553">
        <f t="shared" si="515"/>
        <v>0</v>
      </c>
      <c r="CN100" s="553">
        <f t="shared" si="515"/>
        <v>0</v>
      </c>
      <c r="CO100" s="553">
        <f t="shared" si="515"/>
        <v>0</v>
      </c>
      <c r="CP100" s="560">
        <f t="shared" ref="CP100" si="517">CP33+CP68</f>
        <v>30</v>
      </c>
      <c r="CQ100" s="565"/>
      <c r="CR100" s="553">
        <f t="shared" si="515"/>
        <v>0</v>
      </c>
      <c r="CS100" s="553">
        <f t="shared" si="515"/>
        <v>0</v>
      </c>
      <c r="CT100" s="553">
        <f t="shared" si="515"/>
        <v>89</v>
      </c>
      <c r="CU100" s="553">
        <f t="shared" si="515"/>
        <v>0</v>
      </c>
      <c r="CV100" s="553">
        <f t="shared" si="515"/>
        <v>0</v>
      </c>
      <c r="CW100" s="553">
        <f t="shared" si="515"/>
        <v>0</v>
      </c>
      <c r="CX100" s="553">
        <f t="shared" si="515"/>
        <v>0</v>
      </c>
      <c r="CY100" s="553">
        <f t="shared" si="515"/>
        <v>30</v>
      </c>
      <c r="CZ100" s="553">
        <f t="shared" si="515"/>
        <v>0</v>
      </c>
      <c r="DA100" s="553">
        <f t="shared" si="515"/>
        <v>0</v>
      </c>
      <c r="DB100" s="553">
        <f t="shared" si="515"/>
        <v>0</v>
      </c>
      <c r="DC100" s="553">
        <f t="shared" si="515"/>
        <v>0</v>
      </c>
      <c r="DD100" s="560">
        <f t="shared" ref="DD100" si="518">DD33+DD68</f>
        <v>119</v>
      </c>
      <c r="DE100" s="565"/>
      <c r="DF100" s="553">
        <f t="shared" si="515"/>
        <v>0</v>
      </c>
      <c r="DG100" s="553">
        <f t="shared" si="515"/>
        <v>0</v>
      </c>
      <c r="DH100" s="553">
        <f t="shared" si="515"/>
        <v>0</v>
      </c>
      <c r="DI100" s="553">
        <f t="shared" si="515"/>
        <v>0</v>
      </c>
      <c r="DJ100" s="553">
        <f t="shared" si="515"/>
        <v>0</v>
      </c>
      <c r="DK100" s="553">
        <f t="shared" si="515"/>
        <v>0</v>
      </c>
      <c r="DL100" s="553">
        <f t="shared" si="515"/>
        <v>0</v>
      </c>
      <c r="DM100" s="553">
        <f t="shared" si="515"/>
        <v>89</v>
      </c>
      <c r="DN100" s="553">
        <f t="shared" si="515"/>
        <v>0</v>
      </c>
      <c r="DO100" s="553">
        <f t="shared" si="515"/>
        <v>0</v>
      </c>
      <c r="DP100" s="553">
        <f t="shared" si="515"/>
        <v>0</v>
      </c>
      <c r="DQ100" s="553">
        <f t="shared" si="515"/>
        <v>0</v>
      </c>
      <c r="DR100" s="560">
        <f t="shared" si="515"/>
        <v>89</v>
      </c>
      <c r="DS100" s="565"/>
      <c r="DT100" s="553">
        <f t="shared" si="515"/>
        <v>0</v>
      </c>
      <c r="DU100" s="553">
        <f t="shared" si="515"/>
        <v>30</v>
      </c>
      <c r="DV100" s="553">
        <f t="shared" si="515"/>
        <v>0</v>
      </c>
      <c r="DW100" s="553">
        <f t="shared" si="515"/>
        <v>0</v>
      </c>
      <c r="DX100" s="553">
        <f t="shared" si="515"/>
        <v>0</v>
      </c>
      <c r="DY100" s="553">
        <f t="shared" si="515"/>
        <v>0</v>
      </c>
      <c r="DZ100" s="553">
        <f t="shared" si="515"/>
        <v>0</v>
      </c>
      <c r="EA100" s="553">
        <f t="shared" si="515"/>
        <v>0</v>
      </c>
      <c r="EB100" s="553">
        <f t="shared" si="515"/>
        <v>0</v>
      </c>
      <c r="EC100" s="553">
        <f t="shared" si="515"/>
        <v>0</v>
      </c>
      <c r="ED100" s="553">
        <f t="shared" si="515"/>
        <v>0</v>
      </c>
      <c r="EE100" s="553">
        <f t="shared" si="515"/>
        <v>0</v>
      </c>
      <c r="EF100" s="560">
        <f t="shared" si="515"/>
        <v>30</v>
      </c>
      <c r="EG100" s="565"/>
      <c r="EH100" s="553">
        <f t="shared" si="515"/>
        <v>0</v>
      </c>
      <c r="EI100" s="553">
        <f t="shared" si="515"/>
        <v>89</v>
      </c>
      <c r="EJ100" s="553">
        <f t="shared" ref="EJ100:ET100" si="519">EJ33+EJ68</f>
        <v>0</v>
      </c>
      <c r="EK100" s="553">
        <f t="shared" si="519"/>
        <v>0</v>
      </c>
      <c r="EL100" s="553">
        <f t="shared" si="519"/>
        <v>0</v>
      </c>
      <c r="EM100" s="553">
        <f t="shared" si="519"/>
        <v>0</v>
      </c>
      <c r="EN100" s="553">
        <f t="shared" si="519"/>
        <v>0</v>
      </c>
      <c r="EO100" s="553">
        <f t="shared" si="519"/>
        <v>30</v>
      </c>
      <c r="EP100" s="553">
        <f t="shared" si="519"/>
        <v>0</v>
      </c>
      <c r="EQ100" s="553">
        <f t="shared" si="519"/>
        <v>0</v>
      </c>
      <c r="ER100" s="553">
        <f t="shared" si="519"/>
        <v>0</v>
      </c>
      <c r="ES100" s="553">
        <f t="shared" si="519"/>
        <v>0</v>
      </c>
      <c r="ET100" s="560">
        <f t="shared" si="519"/>
        <v>119</v>
      </c>
      <c r="EU100" s="565"/>
    </row>
    <row r="101" spans="9:151" ht="10.5" customHeight="1" x14ac:dyDescent="0.35">
      <c r="I101" s="536">
        <v>2.6</v>
      </c>
      <c r="J101" s="531" t="s">
        <v>51</v>
      </c>
      <c r="K101" s="461"/>
      <c r="L101" s="553"/>
      <c r="M101" s="553"/>
      <c r="N101" s="553"/>
      <c r="O101" s="553"/>
      <c r="P101" s="553"/>
      <c r="Q101" s="553"/>
      <c r="R101" s="553"/>
      <c r="S101" s="553"/>
      <c r="T101" s="553"/>
      <c r="U101" s="553"/>
      <c r="V101" s="553"/>
      <c r="W101" s="553"/>
      <c r="X101" s="560"/>
      <c r="Y101" s="565"/>
      <c r="Z101" s="553"/>
      <c r="AA101" s="553"/>
      <c r="AB101" s="553"/>
      <c r="AC101" s="553"/>
      <c r="AD101" s="553"/>
      <c r="AE101" s="553"/>
      <c r="AF101" s="553"/>
      <c r="AG101" s="553"/>
      <c r="AH101" s="553"/>
      <c r="AI101" s="553"/>
      <c r="AJ101" s="553"/>
      <c r="AK101" s="553"/>
      <c r="AL101" s="560"/>
      <c r="AM101" s="565"/>
      <c r="AN101" s="553"/>
      <c r="AO101" s="553"/>
      <c r="AP101" s="553"/>
      <c r="AQ101" s="553"/>
      <c r="AR101" s="553"/>
      <c r="AS101" s="553"/>
      <c r="AT101" s="553"/>
      <c r="AU101" s="553"/>
      <c r="AV101" s="553"/>
      <c r="AW101" s="553"/>
      <c r="AX101" s="553"/>
      <c r="AY101" s="553"/>
      <c r="AZ101" s="560"/>
      <c r="BA101" s="565"/>
      <c r="BB101" s="553"/>
      <c r="BC101" s="553"/>
      <c r="BD101" s="553"/>
      <c r="BE101" s="553"/>
      <c r="BF101" s="553"/>
      <c r="BG101" s="553"/>
      <c r="BH101" s="553"/>
      <c r="BI101" s="553"/>
      <c r="BJ101" s="553"/>
      <c r="BK101" s="553"/>
      <c r="BL101" s="553"/>
      <c r="BM101" s="553"/>
      <c r="BN101" s="560"/>
      <c r="BO101" s="565"/>
      <c r="BP101" s="553"/>
      <c r="BQ101" s="553"/>
      <c r="BR101" s="553"/>
      <c r="BS101" s="553"/>
      <c r="BT101" s="553"/>
      <c r="BU101" s="553"/>
      <c r="BV101" s="553"/>
      <c r="BW101" s="553"/>
      <c r="BX101" s="553"/>
      <c r="BY101" s="553"/>
      <c r="BZ101" s="553"/>
      <c r="CA101" s="553"/>
      <c r="CB101" s="560"/>
      <c r="CC101" s="565"/>
      <c r="CD101" s="553"/>
      <c r="CE101" s="553"/>
      <c r="CF101" s="553"/>
      <c r="CG101" s="553"/>
      <c r="CH101" s="553"/>
      <c r="CI101" s="553"/>
      <c r="CJ101" s="553"/>
      <c r="CK101" s="553"/>
      <c r="CL101" s="553"/>
      <c r="CM101" s="553"/>
      <c r="CN101" s="553"/>
      <c r="CO101" s="553"/>
      <c r="CP101" s="560"/>
      <c r="CQ101" s="565"/>
      <c r="CR101" s="553"/>
      <c r="CS101" s="553"/>
      <c r="CT101" s="553"/>
      <c r="CU101" s="553"/>
      <c r="CV101" s="553"/>
      <c r="CW101" s="553"/>
      <c r="CX101" s="553"/>
      <c r="CY101" s="553"/>
      <c r="CZ101" s="553"/>
      <c r="DA101" s="553"/>
      <c r="DB101" s="553"/>
      <c r="DC101" s="553"/>
      <c r="DD101" s="560"/>
      <c r="DE101" s="565"/>
      <c r="DF101" s="553"/>
      <c r="DG101" s="553"/>
      <c r="DH101" s="553"/>
      <c r="DI101" s="553"/>
      <c r="DJ101" s="553"/>
      <c r="DK101" s="553"/>
      <c r="DL101" s="553"/>
      <c r="DM101" s="553"/>
      <c r="DN101" s="553"/>
      <c r="DO101" s="553"/>
      <c r="DP101" s="553"/>
      <c r="DQ101" s="553"/>
      <c r="DR101" s="560"/>
      <c r="DS101" s="565"/>
      <c r="DT101" s="553"/>
      <c r="DU101" s="553"/>
      <c r="DV101" s="553"/>
      <c r="DW101" s="553"/>
      <c r="DX101" s="553"/>
      <c r="DY101" s="553"/>
      <c r="DZ101" s="553"/>
      <c r="EA101" s="553"/>
      <c r="EB101" s="553"/>
      <c r="EC101" s="553"/>
      <c r="ED101" s="553"/>
      <c r="EE101" s="553"/>
      <c r="EF101" s="560"/>
      <c r="EG101" s="565"/>
      <c r="EH101" s="553"/>
      <c r="EI101" s="553"/>
      <c r="EJ101" s="553"/>
      <c r="EK101" s="553"/>
      <c r="EL101" s="553"/>
      <c r="EM101" s="553"/>
      <c r="EN101" s="553"/>
      <c r="EO101" s="553"/>
      <c r="EP101" s="553"/>
      <c r="EQ101" s="553"/>
      <c r="ER101" s="553"/>
      <c r="ES101" s="553"/>
      <c r="ET101" s="560"/>
      <c r="EU101" s="565"/>
    </row>
    <row r="102" spans="9:151" ht="10.5" customHeight="1" x14ac:dyDescent="0.35">
      <c r="I102" s="536"/>
      <c r="J102" s="531" t="s">
        <v>9</v>
      </c>
      <c r="K102" s="531" t="s">
        <v>1078</v>
      </c>
      <c r="L102" s="553">
        <f t="shared" ref="L102:BW102" si="520">L35+L70</f>
        <v>6</v>
      </c>
      <c r="M102" s="553">
        <f t="shared" si="520"/>
        <v>0</v>
      </c>
      <c r="N102" s="553">
        <f t="shared" si="520"/>
        <v>0</v>
      </c>
      <c r="O102" s="553">
        <f t="shared" si="520"/>
        <v>0</v>
      </c>
      <c r="P102" s="553">
        <f t="shared" si="520"/>
        <v>0</v>
      </c>
      <c r="Q102" s="553">
        <f t="shared" si="520"/>
        <v>0</v>
      </c>
      <c r="R102" s="553">
        <f t="shared" si="520"/>
        <v>0</v>
      </c>
      <c r="S102" s="553">
        <f t="shared" si="520"/>
        <v>6</v>
      </c>
      <c r="T102" s="553">
        <f t="shared" si="520"/>
        <v>0</v>
      </c>
      <c r="U102" s="553">
        <f t="shared" si="520"/>
        <v>0</v>
      </c>
      <c r="V102" s="553">
        <f t="shared" si="520"/>
        <v>0</v>
      </c>
      <c r="W102" s="553">
        <f t="shared" si="520"/>
        <v>0</v>
      </c>
      <c r="X102" s="560">
        <f t="shared" si="520"/>
        <v>12</v>
      </c>
      <c r="Y102" s="565"/>
      <c r="Z102" s="553">
        <f t="shared" si="520"/>
        <v>18</v>
      </c>
      <c r="AA102" s="553">
        <f t="shared" si="520"/>
        <v>0</v>
      </c>
      <c r="AB102" s="553">
        <f t="shared" si="520"/>
        <v>0</v>
      </c>
      <c r="AC102" s="553">
        <f t="shared" si="520"/>
        <v>0</v>
      </c>
      <c r="AD102" s="553">
        <f t="shared" si="520"/>
        <v>0</v>
      </c>
      <c r="AE102" s="553">
        <f t="shared" si="520"/>
        <v>0</v>
      </c>
      <c r="AF102" s="553">
        <f t="shared" si="520"/>
        <v>6</v>
      </c>
      <c r="AG102" s="553">
        <f t="shared" si="520"/>
        <v>18</v>
      </c>
      <c r="AH102" s="553">
        <f t="shared" si="520"/>
        <v>0</v>
      </c>
      <c r="AI102" s="553">
        <f t="shared" si="520"/>
        <v>0</v>
      </c>
      <c r="AJ102" s="553">
        <f t="shared" si="520"/>
        <v>0</v>
      </c>
      <c r="AK102" s="553">
        <f t="shared" si="520"/>
        <v>0</v>
      </c>
      <c r="AL102" s="560">
        <f t="shared" si="520"/>
        <v>42</v>
      </c>
      <c r="AM102" s="565"/>
      <c r="AN102" s="553">
        <f t="shared" si="520"/>
        <v>0</v>
      </c>
      <c r="AO102" s="553">
        <f t="shared" si="520"/>
        <v>6</v>
      </c>
      <c r="AP102" s="553">
        <f t="shared" si="520"/>
        <v>0</v>
      </c>
      <c r="AQ102" s="553">
        <f t="shared" si="520"/>
        <v>0</v>
      </c>
      <c r="AR102" s="553">
        <f t="shared" si="520"/>
        <v>0</v>
      </c>
      <c r="AS102" s="553">
        <f t="shared" si="520"/>
        <v>0</v>
      </c>
      <c r="AT102" s="553">
        <f t="shared" si="520"/>
        <v>18</v>
      </c>
      <c r="AU102" s="553">
        <f t="shared" si="520"/>
        <v>0</v>
      </c>
      <c r="AV102" s="553">
        <f t="shared" si="520"/>
        <v>0</v>
      </c>
      <c r="AW102" s="553">
        <f t="shared" si="520"/>
        <v>0</v>
      </c>
      <c r="AX102" s="553">
        <f t="shared" si="520"/>
        <v>0</v>
      </c>
      <c r="AY102" s="553">
        <f t="shared" si="520"/>
        <v>0</v>
      </c>
      <c r="AZ102" s="560">
        <f t="shared" si="520"/>
        <v>24</v>
      </c>
      <c r="BA102" s="565"/>
      <c r="BB102" s="553">
        <f t="shared" si="520"/>
        <v>6</v>
      </c>
      <c r="BC102" s="553">
        <f t="shared" si="520"/>
        <v>18</v>
      </c>
      <c r="BD102" s="553">
        <f t="shared" si="520"/>
        <v>0</v>
      </c>
      <c r="BE102" s="553">
        <f t="shared" si="520"/>
        <v>0</v>
      </c>
      <c r="BF102" s="553">
        <f t="shared" si="520"/>
        <v>0</v>
      </c>
      <c r="BG102" s="553">
        <f t="shared" si="520"/>
        <v>0</v>
      </c>
      <c r="BH102" s="553">
        <f t="shared" si="520"/>
        <v>0</v>
      </c>
      <c r="BI102" s="553">
        <f t="shared" si="520"/>
        <v>6</v>
      </c>
      <c r="BJ102" s="553">
        <f t="shared" si="520"/>
        <v>0</v>
      </c>
      <c r="BK102" s="553">
        <f t="shared" si="520"/>
        <v>0</v>
      </c>
      <c r="BL102" s="553">
        <f t="shared" si="520"/>
        <v>0</v>
      </c>
      <c r="BM102" s="553">
        <f t="shared" si="520"/>
        <v>0</v>
      </c>
      <c r="BN102" s="560">
        <f t="shared" si="520"/>
        <v>30</v>
      </c>
      <c r="BO102" s="565"/>
      <c r="BP102" s="553">
        <f t="shared" si="520"/>
        <v>18</v>
      </c>
      <c r="BQ102" s="553">
        <f t="shared" si="520"/>
        <v>0</v>
      </c>
      <c r="BR102" s="553">
        <f t="shared" si="520"/>
        <v>0</v>
      </c>
      <c r="BS102" s="553">
        <f t="shared" si="520"/>
        <v>0</v>
      </c>
      <c r="BT102" s="553">
        <f t="shared" si="520"/>
        <v>0</v>
      </c>
      <c r="BU102" s="553">
        <f t="shared" si="520"/>
        <v>0</v>
      </c>
      <c r="BV102" s="553">
        <f t="shared" si="520"/>
        <v>6</v>
      </c>
      <c r="BW102" s="553">
        <f t="shared" si="520"/>
        <v>18</v>
      </c>
      <c r="BX102" s="553">
        <f t="shared" ref="BX102:EI102" si="521">BX35+BX70</f>
        <v>0</v>
      </c>
      <c r="BY102" s="553">
        <f t="shared" si="521"/>
        <v>0</v>
      </c>
      <c r="BZ102" s="553">
        <f t="shared" si="521"/>
        <v>0</v>
      </c>
      <c r="CA102" s="553">
        <f t="shared" si="521"/>
        <v>0</v>
      </c>
      <c r="CB102" s="560">
        <f t="shared" ref="CB102" si="522">CB35+CB70</f>
        <v>42</v>
      </c>
      <c r="CC102" s="565"/>
      <c r="CD102" s="553">
        <f t="shared" si="521"/>
        <v>0</v>
      </c>
      <c r="CE102" s="553">
        <f t="shared" si="521"/>
        <v>0</v>
      </c>
      <c r="CF102" s="553">
        <f t="shared" si="521"/>
        <v>6</v>
      </c>
      <c r="CG102" s="553">
        <f t="shared" si="521"/>
        <v>0</v>
      </c>
      <c r="CH102" s="553">
        <f t="shared" si="521"/>
        <v>0</v>
      </c>
      <c r="CI102" s="553">
        <f t="shared" si="521"/>
        <v>0</v>
      </c>
      <c r="CJ102" s="553">
        <f t="shared" si="521"/>
        <v>18</v>
      </c>
      <c r="CK102" s="553">
        <f t="shared" si="521"/>
        <v>0</v>
      </c>
      <c r="CL102" s="553">
        <f t="shared" si="521"/>
        <v>0</v>
      </c>
      <c r="CM102" s="553">
        <f t="shared" si="521"/>
        <v>0</v>
      </c>
      <c r="CN102" s="553">
        <f t="shared" si="521"/>
        <v>0</v>
      </c>
      <c r="CO102" s="553">
        <f t="shared" si="521"/>
        <v>0</v>
      </c>
      <c r="CP102" s="560">
        <f t="shared" ref="CP102" si="523">CP35+CP70</f>
        <v>24</v>
      </c>
      <c r="CQ102" s="565"/>
      <c r="CR102" s="553">
        <f t="shared" si="521"/>
        <v>6</v>
      </c>
      <c r="CS102" s="553">
        <f t="shared" si="521"/>
        <v>0</v>
      </c>
      <c r="CT102" s="553">
        <f t="shared" si="521"/>
        <v>18</v>
      </c>
      <c r="CU102" s="553">
        <f t="shared" si="521"/>
        <v>0</v>
      </c>
      <c r="CV102" s="553">
        <f t="shared" si="521"/>
        <v>0</v>
      </c>
      <c r="CW102" s="553">
        <f t="shared" si="521"/>
        <v>0</v>
      </c>
      <c r="CX102" s="553">
        <f t="shared" si="521"/>
        <v>0</v>
      </c>
      <c r="CY102" s="553">
        <f t="shared" si="521"/>
        <v>6</v>
      </c>
      <c r="CZ102" s="553">
        <f t="shared" si="521"/>
        <v>0</v>
      </c>
      <c r="DA102" s="553">
        <f t="shared" si="521"/>
        <v>0</v>
      </c>
      <c r="DB102" s="553">
        <f t="shared" si="521"/>
        <v>0</v>
      </c>
      <c r="DC102" s="553">
        <f t="shared" si="521"/>
        <v>0</v>
      </c>
      <c r="DD102" s="560">
        <f t="shared" ref="DD102" si="524">DD35+DD70</f>
        <v>30</v>
      </c>
      <c r="DE102" s="565"/>
      <c r="DF102" s="553">
        <f t="shared" si="521"/>
        <v>18</v>
      </c>
      <c r="DG102" s="553">
        <f t="shared" si="521"/>
        <v>0</v>
      </c>
      <c r="DH102" s="553">
        <f t="shared" si="521"/>
        <v>0</v>
      </c>
      <c r="DI102" s="553">
        <f t="shared" si="521"/>
        <v>0</v>
      </c>
      <c r="DJ102" s="553">
        <f t="shared" si="521"/>
        <v>0</v>
      </c>
      <c r="DK102" s="553">
        <f t="shared" si="521"/>
        <v>0</v>
      </c>
      <c r="DL102" s="553">
        <f t="shared" si="521"/>
        <v>6</v>
      </c>
      <c r="DM102" s="553">
        <f t="shared" si="521"/>
        <v>18</v>
      </c>
      <c r="DN102" s="553">
        <f t="shared" si="521"/>
        <v>0</v>
      </c>
      <c r="DO102" s="553">
        <f t="shared" si="521"/>
        <v>0</v>
      </c>
      <c r="DP102" s="553">
        <f t="shared" si="521"/>
        <v>0</v>
      </c>
      <c r="DQ102" s="553">
        <f t="shared" si="521"/>
        <v>0</v>
      </c>
      <c r="DR102" s="560">
        <f t="shared" si="521"/>
        <v>42</v>
      </c>
      <c r="DS102" s="565"/>
      <c r="DT102" s="553">
        <f t="shared" si="521"/>
        <v>0</v>
      </c>
      <c r="DU102" s="553">
        <f t="shared" si="521"/>
        <v>6</v>
      </c>
      <c r="DV102" s="553">
        <f t="shared" si="521"/>
        <v>0</v>
      </c>
      <c r="DW102" s="553">
        <f t="shared" si="521"/>
        <v>0</v>
      </c>
      <c r="DX102" s="553">
        <f t="shared" si="521"/>
        <v>0</v>
      </c>
      <c r="DY102" s="553">
        <f t="shared" si="521"/>
        <v>0</v>
      </c>
      <c r="DZ102" s="553">
        <f t="shared" si="521"/>
        <v>18</v>
      </c>
      <c r="EA102" s="553">
        <f t="shared" si="521"/>
        <v>0</v>
      </c>
      <c r="EB102" s="553">
        <f t="shared" si="521"/>
        <v>0</v>
      </c>
      <c r="EC102" s="553">
        <f t="shared" si="521"/>
        <v>0</v>
      </c>
      <c r="ED102" s="553">
        <f t="shared" si="521"/>
        <v>0</v>
      </c>
      <c r="EE102" s="553">
        <f t="shared" si="521"/>
        <v>0</v>
      </c>
      <c r="EF102" s="560">
        <f t="shared" si="521"/>
        <v>24</v>
      </c>
      <c r="EG102" s="565"/>
      <c r="EH102" s="553">
        <f t="shared" si="521"/>
        <v>6</v>
      </c>
      <c r="EI102" s="553">
        <f t="shared" si="521"/>
        <v>18</v>
      </c>
      <c r="EJ102" s="553">
        <f t="shared" ref="EJ102:ET102" si="525">EJ35+EJ70</f>
        <v>0</v>
      </c>
      <c r="EK102" s="553">
        <f t="shared" si="525"/>
        <v>0</v>
      </c>
      <c r="EL102" s="553">
        <f t="shared" si="525"/>
        <v>0</v>
      </c>
      <c r="EM102" s="553">
        <f t="shared" si="525"/>
        <v>0</v>
      </c>
      <c r="EN102" s="553">
        <f t="shared" si="525"/>
        <v>0</v>
      </c>
      <c r="EO102" s="553">
        <f t="shared" si="525"/>
        <v>6</v>
      </c>
      <c r="EP102" s="553">
        <f t="shared" si="525"/>
        <v>0</v>
      </c>
      <c r="EQ102" s="553">
        <f t="shared" si="525"/>
        <v>0</v>
      </c>
      <c r="ER102" s="553">
        <f t="shared" si="525"/>
        <v>0</v>
      </c>
      <c r="ES102" s="553">
        <f t="shared" si="525"/>
        <v>0</v>
      </c>
      <c r="ET102" s="560">
        <f t="shared" si="525"/>
        <v>30</v>
      </c>
      <c r="EU102" s="565"/>
    </row>
    <row r="103" spans="9:151" ht="10.5" customHeight="1" x14ac:dyDescent="0.35">
      <c r="I103" s="536"/>
      <c r="J103" s="531" t="s">
        <v>10</v>
      </c>
      <c r="K103" s="531" t="s">
        <v>1079</v>
      </c>
      <c r="L103" s="553">
        <f t="shared" ref="L103:BW103" si="526">L36+L71</f>
        <v>0</v>
      </c>
      <c r="M103" s="553">
        <f t="shared" si="526"/>
        <v>0</v>
      </c>
      <c r="N103" s="553">
        <f t="shared" si="526"/>
        <v>15</v>
      </c>
      <c r="O103" s="553">
        <f t="shared" si="526"/>
        <v>0</v>
      </c>
      <c r="P103" s="553">
        <f t="shared" si="526"/>
        <v>0</v>
      </c>
      <c r="Q103" s="553">
        <f t="shared" si="526"/>
        <v>0</v>
      </c>
      <c r="R103" s="553">
        <f t="shared" si="526"/>
        <v>0</v>
      </c>
      <c r="S103" s="553">
        <f t="shared" si="526"/>
        <v>0</v>
      </c>
      <c r="T103" s="553">
        <f t="shared" si="526"/>
        <v>0</v>
      </c>
      <c r="U103" s="553">
        <f t="shared" si="526"/>
        <v>0</v>
      </c>
      <c r="V103" s="553">
        <f t="shared" si="526"/>
        <v>0</v>
      </c>
      <c r="W103" s="553">
        <f t="shared" si="526"/>
        <v>0</v>
      </c>
      <c r="X103" s="560">
        <f t="shared" si="526"/>
        <v>15</v>
      </c>
      <c r="Y103" s="565"/>
      <c r="Z103" s="553">
        <f t="shared" si="526"/>
        <v>0</v>
      </c>
      <c r="AA103" s="553">
        <f t="shared" si="526"/>
        <v>0</v>
      </c>
      <c r="AB103" s="553">
        <f t="shared" si="526"/>
        <v>44</v>
      </c>
      <c r="AC103" s="553">
        <f t="shared" si="526"/>
        <v>0</v>
      </c>
      <c r="AD103" s="553">
        <f t="shared" si="526"/>
        <v>0</v>
      </c>
      <c r="AE103" s="553">
        <f t="shared" si="526"/>
        <v>0</v>
      </c>
      <c r="AF103" s="553">
        <f t="shared" si="526"/>
        <v>0</v>
      </c>
      <c r="AG103" s="553">
        <f t="shared" si="526"/>
        <v>0</v>
      </c>
      <c r="AH103" s="553">
        <f t="shared" si="526"/>
        <v>15</v>
      </c>
      <c r="AI103" s="553">
        <f t="shared" si="526"/>
        <v>0</v>
      </c>
      <c r="AJ103" s="553">
        <f t="shared" si="526"/>
        <v>0</v>
      </c>
      <c r="AK103" s="553">
        <f t="shared" si="526"/>
        <v>0</v>
      </c>
      <c r="AL103" s="560">
        <f t="shared" si="526"/>
        <v>59</v>
      </c>
      <c r="AM103" s="565"/>
      <c r="AN103" s="553">
        <f t="shared" si="526"/>
        <v>0</v>
      </c>
      <c r="AO103" s="553">
        <f t="shared" si="526"/>
        <v>0</v>
      </c>
      <c r="AP103" s="553">
        <f t="shared" si="526"/>
        <v>0</v>
      </c>
      <c r="AQ103" s="553">
        <f t="shared" si="526"/>
        <v>0</v>
      </c>
      <c r="AR103" s="553">
        <f t="shared" si="526"/>
        <v>0</v>
      </c>
      <c r="AS103" s="553">
        <f t="shared" si="526"/>
        <v>0</v>
      </c>
      <c r="AT103" s="553">
        <f t="shared" si="526"/>
        <v>0</v>
      </c>
      <c r="AU103" s="553">
        <f t="shared" si="526"/>
        <v>0</v>
      </c>
      <c r="AV103" s="553">
        <f t="shared" si="526"/>
        <v>44</v>
      </c>
      <c r="AW103" s="553">
        <f t="shared" si="526"/>
        <v>0</v>
      </c>
      <c r="AX103" s="553">
        <f t="shared" si="526"/>
        <v>0</v>
      </c>
      <c r="AY103" s="553">
        <f t="shared" si="526"/>
        <v>0</v>
      </c>
      <c r="AZ103" s="560">
        <f t="shared" si="526"/>
        <v>44</v>
      </c>
      <c r="BA103" s="565"/>
      <c r="BB103" s="553">
        <f t="shared" si="526"/>
        <v>0</v>
      </c>
      <c r="BC103" s="553">
        <f t="shared" si="526"/>
        <v>0</v>
      </c>
      <c r="BD103" s="553">
        <f t="shared" si="526"/>
        <v>15</v>
      </c>
      <c r="BE103" s="553">
        <f t="shared" si="526"/>
        <v>0</v>
      </c>
      <c r="BF103" s="553">
        <f t="shared" si="526"/>
        <v>0</v>
      </c>
      <c r="BG103" s="553">
        <f t="shared" si="526"/>
        <v>0</v>
      </c>
      <c r="BH103" s="553">
        <f t="shared" si="526"/>
        <v>0</v>
      </c>
      <c r="BI103" s="553">
        <f t="shared" si="526"/>
        <v>0</v>
      </c>
      <c r="BJ103" s="553">
        <f t="shared" si="526"/>
        <v>0</v>
      </c>
      <c r="BK103" s="553">
        <f t="shared" si="526"/>
        <v>0</v>
      </c>
      <c r="BL103" s="553">
        <f t="shared" si="526"/>
        <v>0</v>
      </c>
      <c r="BM103" s="553">
        <f t="shared" si="526"/>
        <v>0</v>
      </c>
      <c r="BN103" s="560">
        <f t="shared" si="526"/>
        <v>15</v>
      </c>
      <c r="BO103" s="565"/>
      <c r="BP103" s="553">
        <f t="shared" si="526"/>
        <v>0</v>
      </c>
      <c r="BQ103" s="553">
        <f t="shared" si="526"/>
        <v>0</v>
      </c>
      <c r="BR103" s="553">
        <f t="shared" si="526"/>
        <v>44</v>
      </c>
      <c r="BS103" s="553">
        <f t="shared" si="526"/>
        <v>0</v>
      </c>
      <c r="BT103" s="553">
        <f t="shared" si="526"/>
        <v>0</v>
      </c>
      <c r="BU103" s="553">
        <f t="shared" si="526"/>
        <v>0</v>
      </c>
      <c r="BV103" s="553">
        <f t="shared" si="526"/>
        <v>0</v>
      </c>
      <c r="BW103" s="553">
        <f t="shared" si="526"/>
        <v>0</v>
      </c>
      <c r="BX103" s="553">
        <f t="shared" ref="BX103:EI103" si="527">BX36+BX71</f>
        <v>15</v>
      </c>
      <c r="BY103" s="553">
        <f t="shared" si="527"/>
        <v>0</v>
      </c>
      <c r="BZ103" s="553">
        <f t="shared" si="527"/>
        <v>0</v>
      </c>
      <c r="CA103" s="553">
        <f t="shared" si="527"/>
        <v>0</v>
      </c>
      <c r="CB103" s="560">
        <f t="shared" ref="CB103" si="528">CB36+CB71</f>
        <v>59</v>
      </c>
      <c r="CC103" s="565"/>
      <c r="CD103" s="553">
        <f t="shared" si="527"/>
        <v>0</v>
      </c>
      <c r="CE103" s="553">
        <f t="shared" si="527"/>
        <v>0</v>
      </c>
      <c r="CF103" s="553">
        <f t="shared" si="527"/>
        <v>0</v>
      </c>
      <c r="CG103" s="553">
        <f t="shared" si="527"/>
        <v>0</v>
      </c>
      <c r="CH103" s="553">
        <f t="shared" si="527"/>
        <v>0</v>
      </c>
      <c r="CI103" s="553">
        <f t="shared" si="527"/>
        <v>0</v>
      </c>
      <c r="CJ103" s="553">
        <f t="shared" si="527"/>
        <v>0</v>
      </c>
      <c r="CK103" s="553">
        <f t="shared" si="527"/>
        <v>0</v>
      </c>
      <c r="CL103" s="553">
        <f t="shared" si="527"/>
        <v>44</v>
      </c>
      <c r="CM103" s="553">
        <f t="shared" si="527"/>
        <v>0</v>
      </c>
      <c r="CN103" s="553">
        <f t="shared" si="527"/>
        <v>0</v>
      </c>
      <c r="CO103" s="553">
        <f t="shared" si="527"/>
        <v>0</v>
      </c>
      <c r="CP103" s="560">
        <f t="shared" ref="CP103" si="529">CP36+CP71</f>
        <v>44</v>
      </c>
      <c r="CQ103" s="565"/>
      <c r="CR103" s="553">
        <f t="shared" si="527"/>
        <v>0</v>
      </c>
      <c r="CS103" s="553">
        <f t="shared" si="527"/>
        <v>0</v>
      </c>
      <c r="CT103" s="553">
        <f t="shared" si="527"/>
        <v>15</v>
      </c>
      <c r="CU103" s="553">
        <f t="shared" si="527"/>
        <v>0</v>
      </c>
      <c r="CV103" s="553">
        <f t="shared" si="527"/>
        <v>0</v>
      </c>
      <c r="CW103" s="553">
        <f t="shared" si="527"/>
        <v>0</v>
      </c>
      <c r="CX103" s="553">
        <f t="shared" si="527"/>
        <v>0</v>
      </c>
      <c r="CY103" s="553">
        <f t="shared" si="527"/>
        <v>0</v>
      </c>
      <c r="CZ103" s="553">
        <f t="shared" si="527"/>
        <v>0</v>
      </c>
      <c r="DA103" s="553">
        <f t="shared" si="527"/>
        <v>0</v>
      </c>
      <c r="DB103" s="553">
        <f t="shared" si="527"/>
        <v>0</v>
      </c>
      <c r="DC103" s="553">
        <f t="shared" si="527"/>
        <v>0</v>
      </c>
      <c r="DD103" s="560">
        <f t="shared" ref="DD103" si="530">DD36+DD71</f>
        <v>15</v>
      </c>
      <c r="DE103" s="565"/>
      <c r="DF103" s="553">
        <f t="shared" si="527"/>
        <v>0</v>
      </c>
      <c r="DG103" s="553">
        <f t="shared" si="527"/>
        <v>0</v>
      </c>
      <c r="DH103" s="553">
        <f t="shared" si="527"/>
        <v>44</v>
      </c>
      <c r="DI103" s="553">
        <f t="shared" si="527"/>
        <v>0</v>
      </c>
      <c r="DJ103" s="553">
        <f t="shared" si="527"/>
        <v>0</v>
      </c>
      <c r="DK103" s="553">
        <f t="shared" si="527"/>
        <v>0</v>
      </c>
      <c r="DL103" s="553">
        <f t="shared" si="527"/>
        <v>0</v>
      </c>
      <c r="DM103" s="553">
        <f t="shared" si="527"/>
        <v>0</v>
      </c>
      <c r="DN103" s="553">
        <f t="shared" si="527"/>
        <v>15</v>
      </c>
      <c r="DO103" s="553">
        <f t="shared" si="527"/>
        <v>0</v>
      </c>
      <c r="DP103" s="553">
        <f t="shared" si="527"/>
        <v>0</v>
      </c>
      <c r="DQ103" s="553">
        <f t="shared" si="527"/>
        <v>0</v>
      </c>
      <c r="DR103" s="560">
        <f t="shared" si="527"/>
        <v>59</v>
      </c>
      <c r="DS103" s="565"/>
      <c r="DT103" s="553">
        <f t="shared" si="527"/>
        <v>0</v>
      </c>
      <c r="DU103" s="553">
        <f t="shared" si="527"/>
        <v>0</v>
      </c>
      <c r="DV103" s="553">
        <f t="shared" si="527"/>
        <v>0</v>
      </c>
      <c r="DW103" s="553">
        <f t="shared" si="527"/>
        <v>0</v>
      </c>
      <c r="DX103" s="553">
        <f t="shared" si="527"/>
        <v>0</v>
      </c>
      <c r="DY103" s="553">
        <f t="shared" si="527"/>
        <v>0</v>
      </c>
      <c r="DZ103" s="553">
        <f t="shared" si="527"/>
        <v>0</v>
      </c>
      <c r="EA103" s="553">
        <f t="shared" si="527"/>
        <v>0</v>
      </c>
      <c r="EB103" s="553">
        <f t="shared" si="527"/>
        <v>44</v>
      </c>
      <c r="EC103" s="553">
        <f t="shared" si="527"/>
        <v>0</v>
      </c>
      <c r="ED103" s="553">
        <f t="shared" si="527"/>
        <v>0</v>
      </c>
      <c r="EE103" s="553">
        <f t="shared" si="527"/>
        <v>0</v>
      </c>
      <c r="EF103" s="560">
        <f t="shared" si="527"/>
        <v>44</v>
      </c>
      <c r="EG103" s="565"/>
      <c r="EH103" s="553">
        <f t="shared" si="527"/>
        <v>0</v>
      </c>
      <c r="EI103" s="553">
        <f t="shared" si="527"/>
        <v>0</v>
      </c>
      <c r="EJ103" s="553">
        <f t="shared" ref="EJ103:ET103" si="531">EJ36+EJ71</f>
        <v>15</v>
      </c>
      <c r="EK103" s="553">
        <f t="shared" si="531"/>
        <v>0</v>
      </c>
      <c r="EL103" s="553">
        <f t="shared" si="531"/>
        <v>0</v>
      </c>
      <c r="EM103" s="553">
        <f t="shared" si="531"/>
        <v>0</v>
      </c>
      <c r="EN103" s="553">
        <f t="shared" si="531"/>
        <v>0</v>
      </c>
      <c r="EO103" s="553">
        <f t="shared" si="531"/>
        <v>0</v>
      </c>
      <c r="EP103" s="553">
        <f t="shared" si="531"/>
        <v>0</v>
      </c>
      <c r="EQ103" s="553">
        <f t="shared" si="531"/>
        <v>0</v>
      </c>
      <c r="ER103" s="553">
        <f t="shared" si="531"/>
        <v>0</v>
      </c>
      <c r="ES103" s="553">
        <f t="shared" si="531"/>
        <v>0</v>
      </c>
      <c r="ET103" s="560">
        <f t="shared" si="531"/>
        <v>15</v>
      </c>
      <c r="EU103" s="565"/>
    </row>
    <row r="104" spans="9:151" ht="10.5" customHeight="1" x14ac:dyDescent="0.35">
      <c r="I104" s="536">
        <v>2.7</v>
      </c>
      <c r="J104" s="531" t="s">
        <v>498</v>
      </c>
      <c r="K104" s="461"/>
      <c r="L104" s="553">
        <f t="shared" ref="L104:BW104" si="532">L37+L72</f>
        <v>0</v>
      </c>
      <c r="M104" s="553">
        <f t="shared" si="532"/>
        <v>0</v>
      </c>
      <c r="N104" s="553">
        <f t="shared" si="532"/>
        <v>0</v>
      </c>
      <c r="O104" s="553">
        <f t="shared" si="532"/>
        <v>0</v>
      </c>
      <c r="P104" s="553">
        <f t="shared" si="532"/>
        <v>0</v>
      </c>
      <c r="Q104" s="553">
        <f t="shared" si="532"/>
        <v>0</v>
      </c>
      <c r="R104" s="553">
        <f t="shared" si="532"/>
        <v>0</v>
      </c>
      <c r="S104" s="553">
        <f t="shared" si="532"/>
        <v>3</v>
      </c>
      <c r="T104" s="553">
        <f t="shared" si="532"/>
        <v>0</v>
      </c>
      <c r="U104" s="553">
        <f t="shared" si="532"/>
        <v>0</v>
      </c>
      <c r="V104" s="553">
        <f t="shared" si="532"/>
        <v>0</v>
      </c>
      <c r="W104" s="553">
        <f t="shared" si="532"/>
        <v>0</v>
      </c>
      <c r="X104" s="560">
        <f t="shared" si="532"/>
        <v>3</v>
      </c>
      <c r="Y104" s="565"/>
      <c r="Z104" s="553">
        <f t="shared" si="532"/>
        <v>0</v>
      </c>
      <c r="AA104" s="553">
        <f t="shared" si="532"/>
        <v>0</v>
      </c>
      <c r="AB104" s="553">
        <f t="shared" si="532"/>
        <v>0</v>
      </c>
      <c r="AC104" s="553">
        <f t="shared" si="532"/>
        <v>0</v>
      </c>
      <c r="AD104" s="553">
        <f t="shared" si="532"/>
        <v>0</v>
      </c>
      <c r="AE104" s="553">
        <f t="shared" si="532"/>
        <v>0</v>
      </c>
      <c r="AF104" s="553">
        <f t="shared" si="532"/>
        <v>0</v>
      </c>
      <c r="AG104" s="553">
        <f t="shared" si="532"/>
        <v>9</v>
      </c>
      <c r="AH104" s="553">
        <f t="shared" si="532"/>
        <v>0</v>
      </c>
      <c r="AI104" s="553">
        <f t="shared" si="532"/>
        <v>0</v>
      </c>
      <c r="AJ104" s="553">
        <f t="shared" si="532"/>
        <v>0</v>
      </c>
      <c r="AK104" s="553">
        <f t="shared" si="532"/>
        <v>0</v>
      </c>
      <c r="AL104" s="560">
        <f t="shared" si="532"/>
        <v>9</v>
      </c>
      <c r="AM104" s="565"/>
      <c r="AN104" s="553">
        <f t="shared" si="532"/>
        <v>0</v>
      </c>
      <c r="AO104" s="553">
        <f t="shared" si="532"/>
        <v>3</v>
      </c>
      <c r="AP104" s="553">
        <f t="shared" si="532"/>
        <v>0</v>
      </c>
      <c r="AQ104" s="553">
        <f t="shared" si="532"/>
        <v>0</v>
      </c>
      <c r="AR104" s="553">
        <f t="shared" si="532"/>
        <v>0</v>
      </c>
      <c r="AS104" s="553">
        <f t="shared" si="532"/>
        <v>0</v>
      </c>
      <c r="AT104" s="553">
        <f t="shared" si="532"/>
        <v>0</v>
      </c>
      <c r="AU104" s="553">
        <f t="shared" si="532"/>
        <v>0</v>
      </c>
      <c r="AV104" s="553">
        <f t="shared" si="532"/>
        <v>0</v>
      </c>
      <c r="AW104" s="553">
        <f t="shared" si="532"/>
        <v>0</v>
      </c>
      <c r="AX104" s="553">
        <f t="shared" si="532"/>
        <v>0</v>
      </c>
      <c r="AY104" s="553">
        <f t="shared" si="532"/>
        <v>0</v>
      </c>
      <c r="AZ104" s="560">
        <f t="shared" si="532"/>
        <v>3</v>
      </c>
      <c r="BA104" s="565"/>
      <c r="BB104" s="553">
        <f t="shared" si="532"/>
        <v>0</v>
      </c>
      <c r="BC104" s="553">
        <f t="shared" si="532"/>
        <v>9</v>
      </c>
      <c r="BD104" s="553">
        <f t="shared" si="532"/>
        <v>0</v>
      </c>
      <c r="BE104" s="553">
        <f t="shared" si="532"/>
        <v>0</v>
      </c>
      <c r="BF104" s="553">
        <f t="shared" si="532"/>
        <v>0</v>
      </c>
      <c r="BG104" s="553">
        <f t="shared" si="532"/>
        <v>0</v>
      </c>
      <c r="BH104" s="553">
        <f t="shared" si="532"/>
        <v>0</v>
      </c>
      <c r="BI104" s="553">
        <f t="shared" si="532"/>
        <v>3</v>
      </c>
      <c r="BJ104" s="553">
        <f t="shared" si="532"/>
        <v>0</v>
      </c>
      <c r="BK104" s="553">
        <f t="shared" si="532"/>
        <v>0</v>
      </c>
      <c r="BL104" s="553">
        <f t="shared" si="532"/>
        <v>0</v>
      </c>
      <c r="BM104" s="553">
        <f t="shared" si="532"/>
        <v>0</v>
      </c>
      <c r="BN104" s="560">
        <f t="shared" si="532"/>
        <v>12</v>
      </c>
      <c r="BO104" s="565"/>
      <c r="BP104" s="553">
        <f t="shared" si="532"/>
        <v>0</v>
      </c>
      <c r="BQ104" s="553">
        <f t="shared" si="532"/>
        <v>0</v>
      </c>
      <c r="BR104" s="553">
        <f t="shared" si="532"/>
        <v>0</v>
      </c>
      <c r="BS104" s="553">
        <f t="shared" si="532"/>
        <v>0</v>
      </c>
      <c r="BT104" s="553">
        <f t="shared" si="532"/>
        <v>0</v>
      </c>
      <c r="BU104" s="553">
        <f t="shared" si="532"/>
        <v>0</v>
      </c>
      <c r="BV104" s="553">
        <f t="shared" si="532"/>
        <v>0</v>
      </c>
      <c r="BW104" s="553">
        <f t="shared" si="532"/>
        <v>9</v>
      </c>
      <c r="BX104" s="553">
        <f t="shared" ref="BX104:EI104" si="533">BX37+BX72</f>
        <v>0</v>
      </c>
      <c r="BY104" s="553">
        <f t="shared" si="533"/>
        <v>0</v>
      </c>
      <c r="BZ104" s="553">
        <f t="shared" si="533"/>
        <v>0</v>
      </c>
      <c r="CA104" s="553">
        <f t="shared" si="533"/>
        <v>0</v>
      </c>
      <c r="CB104" s="560">
        <f t="shared" ref="CB104" si="534">CB37+CB72</f>
        <v>9</v>
      </c>
      <c r="CC104" s="565"/>
      <c r="CD104" s="553">
        <f t="shared" si="533"/>
        <v>0</v>
      </c>
      <c r="CE104" s="553">
        <f t="shared" si="533"/>
        <v>0</v>
      </c>
      <c r="CF104" s="553">
        <f t="shared" si="533"/>
        <v>3</v>
      </c>
      <c r="CG104" s="553">
        <f t="shared" si="533"/>
        <v>0</v>
      </c>
      <c r="CH104" s="553">
        <f t="shared" si="533"/>
        <v>0</v>
      </c>
      <c r="CI104" s="553">
        <f t="shared" si="533"/>
        <v>0</v>
      </c>
      <c r="CJ104" s="553">
        <f t="shared" si="533"/>
        <v>0</v>
      </c>
      <c r="CK104" s="553">
        <f t="shared" si="533"/>
        <v>0</v>
      </c>
      <c r="CL104" s="553">
        <f t="shared" si="533"/>
        <v>0</v>
      </c>
      <c r="CM104" s="553">
        <f t="shared" si="533"/>
        <v>0</v>
      </c>
      <c r="CN104" s="553">
        <f t="shared" si="533"/>
        <v>0</v>
      </c>
      <c r="CO104" s="553">
        <f t="shared" si="533"/>
        <v>0</v>
      </c>
      <c r="CP104" s="560">
        <f t="shared" ref="CP104" si="535">CP37+CP72</f>
        <v>3</v>
      </c>
      <c r="CQ104" s="565"/>
      <c r="CR104" s="553">
        <f t="shared" si="533"/>
        <v>0</v>
      </c>
      <c r="CS104" s="553">
        <f t="shared" si="533"/>
        <v>0</v>
      </c>
      <c r="CT104" s="553">
        <f t="shared" si="533"/>
        <v>9</v>
      </c>
      <c r="CU104" s="553">
        <f t="shared" si="533"/>
        <v>0</v>
      </c>
      <c r="CV104" s="553">
        <f t="shared" si="533"/>
        <v>0</v>
      </c>
      <c r="CW104" s="553">
        <f t="shared" si="533"/>
        <v>0</v>
      </c>
      <c r="CX104" s="553">
        <f t="shared" si="533"/>
        <v>0</v>
      </c>
      <c r="CY104" s="553">
        <f t="shared" si="533"/>
        <v>3</v>
      </c>
      <c r="CZ104" s="553">
        <f t="shared" si="533"/>
        <v>0</v>
      </c>
      <c r="DA104" s="553">
        <f t="shared" si="533"/>
        <v>0</v>
      </c>
      <c r="DB104" s="553">
        <f t="shared" si="533"/>
        <v>0</v>
      </c>
      <c r="DC104" s="553">
        <f t="shared" si="533"/>
        <v>0</v>
      </c>
      <c r="DD104" s="560">
        <f t="shared" ref="DD104" si="536">DD37+DD72</f>
        <v>12</v>
      </c>
      <c r="DE104" s="565"/>
      <c r="DF104" s="553">
        <f t="shared" si="533"/>
        <v>0</v>
      </c>
      <c r="DG104" s="553">
        <f t="shared" si="533"/>
        <v>0</v>
      </c>
      <c r="DH104" s="553">
        <f t="shared" si="533"/>
        <v>0</v>
      </c>
      <c r="DI104" s="553">
        <f t="shared" si="533"/>
        <v>0</v>
      </c>
      <c r="DJ104" s="553">
        <f t="shared" si="533"/>
        <v>0</v>
      </c>
      <c r="DK104" s="553">
        <f t="shared" si="533"/>
        <v>0</v>
      </c>
      <c r="DL104" s="553">
        <f t="shared" si="533"/>
        <v>0</v>
      </c>
      <c r="DM104" s="553">
        <f t="shared" si="533"/>
        <v>9</v>
      </c>
      <c r="DN104" s="553">
        <f t="shared" si="533"/>
        <v>0</v>
      </c>
      <c r="DO104" s="553">
        <f t="shared" si="533"/>
        <v>0</v>
      </c>
      <c r="DP104" s="553">
        <f t="shared" si="533"/>
        <v>0</v>
      </c>
      <c r="DQ104" s="553">
        <f t="shared" si="533"/>
        <v>0</v>
      </c>
      <c r="DR104" s="560">
        <f t="shared" si="533"/>
        <v>9</v>
      </c>
      <c r="DS104" s="565"/>
      <c r="DT104" s="553">
        <f t="shared" si="533"/>
        <v>0</v>
      </c>
      <c r="DU104" s="553">
        <f t="shared" si="533"/>
        <v>3</v>
      </c>
      <c r="DV104" s="553">
        <f t="shared" si="533"/>
        <v>0</v>
      </c>
      <c r="DW104" s="553">
        <f t="shared" si="533"/>
        <v>0</v>
      </c>
      <c r="DX104" s="553">
        <f t="shared" si="533"/>
        <v>0</v>
      </c>
      <c r="DY104" s="553">
        <f t="shared" si="533"/>
        <v>0</v>
      </c>
      <c r="DZ104" s="553">
        <f t="shared" si="533"/>
        <v>0</v>
      </c>
      <c r="EA104" s="553">
        <f t="shared" si="533"/>
        <v>0</v>
      </c>
      <c r="EB104" s="553">
        <f t="shared" si="533"/>
        <v>0</v>
      </c>
      <c r="EC104" s="553">
        <f t="shared" si="533"/>
        <v>0</v>
      </c>
      <c r="ED104" s="553">
        <f t="shared" si="533"/>
        <v>0</v>
      </c>
      <c r="EE104" s="553">
        <f t="shared" si="533"/>
        <v>0</v>
      </c>
      <c r="EF104" s="560">
        <f t="shared" si="533"/>
        <v>3</v>
      </c>
      <c r="EG104" s="565"/>
      <c r="EH104" s="553">
        <f t="shared" si="533"/>
        <v>0</v>
      </c>
      <c r="EI104" s="553">
        <f t="shared" si="533"/>
        <v>9</v>
      </c>
      <c r="EJ104" s="553">
        <f t="shared" ref="EJ104:ET104" si="537">EJ37+EJ72</f>
        <v>0</v>
      </c>
      <c r="EK104" s="553">
        <f t="shared" si="537"/>
        <v>0</v>
      </c>
      <c r="EL104" s="553">
        <f t="shared" si="537"/>
        <v>0</v>
      </c>
      <c r="EM104" s="553">
        <f t="shared" si="537"/>
        <v>0</v>
      </c>
      <c r="EN104" s="553">
        <f t="shared" si="537"/>
        <v>0</v>
      </c>
      <c r="EO104" s="553">
        <f t="shared" si="537"/>
        <v>3</v>
      </c>
      <c r="EP104" s="553">
        <f t="shared" si="537"/>
        <v>0</v>
      </c>
      <c r="EQ104" s="553">
        <f t="shared" si="537"/>
        <v>0</v>
      </c>
      <c r="ER104" s="553">
        <f t="shared" si="537"/>
        <v>0</v>
      </c>
      <c r="ES104" s="553">
        <f t="shared" si="537"/>
        <v>0</v>
      </c>
      <c r="ET104" s="560">
        <f t="shared" si="537"/>
        <v>12</v>
      </c>
      <c r="EU104" s="565"/>
    </row>
    <row r="105" spans="9:151" ht="10.5" customHeight="1" x14ac:dyDescent="0.35">
      <c r="I105" s="536">
        <v>2.8</v>
      </c>
      <c r="J105" s="531" t="s">
        <v>499</v>
      </c>
      <c r="K105" s="461"/>
      <c r="L105" s="553">
        <f t="shared" ref="L105:BW105" si="538">L38+L73</f>
        <v>9</v>
      </c>
      <c r="M105" s="553">
        <f t="shared" si="538"/>
        <v>0</v>
      </c>
      <c r="N105" s="553">
        <f t="shared" si="538"/>
        <v>0</v>
      </c>
      <c r="O105" s="553">
        <f t="shared" si="538"/>
        <v>0</v>
      </c>
      <c r="P105" s="553">
        <f t="shared" si="538"/>
        <v>0</v>
      </c>
      <c r="Q105" s="553">
        <f t="shared" si="538"/>
        <v>0</v>
      </c>
      <c r="R105" s="553">
        <f t="shared" si="538"/>
        <v>0</v>
      </c>
      <c r="S105" s="553">
        <f t="shared" si="538"/>
        <v>9</v>
      </c>
      <c r="T105" s="553">
        <f t="shared" si="538"/>
        <v>0</v>
      </c>
      <c r="U105" s="553">
        <f t="shared" si="538"/>
        <v>0</v>
      </c>
      <c r="V105" s="553">
        <f t="shared" si="538"/>
        <v>0</v>
      </c>
      <c r="W105" s="553">
        <f t="shared" si="538"/>
        <v>0</v>
      </c>
      <c r="X105" s="560">
        <f t="shared" si="538"/>
        <v>18</v>
      </c>
      <c r="Y105" s="565"/>
      <c r="Z105" s="553">
        <f t="shared" si="538"/>
        <v>27</v>
      </c>
      <c r="AA105" s="553">
        <f t="shared" si="538"/>
        <v>0</v>
      </c>
      <c r="AB105" s="553">
        <f t="shared" si="538"/>
        <v>0</v>
      </c>
      <c r="AC105" s="553">
        <f t="shared" si="538"/>
        <v>0</v>
      </c>
      <c r="AD105" s="553">
        <f t="shared" si="538"/>
        <v>0</v>
      </c>
      <c r="AE105" s="553">
        <f t="shared" si="538"/>
        <v>0</v>
      </c>
      <c r="AF105" s="553">
        <f t="shared" si="538"/>
        <v>9</v>
      </c>
      <c r="AG105" s="553">
        <f t="shared" si="538"/>
        <v>27</v>
      </c>
      <c r="AH105" s="553">
        <f t="shared" si="538"/>
        <v>0</v>
      </c>
      <c r="AI105" s="553">
        <f t="shared" si="538"/>
        <v>0</v>
      </c>
      <c r="AJ105" s="553">
        <f t="shared" si="538"/>
        <v>0</v>
      </c>
      <c r="AK105" s="553">
        <f t="shared" si="538"/>
        <v>0</v>
      </c>
      <c r="AL105" s="560">
        <f t="shared" si="538"/>
        <v>63</v>
      </c>
      <c r="AM105" s="565"/>
      <c r="AN105" s="553">
        <f t="shared" si="538"/>
        <v>0</v>
      </c>
      <c r="AO105" s="553">
        <f t="shared" si="538"/>
        <v>9</v>
      </c>
      <c r="AP105" s="553">
        <f t="shared" si="538"/>
        <v>0</v>
      </c>
      <c r="AQ105" s="553">
        <f t="shared" si="538"/>
        <v>0</v>
      </c>
      <c r="AR105" s="553">
        <f t="shared" si="538"/>
        <v>0</v>
      </c>
      <c r="AS105" s="553">
        <f t="shared" si="538"/>
        <v>0</v>
      </c>
      <c r="AT105" s="553">
        <f t="shared" si="538"/>
        <v>27</v>
      </c>
      <c r="AU105" s="553">
        <f t="shared" si="538"/>
        <v>0</v>
      </c>
      <c r="AV105" s="553">
        <f t="shared" si="538"/>
        <v>0</v>
      </c>
      <c r="AW105" s="553">
        <f t="shared" si="538"/>
        <v>0</v>
      </c>
      <c r="AX105" s="553">
        <f t="shared" si="538"/>
        <v>0</v>
      </c>
      <c r="AY105" s="553">
        <f t="shared" si="538"/>
        <v>0</v>
      </c>
      <c r="AZ105" s="560">
        <f t="shared" si="538"/>
        <v>36</v>
      </c>
      <c r="BA105" s="565"/>
      <c r="BB105" s="553">
        <f t="shared" si="538"/>
        <v>9</v>
      </c>
      <c r="BC105" s="553">
        <f t="shared" si="538"/>
        <v>27</v>
      </c>
      <c r="BD105" s="553">
        <f t="shared" si="538"/>
        <v>0</v>
      </c>
      <c r="BE105" s="553">
        <f t="shared" si="538"/>
        <v>0</v>
      </c>
      <c r="BF105" s="553">
        <f t="shared" si="538"/>
        <v>0</v>
      </c>
      <c r="BG105" s="553">
        <f t="shared" si="538"/>
        <v>0</v>
      </c>
      <c r="BH105" s="553">
        <f t="shared" si="538"/>
        <v>0</v>
      </c>
      <c r="BI105" s="553">
        <f t="shared" si="538"/>
        <v>9</v>
      </c>
      <c r="BJ105" s="553">
        <f t="shared" si="538"/>
        <v>0</v>
      </c>
      <c r="BK105" s="553">
        <f t="shared" si="538"/>
        <v>0</v>
      </c>
      <c r="BL105" s="553">
        <f t="shared" si="538"/>
        <v>0</v>
      </c>
      <c r="BM105" s="553">
        <f t="shared" si="538"/>
        <v>0</v>
      </c>
      <c r="BN105" s="560">
        <f t="shared" si="538"/>
        <v>45</v>
      </c>
      <c r="BO105" s="565"/>
      <c r="BP105" s="553">
        <f t="shared" si="538"/>
        <v>27</v>
      </c>
      <c r="BQ105" s="553">
        <f t="shared" si="538"/>
        <v>0</v>
      </c>
      <c r="BR105" s="553">
        <f t="shared" si="538"/>
        <v>0</v>
      </c>
      <c r="BS105" s="553">
        <f t="shared" si="538"/>
        <v>0</v>
      </c>
      <c r="BT105" s="553">
        <f t="shared" si="538"/>
        <v>0</v>
      </c>
      <c r="BU105" s="553">
        <f t="shared" si="538"/>
        <v>0</v>
      </c>
      <c r="BV105" s="553">
        <f t="shared" si="538"/>
        <v>9</v>
      </c>
      <c r="BW105" s="553">
        <f t="shared" si="538"/>
        <v>27</v>
      </c>
      <c r="BX105" s="553">
        <f t="shared" ref="BX105:EI105" si="539">BX38+BX73</f>
        <v>0</v>
      </c>
      <c r="BY105" s="553">
        <f t="shared" si="539"/>
        <v>0</v>
      </c>
      <c r="BZ105" s="553">
        <f t="shared" si="539"/>
        <v>0</v>
      </c>
      <c r="CA105" s="553">
        <f t="shared" si="539"/>
        <v>0</v>
      </c>
      <c r="CB105" s="560">
        <f t="shared" ref="CB105" si="540">CB38+CB73</f>
        <v>63</v>
      </c>
      <c r="CC105" s="565"/>
      <c r="CD105" s="553">
        <f t="shared" si="539"/>
        <v>0</v>
      </c>
      <c r="CE105" s="553">
        <f t="shared" si="539"/>
        <v>0</v>
      </c>
      <c r="CF105" s="553">
        <f t="shared" si="539"/>
        <v>9</v>
      </c>
      <c r="CG105" s="553">
        <f t="shared" si="539"/>
        <v>0</v>
      </c>
      <c r="CH105" s="553">
        <f t="shared" si="539"/>
        <v>0</v>
      </c>
      <c r="CI105" s="553">
        <f t="shared" si="539"/>
        <v>0</v>
      </c>
      <c r="CJ105" s="553">
        <f t="shared" si="539"/>
        <v>27</v>
      </c>
      <c r="CK105" s="553">
        <f t="shared" si="539"/>
        <v>0</v>
      </c>
      <c r="CL105" s="553">
        <f t="shared" si="539"/>
        <v>0</v>
      </c>
      <c r="CM105" s="553">
        <f t="shared" si="539"/>
        <v>0</v>
      </c>
      <c r="CN105" s="553">
        <f t="shared" si="539"/>
        <v>0</v>
      </c>
      <c r="CO105" s="553">
        <f t="shared" si="539"/>
        <v>0</v>
      </c>
      <c r="CP105" s="560">
        <f t="shared" ref="CP105" si="541">CP38+CP73</f>
        <v>36</v>
      </c>
      <c r="CQ105" s="565"/>
      <c r="CR105" s="553">
        <f t="shared" si="539"/>
        <v>9</v>
      </c>
      <c r="CS105" s="553">
        <f t="shared" si="539"/>
        <v>0</v>
      </c>
      <c r="CT105" s="553">
        <f t="shared" si="539"/>
        <v>27</v>
      </c>
      <c r="CU105" s="553">
        <f t="shared" si="539"/>
        <v>0</v>
      </c>
      <c r="CV105" s="553">
        <f t="shared" si="539"/>
        <v>0</v>
      </c>
      <c r="CW105" s="553">
        <f t="shared" si="539"/>
        <v>0</v>
      </c>
      <c r="CX105" s="553">
        <f t="shared" si="539"/>
        <v>0</v>
      </c>
      <c r="CY105" s="553">
        <f t="shared" si="539"/>
        <v>9</v>
      </c>
      <c r="CZ105" s="553">
        <f t="shared" si="539"/>
        <v>0</v>
      </c>
      <c r="DA105" s="553">
        <f t="shared" si="539"/>
        <v>0</v>
      </c>
      <c r="DB105" s="553">
        <f t="shared" si="539"/>
        <v>0</v>
      </c>
      <c r="DC105" s="553">
        <f t="shared" si="539"/>
        <v>0</v>
      </c>
      <c r="DD105" s="560">
        <f t="shared" ref="DD105" si="542">DD38+DD73</f>
        <v>45</v>
      </c>
      <c r="DE105" s="565"/>
      <c r="DF105" s="553">
        <f t="shared" si="539"/>
        <v>27</v>
      </c>
      <c r="DG105" s="553">
        <f t="shared" si="539"/>
        <v>0</v>
      </c>
      <c r="DH105" s="553">
        <f t="shared" si="539"/>
        <v>0</v>
      </c>
      <c r="DI105" s="553">
        <f t="shared" si="539"/>
        <v>0</v>
      </c>
      <c r="DJ105" s="553">
        <f t="shared" si="539"/>
        <v>0</v>
      </c>
      <c r="DK105" s="553">
        <f t="shared" si="539"/>
        <v>0</v>
      </c>
      <c r="DL105" s="553">
        <f t="shared" si="539"/>
        <v>9</v>
      </c>
      <c r="DM105" s="553">
        <f t="shared" si="539"/>
        <v>27</v>
      </c>
      <c r="DN105" s="553">
        <f t="shared" si="539"/>
        <v>0</v>
      </c>
      <c r="DO105" s="553">
        <f t="shared" si="539"/>
        <v>0</v>
      </c>
      <c r="DP105" s="553">
        <f t="shared" si="539"/>
        <v>0</v>
      </c>
      <c r="DQ105" s="553">
        <f t="shared" si="539"/>
        <v>0</v>
      </c>
      <c r="DR105" s="560">
        <f t="shared" si="539"/>
        <v>63</v>
      </c>
      <c r="DS105" s="565"/>
      <c r="DT105" s="553">
        <f t="shared" si="539"/>
        <v>0</v>
      </c>
      <c r="DU105" s="553">
        <f t="shared" si="539"/>
        <v>9</v>
      </c>
      <c r="DV105" s="553">
        <f t="shared" si="539"/>
        <v>0</v>
      </c>
      <c r="DW105" s="553">
        <f t="shared" si="539"/>
        <v>0</v>
      </c>
      <c r="DX105" s="553">
        <f t="shared" si="539"/>
        <v>0</v>
      </c>
      <c r="DY105" s="553">
        <f t="shared" si="539"/>
        <v>0</v>
      </c>
      <c r="DZ105" s="553">
        <f t="shared" si="539"/>
        <v>27</v>
      </c>
      <c r="EA105" s="553">
        <f t="shared" si="539"/>
        <v>0</v>
      </c>
      <c r="EB105" s="553">
        <f t="shared" si="539"/>
        <v>0</v>
      </c>
      <c r="EC105" s="553">
        <f t="shared" si="539"/>
        <v>0</v>
      </c>
      <c r="ED105" s="553">
        <f t="shared" si="539"/>
        <v>0</v>
      </c>
      <c r="EE105" s="553">
        <f t="shared" si="539"/>
        <v>0</v>
      </c>
      <c r="EF105" s="560">
        <f t="shared" si="539"/>
        <v>36</v>
      </c>
      <c r="EG105" s="565"/>
      <c r="EH105" s="553">
        <f t="shared" si="539"/>
        <v>9</v>
      </c>
      <c r="EI105" s="553">
        <f t="shared" si="539"/>
        <v>27</v>
      </c>
      <c r="EJ105" s="553">
        <f t="shared" ref="EJ105:ET105" si="543">EJ38+EJ73</f>
        <v>0</v>
      </c>
      <c r="EK105" s="553">
        <f t="shared" si="543"/>
        <v>0</v>
      </c>
      <c r="EL105" s="553">
        <f t="shared" si="543"/>
        <v>0</v>
      </c>
      <c r="EM105" s="553">
        <f t="shared" si="543"/>
        <v>0</v>
      </c>
      <c r="EN105" s="553">
        <f t="shared" si="543"/>
        <v>0</v>
      </c>
      <c r="EO105" s="553">
        <f t="shared" si="543"/>
        <v>9</v>
      </c>
      <c r="EP105" s="553">
        <f t="shared" si="543"/>
        <v>0</v>
      </c>
      <c r="EQ105" s="553">
        <f t="shared" si="543"/>
        <v>0</v>
      </c>
      <c r="ER105" s="553">
        <f t="shared" si="543"/>
        <v>0</v>
      </c>
      <c r="ES105" s="553">
        <f t="shared" si="543"/>
        <v>0</v>
      </c>
      <c r="ET105" s="560">
        <f t="shared" si="543"/>
        <v>45</v>
      </c>
      <c r="EU105" s="565"/>
    </row>
    <row r="106" spans="9:151" ht="10.5" customHeight="1" x14ac:dyDescent="0.35">
      <c r="I106" s="536">
        <v>2.9</v>
      </c>
      <c r="J106" s="531" t="s">
        <v>497</v>
      </c>
      <c r="K106" s="461"/>
      <c r="L106" s="553">
        <f t="shared" ref="L106:BW106" si="544">L39+L74</f>
        <v>0</v>
      </c>
      <c r="M106" s="553">
        <f t="shared" si="544"/>
        <v>0</v>
      </c>
      <c r="N106" s="553">
        <f t="shared" si="544"/>
        <v>2512</v>
      </c>
      <c r="O106" s="553">
        <f t="shared" si="544"/>
        <v>2512</v>
      </c>
      <c r="P106" s="553">
        <f t="shared" si="544"/>
        <v>2512</v>
      </c>
      <c r="Q106" s="553">
        <f t="shared" si="544"/>
        <v>2512</v>
      </c>
      <c r="R106" s="553">
        <f t="shared" si="544"/>
        <v>2512</v>
      </c>
      <c r="S106" s="553">
        <f t="shared" si="544"/>
        <v>2512</v>
      </c>
      <c r="T106" s="553">
        <f t="shared" si="544"/>
        <v>2512</v>
      </c>
      <c r="U106" s="553">
        <f t="shared" si="544"/>
        <v>2512</v>
      </c>
      <c r="V106" s="553">
        <f t="shared" si="544"/>
        <v>2512</v>
      </c>
      <c r="W106" s="553">
        <f t="shared" si="544"/>
        <v>2512</v>
      </c>
      <c r="X106" s="560">
        <f t="shared" si="544"/>
        <v>25120</v>
      </c>
      <c r="Y106" s="565"/>
      <c r="Z106" s="553">
        <f t="shared" si="544"/>
        <v>2512</v>
      </c>
      <c r="AA106" s="553">
        <f t="shared" si="544"/>
        <v>2512</v>
      </c>
      <c r="AB106" s="553">
        <f t="shared" si="544"/>
        <v>10047</v>
      </c>
      <c r="AC106" s="553">
        <f t="shared" si="544"/>
        <v>10047</v>
      </c>
      <c r="AD106" s="553">
        <f t="shared" si="544"/>
        <v>10047</v>
      </c>
      <c r="AE106" s="553">
        <f t="shared" si="544"/>
        <v>10047</v>
      </c>
      <c r="AF106" s="553">
        <f t="shared" si="544"/>
        <v>10047</v>
      </c>
      <c r="AG106" s="553">
        <f t="shared" si="544"/>
        <v>10047</v>
      </c>
      <c r="AH106" s="553">
        <f t="shared" si="544"/>
        <v>10047</v>
      </c>
      <c r="AI106" s="553">
        <f t="shared" si="544"/>
        <v>10047</v>
      </c>
      <c r="AJ106" s="553">
        <f t="shared" si="544"/>
        <v>10047</v>
      </c>
      <c r="AK106" s="553">
        <f t="shared" si="544"/>
        <v>10047</v>
      </c>
      <c r="AL106" s="560">
        <f t="shared" si="544"/>
        <v>105494</v>
      </c>
      <c r="AM106" s="565"/>
      <c r="AN106" s="553">
        <f t="shared" si="544"/>
        <v>10047</v>
      </c>
      <c r="AO106" s="553">
        <f t="shared" si="544"/>
        <v>10047</v>
      </c>
      <c r="AP106" s="553">
        <f t="shared" si="544"/>
        <v>10047</v>
      </c>
      <c r="AQ106" s="553">
        <f t="shared" si="544"/>
        <v>10047</v>
      </c>
      <c r="AR106" s="553">
        <f t="shared" si="544"/>
        <v>10047</v>
      </c>
      <c r="AS106" s="553">
        <f t="shared" si="544"/>
        <v>10047</v>
      </c>
      <c r="AT106" s="553">
        <f t="shared" si="544"/>
        <v>10047</v>
      </c>
      <c r="AU106" s="553">
        <f t="shared" si="544"/>
        <v>10047</v>
      </c>
      <c r="AV106" s="553">
        <f t="shared" si="544"/>
        <v>10047</v>
      </c>
      <c r="AW106" s="553">
        <f t="shared" si="544"/>
        <v>10047</v>
      </c>
      <c r="AX106" s="553">
        <f t="shared" si="544"/>
        <v>10047</v>
      </c>
      <c r="AY106" s="553">
        <f t="shared" si="544"/>
        <v>10047</v>
      </c>
      <c r="AZ106" s="560">
        <f t="shared" si="544"/>
        <v>120564</v>
      </c>
      <c r="BA106" s="565"/>
      <c r="BB106" s="553">
        <f t="shared" si="544"/>
        <v>10047</v>
      </c>
      <c r="BC106" s="553">
        <f t="shared" si="544"/>
        <v>10047</v>
      </c>
      <c r="BD106" s="553">
        <f t="shared" si="544"/>
        <v>10047</v>
      </c>
      <c r="BE106" s="553">
        <f t="shared" si="544"/>
        <v>10047</v>
      </c>
      <c r="BF106" s="553">
        <f t="shared" si="544"/>
        <v>10047</v>
      </c>
      <c r="BG106" s="553">
        <f t="shared" si="544"/>
        <v>10047</v>
      </c>
      <c r="BH106" s="553">
        <f t="shared" si="544"/>
        <v>10047</v>
      </c>
      <c r="BI106" s="553">
        <f t="shared" si="544"/>
        <v>10047</v>
      </c>
      <c r="BJ106" s="553">
        <f t="shared" si="544"/>
        <v>10047</v>
      </c>
      <c r="BK106" s="553">
        <f t="shared" si="544"/>
        <v>10047</v>
      </c>
      <c r="BL106" s="553">
        <f t="shared" si="544"/>
        <v>10047</v>
      </c>
      <c r="BM106" s="553">
        <f t="shared" si="544"/>
        <v>10047</v>
      </c>
      <c r="BN106" s="560">
        <f t="shared" si="544"/>
        <v>120564</v>
      </c>
      <c r="BO106" s="565"/>
      <c r="BP106" s="553">
        <f t="shared" si="544"/>
        <v>10047</v>
      </c>
      <c r="BQ106" s="553">
        <f t="shared" si="544"/>
        <v>10047</v>
      </c>
      <c r="BR106" s="553">
        <f t="shared" si="544"/>
        <v>10047</v>
      </c>
      <c r="BS106" s="553">
        <f t="shared" si="544"/>
        <v>10047</v>
      </c>
      <c r="BT106" s="553">
        <f t="shared" si="544"/>
        <v>10047</v>
      </c>
      <c r="BU106" s="553">
        <f t="shared" si="544"/>
        <v>10047</v>
      </c>
      <c r="BV106" s="553">
        <f t="shared" si="544"/>
        <v>10047</v>
      </c>
      <c r="BW106" s="553">
        <f t="shared" si="544"/>
        <v>10047</v>
      </c>
      <c r="BX106" s="553">
        <f t="shared" ref="BX106:EI106" si="545">BX39+BX74</f>
        <v>10047</v>
      </c>
      <c r="BY106" s="553">
        <f t="shared" si="545"/>
        <v>10047</v>
      </c>
      <c r="BZ106" s="553">
        <f t="shared" si="545"/>
        <v>10047</v>
      </c>
      <c r="CA106" s="553">
        <f t="shared" si="545"/>
        <v>10047</v>
      </c>
      <c r="CB106" s="560">
        <f t="shared" ref="CB106" si="546">CB39+CB74</f>
        <v>120564</v>
      </c>
      <c r="CC106" s="565"/>
      <c r="CD106" s="553">
        <f t="shared" si="545"/>
        <v>10047</v>
      </c>
      <c r="CE106" s="553">
        <f t="shared" si="545"/>
        <v>10047</v>
      </c>
      <c r="CF106" s="553">
        <f t="shared" si="545"/>
        <v>10047</v>
      </c>
      <c r="CG106" s="553">
        <f t="shared" si="545"/>
        <v>10047</v>
      </c>
      <c r="CH106" s="553">
        <f t="shared" si="545"/>
        <v>10047</v>
      </c>
      <c r="CI106" s="553">
        <f t="shared" si="545"/>
        <v>10047</v>
      </c>
      <c r="CJ106" s="553">
        <f t="shared" si="545"/>
        <v>10047</v>
      </c>
      <c r="CK106" s="553">
        <f t="shared" si="545"/>
        <v>10047</v>
      </c>
      <c r="CL106" s="553">
        <f t="shared" si="545"/>
        <v>10047</v>
      </c>
      <c r="CM106" s="553">
        <f t="shared" si="545"/>
        <v>10047</v>
      </c>
      <c r="CN106" s="553">
        <f t="shared" si="545"/>
        <v>10047</v>
      </c>
      <c r="CO106" s="553">
        <f t="shared" si="545"/>
        <v>10047</v>
      </c>
      <c r="CP106" s="560">
        <f t="shared" ref="CP106" si="547">CP39+CP74</f>
        <v>120564</v>
      </c>
      <c r="CQ106" s="565"/>
      <c r="CR106" s="553">
        <f t="shared" si="545"/>
        <v>10047</v>
      </c>
      <c r="CS106" s="553">
        <f t="shared" si="545"/>
        <v>10047</v>
      </c>
      <c r="CT106" s="553">
        <f t="shared" si="545"/>
        <v>10047</v>
      </c>
      <c r="CU106" s="553">
        <f t="shared" si="545"/>
        <v>10047</v>
      </c>
      <c r="CV106" s="553">
        <f t="shared" si="545"/>
        <v>10047</v>
      </c>
      <c r="CW106" s="553">
        <f t="shared" si="545"/>
        <v>10047</v>
      </c>
      <c r="CX106" s="553">
        <f t="shared" si="545"/>
        <v>10047</v>
      </c>
      <c r="CY106" s="553">
        <f t="shared" si="545"/>
        <v>10047</v>
      </c>
      <c r="CZ106" s="553">
        <f t="shared" si="545"/>
        <v>10047</v>
      </c>
      <c r="DA106" s="553">
        <f t="shared" si="545"/>
        <v>10047</v>
      </c>
      <c r="DB106" s="553">
        <f t="shared" si="545"/>
        <v>10047</v>
      </c>
      <c r="DC106" s="553">
        <f t="shared" si="545"/>
        <v>10047</v>
      </c>
      <c r="DD106" s="560">
        <f t="shared" ref="DD106" si="548">DD39+DD74</f>
        <v>120564</v>
      </c>
      <c r="DE106" s="565"/>
      <c r="DF106" s="553">
        <f t="shared" si="545"/>
        <v>10047</v>
      </c>
      <c r="DG106" s="553">
        <f t="shared" si="545"/>
        <v>10047</v>
      </c>
      <c r="DH106" s="553">
        <f t="shared" si="545"/>
        <v>10047</v>
      </c>
      <c r="DI106" s="553">
        <f t="shared" si="545"/>
        <v>10047</v>
      </c>
      <c r="DJ106" s="553">
        <f t="shared" si="545"/>
        <v>10047</v>
      </c>
      <c r="DK106" s="553">
        <f t="shared" si="545"/>
        <v>10047</v>
      </c>
      <c r="DL106" s="553">
        <f t="shared" si="545"/>
        <v>10047</v>
      </c>
      <c r="DM106" s="553">
        <f t="shared" si="545"/>
        <v>10047</v>
      </c>
      <c r="DN106" s="553">
        <f t="shared" si="545"/>
        <v>10047</v>
      </c>
      <c r="DO106" s="553">
        <f t="shared" si="545"/>
        <v>10047</v>
      </c>
      <c r="DP106" s="553">
        <f t="shared" si="545"/>
        <v>10047</v>
      </c>
      <c r="DQ106" s="553">
        <f t="shared" si="545"/>
        <v>10047</v>
      </c>
      <c r="DR106" s="560">
        <f t="shared" si="545"/>
        <v>120564</v>
      </c>
      <c r="DS106" s="565"/>
      <c r="DT106" s="553">
        <f t="shared" si="545"/>
        <v>10047</v>
      </c>
      <c r="DU106" s="553">
        <f t="shared" si="545"/>
        <v>10047</v>
      </c>
      <c r="DV106" s="553">
        <f t="shared" si="545"/>
        <v>10047</v>
      </c>
      <c r="DW106" s="553">
        <f t="shared" si="545"/>
        <v>10047</v>
      </c>
      <c r="DX106" s="553">
        <f t="shared" si="545"/>
        <v>10047</v>
      </c>
      <c r="DY106" s="553">
        <f t="shared" si="545"/>
        <v>10047</v>
      </c>
      <c r="DZ106" s="553">
        <f t="shared" si="545"/>
        <v>10047</v>
      </c>
      <c r="EA106" s="553">
        <f t="shared" si="545"/>
        <v>10047</v>
      </c>
      <c r="EB106" s="553">
        <f t="shared" si="545"/>
        <v>10047</v>
      </c>
      <c r="EC106" s="553">
        <f t="shared" si="545"/>
        <v>10047</v>
      </c>
      <c r="ED106" s="553">
        <f t="shared" si="545"/>
        <v>10047</v>
      </c>
      <c r="EE106" s="553">
        <f t="shared" si="545"/>
        <v>10047</v>
      </c>
      <c r="EF106" s="560">
        <f t="shared" si="545"/>
        <v>120564</v>
      </c>
      <c r="EG106" s="565"/>
      <c r="EH106" s="553">
        <f t="shared" si="545"/>
        <v>10047</v>
      </c>
      <c r="EI106" s="553">
        <f t="shared" si="545"/>
        <v>10047</v>
      </c>
      <c r="EJ106" s="553">
        <f t="shared" ref="EJ106:ET106" si="549">EJ39+EJ74</f>
        <v>10047</v>
      </c>
      <c r="EK106" s="553">
        <f t="shared" si="549"/>
        <v>10047</v>
      </c>
      <c r="EL106" s="553">
        <f t="shared" si="549"/>
        <v>10047</v>
      </c>
      <c r="EM106" s="553">
        <f t="shared" si="549"/>
        <v>10047</v>
      </c>
      <c r="EN106" s="553">
        <f t="shared" si="549"/>
        <v>10047</v>
      </c>
      <c r="EO106" s="553">
        <f t="shared" si="549"/>
        <v>10047</v>
      </c>
      <c r="EP106" s="553">
        <f t="shared" si="549"/>
        <v>10047</v>
      </c>
      <c r="EQ106" s="553">
        <f t="shared" si="549"/>
        <v>10047</v>
      </c>
      <c r="ER106" s="553">
        <f t="shared" si="549"/>
        <v>10047</v>
      </c>
      <c r="ES106" s="553">
        <f t="shared" si="549"/>
        <v>10047</v>
      </c>
      <c r="ET106" s="560">
        <f t="shared" si="549"/>
        <v>120564</v>
      </c>
      <c r="EU106" s="565"/>
    </row>
    <row r="107" spans="9:151" ht="10.5" customHeight="1" x14ac:dyDescent="0.35">
      <c r="I107" s="547" t="s">
        <v>1262</v>
      </c>
      <c r="J107" s="531" t="s">
        <v>506</v>
      </c>
      <c r="K107" s="461"/>
      <c r="L107" s="553">
        <f t="shared" ref="L107:BW107" si="550">L40+L75</f>
        <v>15</v>
      </c>
      <c r="M107" s="553">
        <f t="shared" si="550"/>
        <v>0</v>
      </c>
      <c r="N107" s="553">
        <f t="shared" si="550"/>
        <v>0</v>
      </c>
      <c r="O107" s="553">
        <f t="shared" si="550"/>
        <v>0</v>
      </c>
      <c r="P107" s="553">
        <f t="shared" si="550"/>
        <v>0</v>
      </c>
      <c r="Q107" s="553">
        <f t="shared" si="550"/>
        <v>0</v>
      </c>
      <c r="R107" s="553">
        <f t="shared" si="550"/>
        <v>0</v>
      </c>
      <c r="S107" s="553">
        <f t="shared" si="550"/>
        <v>0</v>
      </c>
      <c r="T107" s="553">
        <f t="shared" si="550"/>
        <v>0</v>
      </c>
      <c r="U107" s="553">
        <f t="shared" si="550"/>
        <v>0</v>
      </c>
      <c r="V107" s="553">
        <f t="shared" si="550"/>
        <v>0</v>
      </c>
      <c r="W107" s="553">
        <f t="shared" si="550"/>
        <v>0</v>
      </c>
      <c r="X107" s="560">
        <f t="shared" si="550"/>
        <v>15</v>
      </c>
      <c r="Y107" s="565"/>
      <c r="Z107" s="553">
        <f t="shared" si="550"/>
        <v>60</v>
      </c>
      <c r="AA107" s="553">
        <f t="shared" si="550"/>
        <v>0</v>
      </c>
      <c r="AB107" s="553">
        <f t="shared" si="550"/>
        <v>0</v>
      </c>
      <c r="AC107" s="553">
        <f t="shared" si="550"/>
        <v>0</v>
      </c>
      <c r="AD107" s="553">
        <f t="shared" si="550"/>
        <v>0</v>
      </c>
      <c r="AE107" s="553">
        <f t="shared" si="550"/>
        <v>0</v>
      </c>
      <c r="AF107" s="553">
        <f t="shared" si="550"/>
        <v>0</v>
      </c>
      <c r="AG107" s="553">
        <f t="shared" si="550"/>
        <v>0</v>
      </c>
      <c r="AH107" s="553">
        <f t="shared" si="550"/>
        <v>0</v>
      </c>
      <c r="AI107" s="553">
        <f t="shared" si="550"/>
        <v>0</v>
      </c>
      <c r="AJ107" s="553">
        <f t="shared" si="550"/>
        <v>0</v>
      </c>
      <c r="AK107" s="553">
        <f t="shared" si="550"/>
        <v>0</v>
      </c>
      <c r="AL107" s="560">
        <f t="shared" si="550"/>
        <v>60</v>
      </c>
      <c r="AM107" s="565"/>
      <c r="AN107" s="553">
        <f t="shared" si="550"/>
        <v>60</v>
      </c>
      <c r="AO107" s="553">
        <f t="shared" si="550"/>
        <v>0</v>
      </c>
      <c r="AP107" s="553">
        <f t="shared" si="550"/>
        <v>0</v>
      </c>
      <c r="AQ107" s="553">
        <f t="shared" si="550"/>
        <v>0</v>
      </c>
      <c r="AR107" s="553">
        <f t="shared" si="550"/>
        <v>0</v>
      </c>
      <c r="AS107" s="553">
        <f t="shared" si="550"/>
        <v>0</v>
      </c>
      <c r="AT107" s="553">
        <f t="shared" si="550"/>
        <v>0</v>
      </c>
      <c r="AU107" s="553">
        <f t="shared" si="550"/>
        <v>0</v>
      </c>
      <c r="AV107" s="553">
        <f t="shared" si="550"/>
        <v>0</v>
      </c>
      <c r="AW107" s="553">
        <f t="shared" si="550"/>
        <v>0</v>
      </c>
      <c r="AX107" s="553">
        <f t="shared" si="550"/>
        <v>0</v>
      </c>
      <c r="AY107" s="553">
        <f t="shared" si="550"/>
        <v>0</v>
      </c>
      <c r="AZ107" s="560">
        <f t="shared" si="550"/>
        <v>60</v>
      </c>
      <c r="BA107" s="565"/>
      <c r="BB107" s="553">
        <f t="shared" si="550"/>
        <v>60</v>
      </c>
      <c r="BC107" s="553">
        <f t="shared" si="550"/>
        <v>0</v>
      </c>
      <c r="BD107" s="553">
        <f t="shared" si="550"/>
        <v>0</v>
      </c>
      <c r="BE107" s="553">
        <f t="shared" si="550"/>
        <v>0</v>
      </c>
      <c r="BF107" s="553">
        <f t="shared" si="550"/>
        <v>0</v>
      </c>
      <c r="BG107" s="553">
        <f t="shared" si="550"/>
        <v>0</v>
      </c>
      <c r="BH107" s="553">
        <f t="shared" si="550"/>
        <v>0</v>
      </c>
      <c r="BI107" s="553">
        <f t="shared" si="550"/>
        <v>0</v>
      </c>
      <c r="BJ107" s="553">
        <f t="shared" si="550"/>
        <v>0</v>
      </c>
      <c r="BK107" s="553">
        <f t="shared" si="550"/>
        <v>0</v>
      </c>
      <c r="BL107" s="553">
        <f t="shared" si="550"/>
        <v>0</v>
      </c>
      <c r="BM107" s="553">
        <f t="shared" si="550"/>
        <v>0</v>
      </c>
      <c r="BN107" s="560">
        <f t="shared" si="550"/>
        <v>60</v>
      </c>
      <c r="BO107" s="565"/>
      <c r="BP107" s="553">
        <f t="shared" si="550"/>
        <v>60</v>
      </c>
      <c r="BQ107" s="553">
        <f t="shared" si="550"/>
        <v>0</v>
      </c>
      <c r="BR107" s="553">
        <f t="shared" si="550"/>
        <v>0</v>
      </c>
      <c r="BS107" s="553">
        <f t="shared" si="550"/>
        <v>0</v>
      </c>
      <c r="BT107" s="553">
        <f t="shared" si="550"/>
        <v>0</v>
      </c>
      <c r="BU107" s="553">
        <f t="shared" si="550"/>
        <v>0</v>
      </c>
      <c r="BV107" s="553">
        <f t="shared" si="550"/>
        <v>0</v>
      </c>
      <c r="BW107" s="553">
        <f t="shared" si="550"/>
        <v>0</v>
      </c>
      <c r="BX107" s="553">
        <f t="shared" ref="BX107:EI107" si="551">BX40+BX75</f>
        <v>0</v>
      </c>
      <c r="BY107" s="553">
        <f t="shared" si="551"/>
        <v>0</v>
      </c>
      <c r="BZ107" s="553">
        <f t="shared" si="551"/>
        <v>0</v>
      </c>
      <c r="CA107" s="553">
        <f t="shared" si="551"/>
        <v>0</v>
      </c>
      <c r="CB107" s="560">
        <f t="shared" ref="CB107" si="552">CB40+CB75</f>
        <v>60</v>
      </c>
      <c r="CC107" s="565"/>
      <c r="CD107" s="553">
        <f t="shared" si="551"/>
        <v>60</v>
      </c>
      <c r="CE107" s="553">
        <f t="shared" si="551"/>
        <v>0</v>
      </c>
      <c r="CF107" s="553">
        <f t="shared" si="551"/>
        <v>0</v>
      </c>
      <c r="CG107" s="553">
        <f t="shared" si="551"/>
        <v>0</v>
      </c>
      <c r="CH107" s="553">
        <f t="shared" si="551"/>
        <v>0</v>
      </c>
      <c r="CI107" s="553">
        <f t="shared" si="551"/>
        <v>0</v>
      </c>
      <c r="CJ107" s="553">
        <f t="shared" si="551"/>
        <v>0</v>
      </c>
      <c r="CK107" s="553">
        <f t="shared" si="551"/>
        <v>0</v>
      </c>
      <c r="CL107" s="553">
        <f t="shared" si="551"/>
        <v>0</v>
      </c>
      <c r="CM107" s="553">
        <f t="shared" si="551"/>
        <v>0</v>
      </c>
      <c r="CN107" s="553">
        <f t="shared" si="551"/>
        <v>0</v>
      </c>
      <c r="CO107" s="553">
        <f t="shared" si="551"/>
        <v>0</v>
      </c>
      <c r="CP107" s="560">
        <f t="shared" ref="CP107" si="553">CP40+CP75</f>
        <v>60</v>
      </c>
      <c r="CQ107" s="565"/>
      <c r="CR107" s="553">
        <f t="shared" si="551"/>
        <v>60</v>
      </c>
      <c r="CS107" s="553">
        <f t="shared" si="551"/>
        <v>0</v>
      </c>
      <c r="CT107" s="553">
        <f t="shared" si="551"/>
        <v>0</v>
      </c>
      <c r="CU107" s="553">
        <f t="shared" si="551"/>
        <v>0</v>
      </c>
      <c r="CV107" s="553">
        <f t="shared" si="551"/>
        <v>0</v>
      </c>
      <c r="CW107" s="553">
        <f t="shared" si="551"/>
        <v>0</v>
      </c>
      <c r="CX107" s="553">
        <f t="shared" si="551"/>
        <v>0</v>
      </c>
      <c r="CY107" s="553">
        <f t="shared" si="551"/>
        <v>0</v>
      </c>
      <c r="CZ107" s="553">
        <f t="shared" si="551"/>
        <v>0</v>
      </c>
      <c r="DA107" s="553">
        <f t="shared" si="551"/>
        <v>0</v>
      </c>
      <c r="DB107" s="553">
        <f t="shared" si="551"/>
        <v>0</v>
      </c>
      <c r="DC107" s="553">
        <f t="shared" si="551"/>
        <v>0</v>
      </c>
      <c r="DD107" s="560">
        <f t="shared" ref="DD107" si="554">DD40+DD75</f>
        <v>60</v>
      </c>
      <c r="DE107" s="565"/>
      <c r="DF107" s="553">
        <f t="shared" si="551"/>
        <v>60</v>
      </c>
      <c r="DG107" s="553">
        <f t="shared" si="551"/>
        <v>0</v>
      </c>
      <c r="DH107" s="553">
        <f t="shared" si="551"/>
        <v>0</v>
      </c>
      <c r="DI107" s="553">
        <f t="shared" si="551"/>
        <v>0</v>
      </c>
      <c r="DJ107" s="553">
        <f t="shared" si="551"/>
        <v>0</v>
      </c>
      <c r="DK107" s="553">
        <f t="shared" si="551"/>
        <v>0</v>
      </c>
      <c r="DL107" s="553">
        <f t="shared" si="551"/>
        <v>0</v>
      </c>
      <c r="DM107" s="553">
        <f t="shared" si="551"/>
        <v>0</v>
      </c>
      <c r="DN107" s="553">
        <f t="shared" si="551"/>
        <v>0</v>
      </c>
      <c r="DO107" s="553">
        <f t="shared" si="551"/>
        <v>0</v>
      </c>
      <c r="DP107" s="553">
        <f t="shared" si="551"/>
        <v>0</v>
      </c>
      <c r="DQ107" s="553">
        <f t="shared" si="551"/>
        <v>0</v>
      </c>
      <c r="DR107" s="560">
        <f t="shared" si="551"/>
        <v>60</v>
      </c>
      <c r="DS107" s="565"/>
      <c r="DT107" s="553">
        <f t="shared" si="551"/>
        <v>60</v>
      </c>
      <c r="DU107" s="553">
        <f t="shared" si="551"/>
        <v>0</v>
      </c>
      <c r="DV107" s="553">
        <f t="shared" si="551"/>
        <v>0</v>
      </c>
      <c r="DW107" s="553">
        <f t="shared" si="551"/>
        <v>0</v>
      </c>
      <c r="DX107" s="553">
        <f t="shared" si="551"/>
        <v>0</v>
      </c>
      <c r="DY107" s="553">
        <f t="shared" si="551"/>
        <v>0</v>
      </c>
      <c r="DZ107" s="553">
        <f t="shared" si="551"/>
        <v>0</v>
      </c>
      <c r="EA107" s="553">
        <f t="shared" si="551"/>
        <v>0</v>
      </c>
      <c r="EB107" s="553">
        <f t="shared" si="551"/>
        <v>0</v>
      </c>
      <c r="EC107" s="553">
        <f t="shared" si="551"/>
        <v>0</v>
      </c>
      <c r="ED107" s="553">
        <f t="shared" si="551"/>
        <v>0</v>
      </c>
      <c r="EE107" s="553">
        <f t="shared" si="551"/>
        <v>0</v>
      </c>
      <c r="EF107" s="560">
        <f t="shared" si="551"/>
        <v>60</v>
      </c>
      <c r="EG107" s="565"/>
      <c r="EH107" s="553">
        <f t="shared" si="551"/>
        <v>60</v>
      </c>
      <c r="EI107" s="553">
        <f t="shared" si="551"/>
        <v>0</v>
      </c>
      <c r="EJ107" s="553">
        <f t="shared" ref="EJ107:ET107" si="555">EJ40+EJ75</f>
        <v>0</v>
      </c>
      <c r="EK107" s="553">
        <f t="shared" si="555"/>
        <v>0</v>
      </c>
      <c r="EL107" s="553">
        <f t="shared" si="555"/>
        <v>0</v>
      </c>
      <c r="EM107" s="553">
        <f t="shared" si="555"/>
        <v>0</v>
      </c>
      <c r="EN107" s="553">
        <f t="shared" si="555"/>
        <v>0</v>
      </c>
      <c r="EO107" s="553">
        <f t="shared" si="555"/>
        <v>0</v>
      </c>
      <c r="EP107" s="553">
        <f t="shared" si="555"/>
        <v>0</v>
      </c>
      <c r="EQ107" s="553">
        <f t="shared" si="555"/>
        <v>0</v>
      </c>
      <c r="ER107" s="553">
        <f t="shared" si="555"/>
        <v>0</v>
      </c>
      <c r="ES107" s="553">
        <f t="shared" si="555"/>
        <v>0</v>
      </c>
      <c r="ET107" s="560">
        <f t="shared" si="555"/>
        <v>60</v>
      </c>
      <c r="EU107" s="565"/>
    </row>
    <row r="108" spans="9:151" ht="10.5" customHeight="1" x14ac:dyDescent="0.35">
      <c r="I108" s="547" t="s">
        <v>1263</v>
      </c>
      <c r="J108" s="531" t="s">
        <v>504</v>
      </c>
      <c r="K108" s="461"/>
      <c r="L108" s="553">
        <f t="shared" ref="L108:BW108" si="556">L41+L76</f>
        <v>1080</v>
      </c>
      <c r="M108" s="553">
        <f t="shared" si="556"/>
        <v>1080</v>
      </c>
      <c r="N108" s="553">
        <f t="shared" si="556"/>
        <v>1080</v>
      </c>
      <c r="O108" s="553">
        <f t="shared" si="556"/>
        <v>1080</v>
      </c>
      <c r="P108" s="553">
        <f t="shared" si="556"/>
        <v>1080</v>
      </c>
      <c r="Q108" s="553">
        <f t="shared" si="556"/>
        <v>1080</v>
      </c>
      <c r="R108" s="553">
        <f t="shared" si="556"/>
        <v>1080</v>
      </c>
      <c r="S108" s="553">
        <f t="shared" si="556"/>
        <v>1080</v>
      </c>
      <c r="T108" s="553">
        <f t="shared" si="556"/>
        <v>1080</v>
      </c>
      <c r="U108" s="553">
        <f t="shared" si="556"/>
        <v>1080</v>
      </c>
      <c r="V108" s="553">
        <f t="shared" si="556"/>
        <v>1080</v>
      </c>
      <c r="W108" s="553">
        <f t="shared" si="556"/>
        <v>1080</v>
      </c>
      <c r="X108" s="560">
        <f t="shared" si="556"/>
        <v>12960</v>
      </c>
      <c r="Y108" s="565"/>
      <c r="Z108" s="553">
        <f t="shared" si="556"/>
        <v>4320</v>
      </c>
      <c r="AA108" s="553">
        <f t="shared" si="556"/>
        <v>4320</v>
      </c>
      <c r="AB108" s="553">
        <f t="shared" si="556"/>
        <v>4320</v>
      </c>
      <c r="AC108" s="553">
        <f t="shared" si="556"/>
        <v>4320</v>
      </c>
      <c r="AD108" s="553">
        <f t="shared" si="556"/>
        <v>4320</v>
      </c>
      <c r="AE108" s="553">
        <f t="shared" si="556"/>
        <v>4320</v>
      </c>
      <c r="AF108" s="553">
        <f t="shared" si="556"/>
        <v>4320</v>
      </c>
      <c r="AG108" s="553">
        <f t="shared" si="556"/>
        <v>4320</v>
      </c>
      <c r="AH108" s="553">
        <f t="shared" si="556"/>
        <v>4320</v>
      </c>
      <c r="AI108" s="553">
        <f t="shared" si="556"/>
        <v>4320</v>
      </c>
      <c r="AJ108" s="553">
        <f t="shared" si="556"/>
        <v>4320</v>
      </c>
      <c r="AK108" s="553">
        <f t="shared" si="556"/>
        <v>4320</v>
      </c>
      <c r="AL108" s="560">
        <f t="shared" si="556"/>
        <v>51840</v>
      </c>
      <c r="AM108" s="565"/>
      <c r="AN108" s="553">
        <f t="shared" si="556"/>
        <v>4320</v>
      </c>
      <c r="AO108" s="553">
        <f t="shared" si="556"/>
        <v>4320</v>
      </c>
      <c r="AP108" s="553">
        <f t="shared" si="556"/>
        <v>4320</v>
      </c>
      <c r="AQ108" s="553">
        <f t="shared" si="556"/>
        <v>4320</v>
      </c>
      <c r="AR108" s="553">
        <f t="shared" si="556"/>
        <v>4320</v>
      </c>
      <c r="AS108" s="553">
        <f t="shared" si="556"/>
        <v>4320</v>
      </c>
      <c r="AT108" s="553">
        <f t="shared" si="556"/>
        <v>4320</v>
      </c>
      <c r="AU108" s="553">
        <f t="shared" si="556"/>
        <v>4320</v>
      </c>
      <c r="AV108" s="553">
        <f t="shared" si="556"/>
        <v>4320</v>
      </c>
      <c r="AW108" s="553">
        <f t="shared" si="556"/>
        <v>4320</v>
      </c>
      <c r="AX108" s="553">
        <f t="shared" si="556"/>
        <v>4320</v>
      </c>
      <c r="AY108" s="553">
        <f t="shared" si="556"/>
        <v>4320</v>
      </c>
      <c r="AZ108" s="560">
        <f t="shared" si="556"/>
        <v>51840</v>
      </c>
      <c r="BA108" s="565"/>
      <c r="BB108" s="553">
        <f t="shared" si="556"/>
        <v>4320</v>
      </c>
      <c r="BC108" s="553">
        <f t="shared" si="556"/>
        <v>4320</v>
      </c>
      <c r="BD108" s="553">
        <f t="shared" si="556"/>
        <v>4320</v>
      </c>
      <c r="BE108" s="553">
        <f t="shared" si="556"/>
        <v>4320</v>
      </c>
      <c r="BF108" s="553">
        <f t="shared" si="556"/>
        <v>4320</v>
      </c>
      <c r="BG108" s="553">
        <f t="shared" si="556"/>
        <v>4320</v>
      </c>
      <c r="BH108" s="553">
        <f t="shared" si="556"/>
        <v>4320</v>
      </c>
      <c r="BI108" s="553">
        <f t="shared" si="556"/>
        <v>4320</v>
      </c>
      <c r="BJ108" s="553">
        <f t="shared" si="556"/>
        <v>4320</v>
      </c>
      <c r="BK108" s="553">
        <f t="shared" si="556"/>
        <v>4320</v>
      </c>
      <c r="BL108" s="553">
        <f t="shared" si="556"/>
        <v>4320</v>
      </c>
      <c r="BM108" s="553">
        <f t="shared" si="556"/>
        <v>4320</v>
      </c>
      <c r="BN108" s="560">
        <f t="shared" si="556"/>
        <v>51840</v>
      </c>
      <c r="BO108" s="565"/>
      <c r="BP108" s="553">
        <f t="shared" si="556"/>
        <v>4320</v>
      </c>
      <c r="BQ108" s="553">
        <f t="shared" si="556"/>
        <v>4320</v>
      </c>
      <c r="BR108" s="553">
        <f t="shared" si="556"/>
        <v>4320</v>
      </c>
      <c r="BS108" s="553">
        <f t="shared" si="556"/>
        <v>4320</v>
      </c>
      <c r="BT108" s="553">
        <f t="shared" si="556"/>
        <v>4320</v>
      </c>
      <c r="BU108" s="553">
        <f t="shared" si="556"/>
        <v>4320</v>
      </c>
      <c r="BV108" s="553">
        <f t="shared" si="556"/>
        <v>4320</v>
      </c>
      <c r="BW108" s="553">
        <f t="shared" si="556"/>
        <v>4320</v>
      </c>
      <c r="BX108" s="553">
        <f t="shared" ref="BX108:EI108" si="557">BX41+BX76</f>
        <v>4320</v>
      </c>
      <c r="BY108" s="553">
        <f t="shared" si="557"/>
        <v>4320</v>
      </c>
      <c r="BZ108" s="553">
        <f t="shared" si="557"/>
        <v>4320</v>
      </c>
      <c r="CA108" s="553">
        <f t="shared" si="557"/>
        <v>4320</v>
      </c>
      <c r="CB108" s="560">
        <f t="shared" ref="CB108" si="558">CB41+CB76</f>
        <v>51840</v>
      </c>
      <c r="CC108" s="565"/>
      <c r="CD108" s="553">
        <f t="shared" si="557"/>
        <v>4320</v>
      </c>
      <c r="CE108" s="553">
        <f t="shared" si="557"/>
        <v>4320</v>
      </c>
      <c r="CF108" s="553">
        <f t="shared" si="557"/>
        <v>4320</v>
      </c>
      <c r="CG108" s="553">
        <f t="shared" si="557"/>
        <v>4320</v>
      </c>
      <c r="CH108" s="553">
        <f t="shared" si="557"/>
        <v>4320</v>
      </c>
      <c r="CI108" s="553">
        <f t="shared" si="557"/>
        <v>4320</v>
      </c>
      <c r="CJ108" s="553">
        <f t="shared" si="557"/>
        <v>4320</v>
      </c>
      <c r="CK108" s="553">
        <f t="shared" si="557"/>
        <v>4320</v>
      </c>
      <c r="CL108" s="553">
        <f t="shared" si="557"/>
        <v>4320</v>
      </c>
      <c r="CM108" s="553">
        <f t="shared" si="557"/>
        <v>4320</v>
      </c>
      <c r="CN108" s="553">
        <f t="shared" si="557"/>
        <v>4320</v>
      </c>
      <c r="CO108" s="553">
        <f t="shared" si="557"/>
        <v>4320</v>
      </c>
      <c r="CP108" s="560">
        <f t="shared" ref="CP108" si="559">CP41+CP76</f>
        <v>51840</v>
      </c>
      <c r="CQ108" s="565"/>
      <c r="CR108" s="553">
        <f t="shared" si="557"/>
        <v>4320</v>
      </c>
      <c r="CS108" s="553">
        <f t="shared" si="557"/>
        <v>4320</v>
      </c>
      <c r="CT108" s="553">
        <f t="shared" si="557"/>
        <v>4320</v>
      </c>
      <c r="CU108" s="553">
        <f t="shared" si="557"/>
        <v>4320</v>
      </c>
      <c r="CV108" s="553">
        <f t="shared" si="557"/>
        <v>4320</v>
      </c>
      <c r="CW108" s="553">
        <f t="shared" si="557"/>
        <v>4320</v>
      </c>
      <c r="CX108" s="553">
        <f t="shared" si="557"/>
        <v>4320</v>
      </c>
      <c r="CY108" s="553">
        <f t="shared" si="557"/>
        <v>4320</v>
      </c>
      <c r="CZ108" s="553">
        <f t="shared" si="557"/>
        <v>4320</v>
      </c>
      <c r="DA108" s="553">
        <f t="shared" si="557"/>
        <v>4320</v>
      </c>
      <c r="DB108" s="553">
        <f t="shared" si="557"/>
        <v>4320</v>
      </c>
      <c r="DC108" s="553">
        <f t="shared" si="557"/>
        <v>4320</v>
      </c>
      <c r="DD108" s="560">
        <f t="shared" ref="DD108" si="560">DD41+DD76</f>
        <v>51840</v>
      </c>
      <c r="DE108" s="565"/>
      <c r="DF108" s="553">
        <f t="shared" si="557"/>
        <v>4320</v>
      </c>
      <c r="DG108" s="553">
        <f t="shared" si="557"/>
        <v>4320</v>
      </c>
      <c r="DH108" s="553">
        <f t="shared" si="557"/>
        <v>4320</v>
      </c>
      <c r="DI108" s="553">
        <f t="shared" si="557"/>
        <v>4320</v>
      </c>
      <c r="DJ108" s="553">
        <f t="shared" si="557"/>
        <v>4320</v>
      </c>
      <c r="DK108" s="553">
        <f t="shared" si="557"/>
        <v>4320</v>
      </c>
      <c r="DL108" s="553">
        <f t="shared" si="557"/>
        <v>4320</v>
      </c>
      <c r="DM108" s="553">
        <f t="shared" si="557"/>
        <v>4320</v>
      </c>
      <c r="DN108" s="553">
        <f t="shared" si="557"/>
        <v>4320</v>
      </c>
      <c r="DO108" s="553">
        <f t="shared" si="557"/>
        <v>4320</v>
      </c>
      <c r="DP108" s="553">
        <f t="shared" si="557"/>
        <v>4320</v>
      </c>
      <c r="DQ108" s="553">
        <f t="shared" si="557"/>
        <v>4320</v>
      </c>
      <c r="DR108" s="560">
        <f t="shared" si="557"/>
        <v>51840</v>
      </c>
      <c r="DS108" s="565"/>
      <c r="DT108" s="553">
        <f t="shared" si="557"/>
        <v>4320</v>
      </c>
      <c r="DU108" s="553">
        <f t="shared" si="557"/>
        <v>4320</v>
      </c>
      <c r="DV108" s="553">
        <f t="shared" si="557"/>
        <v>4320</v>
      </c>
      <c r="DW108" s="553">
        <f t="shared" si="557"/>
        <v>4320</v>
      </c>
      <c r="DX108" s="553">
        <f t="shared" si="557"/>
        <v>4320</v>
      </c>
      <c r="DY108" s="553">
        <f t="shared" si="557"/>
        <v>4320</v>
      </c>
      <c r="DZ108" s="553">
        <f t="shared" si="557"/>
        <v>4320</v>
      </c>
      <c r="EA108" s="553">
        <f t="shared" si="557"/>
        <v>4320</v>
      </c>
      <c r="EB108" s="553">
        <f t="shared" si="557"/>
        <v>4320</v>
      </c>
      <c r="EC108" s="553">
        <f t="shared" si="557"/>
        <v>4320</v>
      </c>
      <c r="ED108" s="553">
        <f t="shared" si="557"/>
        <v>4320</v>
      </c>
      <c r="EE108" s="553">
        <f t="shared" si="557"/>
        <v>4320</v>
      </c>
      <c r="EF108" s="560">
        <f t="shared" si="557"/>
        <v>51840</v>
      </c>
      <c r="EG108" s="565"/>
      <c r="EH108" s="553">
        <f t="shared" si="557"/>
        <v>4320</v>
      </c>
      <c r="EI108" s="553">
        <f t="shared" si="557"/>
        <v>4320</v>
      </c>
      <c r="EJ108" s="553">
        <f t="shared" ref="EJ108:ET108" si="561">EJ41+EJ76</f>
        <v>4320</v>
      </c>
      <c r="EK108" s="553">
        <f t="shared" si="561"/>
        <v>4320</v>
      </c>
      <c r="EL108" s="553">
        <f t="shared" si="561"/>
        <v>4320</v>
      </c>
      <c r="EM108" s="553">
        <f t="shared" si="561"/>
        <v>4320</v>
      </c>
      <c r="EN108" s="553">
        <f t="shared" si="561"/>
        <v>4320</v>
      </c>
      <c r="EO108" s="553">
        <f t="shared" si="561"/>
        <v>4320</v>
      </c>
      <c r="EP108" s="553">
        <f t="shared" si="561"/>
        <v>4320</v>
      </c>
      <c r="EQ108" s="553">
        <f t="shared" si="561"/>
        <v>4320</v>
      </c>
      <c r="ER108" s="553">
        <f t="shared" si="561"/>
        <v>4320</v>
      </c>
      <c r="ES108" s="553">
        <f t="shared" si="561"/>
        <v>4320</v>
      </c>
      <c r="ET108" s="560">
        <f t="shared" si="561"/>
        <v>51840</v>
      </c>
      <c r="EU108" s="565"/>
    </row>
  </sheetData>
  <mergeCells count="12">
    <mergeCell ref="ET9:ET10"/>
    <mergeCell ref="C19:E19"/>
    <mergeCell ref="F19:G19"/>
    <mergeCell ref="X9:X10"/>
    <mergeCell ref="AL9:AL10"/>
    <mergeCell ref="AZ9:AZ10"/>
    <mergeCell ref="BN9:BN10"/>
    <mergeCell ref="CB9:CB10"/>
    <mergeCell ref="CP9:CP10"/>
    <mergeCell ref="DD9:DD10"/>
    <mergeCell ref="DR9:DR10"/>
    <mergeCell ref="EF9:EF10"/>
  </mergeCells>
  <phoneticPr fontId="1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3"/>
  <sheetViews>
    <sheetView showGridLines="0" zoomScale="90" zoomScaleNormal="90" workbookViewId="0">
      <pane ySplit="9" topLeftCell="A10" activePane="bottomLeft" state="frozen"/>
      <selection pane="bottomLeft" activeCell="C28" sqref="C28"/>
    </sheetView>
  </sheetViews>
  <sheetFormatPr defaultColWidth="8.81640625" defaultRowHeight="10.5" x14ac:dyDescent="0.35"/>
  <cols>
    <col min="1" max="1" width="4.1796875" style="4" customWidth="1"/>
    <col min="2" max="2" width="9.1796875" style="4" customWidth="1"/>
    <col min="3" max="3" width="9.453125" style="4" bestFit="1" customWidth="1"/>
    <col min="4" max="4" width="9.81640625" style="4" customWidth="1"/>
    <col min="5" max="5" width="8" style="4" customWidth="1"/>
    <col min="6" max="6" width="22.1796875" style="4" customWidth="1"/>
    <col min="7" max="7" width="8.81640625" style="4"/>
    <col min="8" max="8" width="9" style="4" bestFit="1" customWidth="1"/>
    <col min="9" max="9" width="1.81640625" style="4" customWidth="1"/>
    <col min="10" max="10" width="11.453125" style="4" customWidth="1"/>
    <col min="11" max="11" width="15" style="4" customWidth="1"/>
    <col min="12" max="12" width="1.81640625" style="4" customWidth="1"/>
    <col min="13" max="13" width="15.1796875" style="4" customWidth="1"/>
    <col min="14" max="14" width="13.453125" style="4" customWidth="1"/>
    <col min="15" max="15" width="16.81640625" style="4" customWidth="1"/>
    <col min="16" max="16384" width="8.81640625" style="4"/>
  </cols>
  <sheetData>
    <row r="1" spans="1:15" x14ac:dyDescent="0.35">
      <c r="A1" s="1" t="str">
        <f>Asumsi!A1</f>
        <v>Peternakan Ayam Petelur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5">
      <c r="A2" s="1" t="str">
        <f>Asumsi!A2</f>
        <v>Financial Pre-Feasibility Study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5">
      <c r="A3" s="7" t="s">
        <v>21</v>
      </c>
    </row>
    <row r="4" spans="1:15" x14ac:dyDescent="0.35">
      <c r="A4" s="10" t="str">
        <f>Asumsi!A4</f>
        <v>Case-3: pakan diproduksi, Jumlah peliharaan di naikkan dari 3.000 menjadi 12.000 ekor</v>
      </c>
    </row>
    <row r="5" spans="1:15" x14ac:dyDescent="0.35">
      <c r="A5" s="124"/>
    </row>
    <row r="6" spans="1:15" x14ac:dyDescent="0.35">
      <c r="A6" s="124"/>
    </row>
    <row r="8" spans="1:15" ht="21" customHeight="1" x14ac:dyDescent="0.35">
      <c r="A8" s="117" t="s">
        <v>22</v>
      </c>
      <c r="B8" s="117"/>
      <c r="C8" s="118"/>
      <c r="D8" s="118"/>
      <c r="E8" s="118"/>
      <c r="F8" s="118"/>
      <c r="G8" s="119"/>
      <c r="H8" s="114" t="s">
        <v>269</v>
      </c>
      <c r="I8" s="163"/>
      <c r="J8" s="652" t="s">
        <v>169</v>
      </c>
      <c r="K8" s="652"/>
      <c r="L8" s="163"/>
      <c r="M8" s="652" t="s">
        <v>1075</v>
      </c>
      <c r="N8" s="652"/>
      <c r="O8" s="652"/>
    </row>
    <row r="9" spans="1:15" x14ac:dyDescent="0.35">
      <c r="A9" s="239"/>
      <c r="B9" s="239"/>
      <c r="C9" s="240"/>
      <c r="D9" s="240"/>
      <c r="E9" s="240"/>
      <c r="F9" s="240"/>
      <c r="G9" s="3"/>
      <c r="H9" s="241"/>
      <c r="I9" s="162"/>
      <c r="J9" s="241" t="s">
        <v>455</v>
      </c>
      <c r="K9" s="241" t="s">
        <v>456</v>
      </c>
      <c r="L9" s="162"/>
      <c r="M9" s="241" t="s">
        <v>27</v>
      </c>
      <c r="N9" s="241" t="s">
        <v>28</v>
      </c>
      <c r="O9" s="241" t="s">
        <v>29</v>
      </c>
    </row>
    <row r="10" spans="1:15" x14ac:dyDescent="0.35">
      <c r="A10" s="12" t="s">
        <v>67</v>
      </c>
      <c r="B10" s="4" t="s">
        <v>454</v>
      </c>
      <c r="G10" s="3"/>
      <c r="H10" s="13">
        <v>1</v>
      </c>
      <c r="I10" s="74"/>
      <c r="J10" s="346">
        <f>'Prod&amp;Consp'!X83</f>
        <v>753525</v>
      </c>
      <c r="K10" s="45">
        <f>'Prod&amp;Consp'!X82</f>
        <v>0</v>
      </c>
      <c r="L10" s="74"/>
      <c r="M10" s="44">
        <f t="shared" ref="M10:M19" si="0">J10*$E$40/1000</f>
        <v>1205640</v>
      </c>
      <c r="N10" s="44">
        <f t="shared" ref="N10:N19" si="1">K10*$E$41/1000</f>
        <v>0</v>
      </c>
      <c r="O10" s="44">
        <f>M10+N10</f>
        <v>1205640</v>
      </c>
    </row>
    <row r="11" spans="1:15" x14ac:dyDescent="0.35">
      <c r="B11" s="4" t="s">
        <v>1107</v>
      </c>
      <c r="E11" s="155">
        <f>Asumsi!C9</f>
        <v>3000</v>
      </c>
      <c r="F11" s="4" t="s">
        <v>3</v>
      </c>
      <c r="G11" s="3"/>
      <c r="H11" s="13">
        <v>2</v>
      </c>
      <c r="I11" s="74"/>
      <c r="J11" s="346">
        <f>'Prod&amp;Consp'!AL83</f>
        <v>3164805</v>
      </c>
      <c r="K11" s="45">
        <f>'Prod&amp;Consp'!AL82</f>
        <v>2550</v>
      </c>
      <c r="L11" s="74"/>
      <c r="M11" s="44">
        <f t="shared" si="0"/>
        <v>5063688</v>
      </c>
      <c r="N11" s="44">
        <f t="shared" si="1"/>
        <v>89250</v>
      </c>
      <c r="O11" s="44">
        <f>M11+N11</f>
        <v>5152938</v>
      </c>
    </row>
    <row r="12" spans="1:15" x14ac:dyDescent="0.35">
      <c r="B12" s="4" t="s">
        <v>1108</v>
      </c>
      <c r="E12" s="155">
        <f>Asumsi!C10</f>
        <v>9000</v>
      </c>
      <c r="F12" s="4" t="s">
        <v>3</v>
      </c>
      <c r="G12" s="3"/>
      <c r="H12" s="13">
        <v>3</v>
      </c>
      <c r="I12" s="74"/>
      <c r="J12" s="346">
        <f>'Prod&amp;Consp'!AZ83</f>
        <v>3616920</v>
      </c>
      <c r="K12" s="45">
        <f>'Prod&amp;Consp'!AZ82</f>
        <v>7650</v>
      </c>
      <c r="L12" s="74"/>
      <c r="M12" s="44">
        <f t="shared" si="0"/>
        <v>5787072</v>
      </c>
      <c r="N12" s="44">
        <f t="shared" si="1"/>
        <v>267750</v>
      </c>
      <c r="O12" s="44">
        <f t="shared" ref="O12:O18" si="2">M12+N12</f>
        <v>6054822</v>
      </c>
    </row>
    <row r="13" spans="1:15" x14ac:dyDescent="0.35">
      <c r="A13" s="12" t="s">
        <v>68</v>
      </c>
      <c r="B13" s="4" t="s">
        <v>442</v>
      </c>
      <c r="E13" s="16"/>
      <c r="G13" s="3"/>
      <c r="H13" s="13">
        <v>4</v>
      </c>
      <c r="I13" s="74"/>
      <c r="J13" s="346">
        <f>'Prod&amp;Consp'!BN83</f>
        <v>3616920</v>
      </c>
      <c r="K13" s="45">
        <f>'Prod&amp;Consp'!BN82</f>
        <v>2550</v>
      </c>
      <c r="L13" s="74"/>
      <c r="M13" s="44">
        <f t="shared" si="0"/>
        <v>5787072</v>
      </c>
      <c r="N13" s="44">
        <f t="shared" si="1"/>
        <v>89250</v>
      </c>
      <c r="O13" s="44">
        <f t="shared" si="2"/>
        <v>5876322</v>
      </c>
    </row>
    <row r="14" spans="1:15" x14ac:dyDescent="0.35">
      <c r="B14" s="4" t="s">
        <v>447</v>
      </c>
      <c r="E14" s="153">
        <f>Asumsi!C20</f>
        <v>1.5</v>
      </c>
      <c r="F14" s="4" t="s">
        <v>205</v>
      </c>
      <c r="G14" s="3"/>
      <c r="H14" s="13">
        <v>5</v>
      </c>
      <c r="I14" s="74"/>
      <c r="J14" s="346">
        <f>'Prod&amp;Consp'!CB83</f>
        <v>3616920</v>
      </c>
      <c r="K14" s="45">
        <f>'Prod&amp;Consp'!CB82</f>
        <v>10200</v>
      </c>
      <c r="L14" s="74"/>
      <c r="M14" s="44">
        <f t="shared" si="0"/>
        <v>5787072</v>
      </c>
      <c r="N14" s="44">
        <f t="shared" si="1"/>
        <v>357000</v>
      </c>
      <c r="O14" s="44">
        <f t="shared" si="2"/>
        <v>6144072</v>
      </c>
    </row>
    <row r="15" spans="1:15" x14ac:dyDescent="0.35">
      <c r="B15" s="4" t="s">
        <v>448</v>
      </c>
      <c r="E15" s="508">
        <f>Asumsi!C21</f>
        <v>13.5</v>
      </c>
      <c r="F15" s="4" t="s">
        <v>205</v>
      </c>
      <c r="G15" s="3"/>
      <c r="H15" s="13">
        <v>6</v>
      </c>
      <c r="I15" s="74"/>
      <c r="J15" s="346">
        <f>'Prod&amp;Consp'!CP83</f>
        <v>3616920</v>
      </c>
      <c r="K15" s="45">
        <f>'Prod&amp;Consp'!CP82</f>
        <v>7650</v>
      </c>
      <c r="L15" s="74"/>
      <c r="M15" s="44">
        <f t="shared" si="0"/>
        <v>5787072</v>
      </c>
      <c r="N15" s="44">
        <f t="shared" si="1"/>
        <v>267750</v>
      </c>
      <c r="O15" s="44">
        <f t="shared" si="2"/>
        <v>6054822</v>
      </c>
    </row>
    <row r="16" spans="1:15" x14ac:dyDescent="0.35">
      <c r="B16" s="71" t="s">
        <v>29</v>
      </c>
      <c r="E16" s="261">
        <f>E14+E15</f>
        <v>15</v>
      </c>
      <c r="F16" s="4" t="s">
        <v>205</v>
      </c>
      <c r="G16" s="3"/>
      <c r="H16" s="13">
        <v>7</v>
      </c>
      <c r="I16" s="74"/>
      <c r="J16" s="346">
        <f>'Prod&amp;Consp'!DD83</f>
        <v>3616920</v>
      </c>
      <c r="K16" s="45">
        <f>'Prod&amp;Consp'!DD82</f>
        <v>2550</v>
      </c>
      <c r="L16" s="74"/>
      <c r="M16" s="44">
        <f t="shared" si="0"/>
        <v>5787072</v>
      </c>
      <c r="N16" s="44">
        <f t="shared" si="1"/>
        <v>89250</v>
      </c>
      <c r="O16" s="44">
        <f t="shared" si="2"/>
        <v>5876322</v>
      </c>
    </row>
    <row r="17" spans="1:15" x14ac:dyDescent="0.35">
      <c r="A17" s="12" t="s">
        <v>69</v>
      </c>
      <c r="B17" s="4" t="s">
        <v>1130</v>
      </c>
      <c r="H17" s="13">
        <v>8</v>
      </c>
      <c r="I17" s="74"/>
      <c r="J17" s="346">
        <f>'Prod&amp;Consp'!DR83</f>
        <v>3616920</v>
      </c>
      <c r="K17" s="45">
        <f>'Prod&amp;Consp'!DR82</f>
        <v>10200</v>
      </c>
      <c r="L17" s="74"/>
      <c r="M17" s="44">
        <f t="shared" si="0"/>
        <v>5787072</v>
      </c>
      <c r="N17" s="44">
        <f t="shared" si="1"/>
        <v>357000</v>
      </c>
      <c r="O17" s="44">
        <f t="shared" si="2"/>
        <v>6144072</v>
      </c>
    </row>
    <row r="18" spans="1:15" x14ac:dyDescent="0.35">
      <c r="B18" s="5" t="s">
        <v>457</v>
      </c>
      <c r="H18" s="13">
        <v>9</v>
      </c>
      <c r="I18" s="74"/>
      <c r="J18" s="346">
        <f>'Prod&amp;Consp'!EF83</f>
        <v>3616920</v>
      </c>
      <c r="K18" s="45">
        <f>'Prod&amp;Consp'!EF82</f>
        <v>7650</v>
      </c>
      <c r="L18" s="74"/>
      <c r="M18" s="44">
        <f t="shared" si="0"/>
        <v>5787072</v>
      </c>
      <c r="N18" s="44">
        <f t="shared" si="1"/>
        <v>267750</v>
      </c>
      <c r="O18" s="44">
        <f t="shared" si="2"/>
        <v>6054822</v>
      </c>
    </row>
    <row r="19" spans="1:15" x14ac:dyDescent="0.35">
      <c r="B19" s="4" t="s">
        <v>1127</v>
      </c>
      <c r="E19" s="380">
        <f>E11-(E11*E14%)</f>
        <v>2955</v>
      </c>
      <c r="F19" s="5" t="s">
        <v>3</v>
      </c>
      <c r="G19" s="3"/>
      <c r="H19" s="13">
        <v>10</v>
      </c>
      <c r="I19" s="74"/>
      <c r="J19" s="346">
        <f>'Prod&amp;Consp'!ET83</f>
        <v>3616920</v>
      </c>
      <c r="K19" s="45">
        <f>'Prod&amp;Consp'!ET82</f>
        <v>12750</v>
      </c>
      <c r="L19" s="74"/>
      <c r="M19" s="44">
        <f t="shared" si="0"/>
        <v>5787072</v>
      </c>
      <c r="N19" s="44">
        <f t="shared" si="1"/>
        <v>446250</v>
      </c>
      <c r="O19" s="44">
        <f>M19+N19</f>
        <v>6233322</v>
      </c>
    </row>
    <row r="20" spans="1:15" x14ac:dyDescent="0.35">
      <c r="B20" s="4" t="s">
        <v>1128</v>
      </c>
      <c r="E20" s="380">
        <f>E12-(E12*E14%)</f>
        <v>8865</v>
      </c>
      <c r="F20" s="5" t="s">
        <v>3</v>
      </c>
      <c r="G20" s="3"/>
      <c r="H20" s="17"/>
      <c r="I20" s="75"/>
      <c r="J20" s="259"/>
      <c r="K20" s="17"/>
      <c r="L20" s="75"/>
      <c r="M20" s="159"/>
      <c r="N20" s="159"/>
      <c r="O20" s="159"/>
    </row>
    <row r="21" spans="1:15" x14ac:dyDescent="0.35">
      <c r="B21" s="5" t="s">
        <v>1129</v>
      </c>
      <c r="H21" s="33" t="s">
        <v>72</v>
      </c>
      <c r="I21" s="33"/>
      <c r="J21" s="48">
        <f>SUM(J10:J20)</f>
        <v>32853690</v>
      </c>
      <c r="K21" s="33"/>
      <c r="L21" s="33"/>
      <c r="M21" s="5">
        <f>SUM(M10:M19)</f>
        <v>52565904</v>
      </c>
      <c r="N21" s="5">
        <f t="shared" ref="N21:O21" si="3">SUM(N10:N19)</f>
        <v>2231250</v>
      </c>
      <c r="O21" s="5">
        <f t="shared" si="3"/>
        <v>54797154</v>
      </c>
    </row>
    <row r="22" spans="1:15" x14ac:dyDescent="0.35">
      <c r="B22" s="4" t="s">
        <v>1127</v>
      </c>
      <c r="E22" s="380">
        <f>E11*(1-E14%-E15%)</f>
        <v>2550</v>
      </c>
      <c r="F22" s="5" t="s">
        <v>3</v>
      </c>
      <c r="H22" s="33" t="s">
        <v>426</v>
      </c>
      <c r="I22" s="33"/>
      <c r="J22" s="460">
        <f>J21/H19</f>
        <v>3285369</v>
      </c>
      <c r="K22" s="33"/>
      <c r="L22" s="33"/>
      <c r="M22" s="44">
        <f>M21/H19</f>
        <v>5256590.4000000004</v>
      </c>
      <c r="N22" s="44">
        <f>N21/H19</f>
        <v>223125</v>
      </c>
      <c r="O22" s="44">
        <f>O21/H19</f>
        <v>5479715.4000000004</v>
      </c>
    </row>
    <row r="23" spans="1:15" x14ac:dyDescent="0.35">
      <c r="B23" s="4" t="s">
        <v>1128</v>
      </c>
      <c r="E23" s="380">
        <f>E12*(1-E14%+E15%)</f>
        <v>10080.000000000002</v>
      </c>
      <c r="F23" s="5" t="s">
        <v>3</v>
      </c>
      <c r="H23" s="29"/>
      <c r="I23" s="29"/>
      <c r="J23" s="29"/>
      <c r="K23" s="29"/>
      <c r="L23" s="29"/>
      <c r="M23" s="29"/>
      <c r="N23" s="29"/>
      <c r="O23" s="29"/>
    </row>
    <row r="24" spans="1:15" x14ac:dyDescent="0.35">
      <c r="B24" s="5" t="s">
        <v>1131</v>
      </c>
      <c r="E24" s="154">
        <f>Asumsi!C22</f>
        <v>85</v>
      </c>
      <c r="F24" s="4" t="s">
        <v>458</v>
      </c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35">
      <c r="B25" s="4" t="s">
        <v>1132</v>
      </c>
      <c r="E25" s="161" t="s">
        <v>462</v>
      </c>
      <c r="J25" s="386"/>
    </row>
    <row r="26" spans="1:15" x14ac:dyDescent="0.35">
      <c r="B26" s="13" t="s">
        <v>269</v>
      </c>
      <c r="C26" s="13" t="s">
        <v>490</v>
      </c>
      <c r="D26" s="45" t="s">
        <v>1060</v>
      </c>
      <c r="E26" s="45" t="s">
        <v>28</v>
      </c>
    </row>
    <row r="27" spans="1:15" x14ac:dyDescent="0.35">
      <c r="B27" s="156"/>
      <c r="C27" s="156" t="s">
        <v>1059</v>
      </c>
      <c r="D27" s="156" t="s">
        <v>1059</v>
      </c>
      <c r="E27" s="149" t="s">
        <v>3</v>
      </c>
    </row>
    <row r="28" spans="1:15" x14ac:dyDescent="0.35">
      <c r="B28" s="13">
        <v>1</v>
      </c>
      <c r="C28" s="45" t="e">
        <f>#REF!</f>
        <v>#REF!</v>
      </c>
      <c r="D28" s="45" t="e">
        <f>C28</f>
        <v>#REF!</v>
      </c>
      <c r="E28" s="44" t="e">
        <f>#REF!</f>
        <v>#REF!</v>
      </c>
    </row>
    <row r="29" spans="1:15" x14ac:dyDescent="0.35">
      <c r="B29" s="13">
        <v>2</v>
      </c>
      <c r="C29" s="45" t="e">
        <f>#REF!</f>
        <v>#REF!</v>
      </c>
      <c r="D29" s="45" t="e">
        <f>C29</f>
        <v>#REF!</v>
      </c>
      <c r="E29" s="44" t="e">
        <f>#REF!</f>
        <v>#REF!</v>
      </c>
    </row>
    <row r="30" spans="1:15" x14ac:dyDescent="0.35">
      <c r="B30" s="13">
        <v>3</v>
      </c>
      <c r="C30" s="45" t="e">
        <f>#REF!</f>
        <v>#REF!</v>
      </c>
      <c r="D30" s="45" t="e">
        <f t="shared" ref="D30:D37" si="4">C30</f>
        <v>#REF!</v>
      </c>
      <c r="E30" s="44" t="e">
        <f>#REF!</f>
        <v>#REF!</v>
      </c>
    </row>
    <row r="31" spans="1:15" x14ac:dyDescent="0.35">
      <c r="B31" s="13">
        <v>4</v>
      </c>
      <c r="C31" s="45" t="e">
        <f>#REF!</f>
        <v>#REF!</v>
      </c>
      <c r="D31" s="45" t="e">
        <f t="shared" si="4"/>
        <v>#REF!</v>
      </c>
      <c r="E31" s="44" t="e">
        <f>#REF!</f>
        <v>#REF!</v>
      </c>
    </row>
    <row r="32" spans="1:15" x14ac:dyDescent="0.35">
      <c r="B32" s="13">
        <v>5</v>
      </c>
      <c r="C32" s="45" t="e">
        <f>#REF!</f>
        <v>#REF!</v>
      </c>
      <c r="D32" s="45" t="e">
        <f t="shared" si="4"/>
        <v>#REF!</v>
      </c>
      <c r="E32" s="44" t="e">
        <f>#REF!</f>
        <v>#REF!</v>
      </c>
    </row>
    <row r="33" spans="1:6" x14ac:dyDescent="0.35">
      <c r="B33" s="13">
        <v>6</v>
      </c>
      <c r="C33" s="45" t="e">
        <f>#REF!</f>
        <v>#REF!</v>
      </c>
      <c r="D33" s="45" t="e">
        <f t="shared" si="4"/>
        <v>#REF!</v>
      </c>
      <c r="E33" s="44" t="e">
        <f>#REF!</f>
        <v>#REF!</v>
      </c>
      <c r="F33" s="5"/>
    </row>
    <row r="34" spans="1:6" x14ac:dyDescent="0.35">
      <c r="B34" s="13">
        <v>7</v>
      </c>
      <c r="C34" s="45" t="e">
        <f>#REF!</f>
        <v>#REF!</v>
      </c>
      <c r="D34" s="45" t="e">
        <f t="shared" si="4"/>
        <v>#REF!</v>
      </c>
      <c r="E34" s="44" t="e">
        <f>#REF!</f>
        <v>#REF!</v>
      </c>
      <c r="F34" s="8"/>
    </row>
    <row r="35" spans="1:6" x14ac:dyDescent="0.35">
      <c r="B35" s="13">
        <v>8</v>
      </c>
      <c r="C35" s="45" t="e">
        <f>#REF!</f>
        <v>#REF!</v>
      </c>
      <c r="D35" s="45" t="e">
        <f t="shared" si="4"/>
        <v>#REF!</v>
      </c>
      <c r="E35" s="44" t="e">
        <f>#REF!</f>
        <v>#REF!</v>
      </c>
    </row>
    <row r="36" spans="1:6" x14ac:dyDescent="0.35">
      <c r="B36" s="13">
        <v>9</v>
      </c>
      <c r="C36" s="45" t="e">
        <f>#REF!</f>
        <v>#REF!</v>
      </c>
      <c r="D36" s="45" t="e">
        <f t="shared" si="4"/>
        <v>#REF!</v>
      </c>
      <c r="E36" s="44" t="e">
        <f>#REF!</f>
        <v>#REF!</v>
      </c>
    </row>
    <row r="37" spans="1:6" x14ac:dyDescent="0.35">
      <c r="B37" s="13">
        <v>10</v>
      </c>
      <c r="C37" s="45" t="e">
        <f>#REF!</f>
        <v>#REF!</v>
      </c>
      <c r="D37" s="45" t="e">
        <f t="shared" si="4"/>
        <v>#REF!</v>
      </c>
      <c r="E37" s="44" t="e">
        <f>#REF!</f>
        <v>#REF!</v>
      </c>
    </row>
    <row r="39" spans="1:6" x14ac:dyDescent="0.35">
      <c r="A39" s="12" t="s">
        <v>459</v>
      </c>
      <c r="B39" s="151" t="s">
        <v>460</v>
      </c>
    </row>
    <row r="40" spans="1:6" x14ac:dyDescent="0.35">
      <c r="B40" s="5" t="s">
        <v>461</v>
      </c>
      <c r="E40" s="157">
        <f>Asumsi!C25</f>
        <v>1600</v>
      </c>
      <c r="F40" s="5" t="s">
        <v>5</v>
      </c>
    </row>
    <row r="41" spans="1:6" x14ac:dyDescent="0.35">
      <c r="B41" s="5" t="s">
        <v>366</v>
      </c>
      <c r="E41" s="158">
        <f>Asumsi!C24</f>
        <v>35000</v>
      </c>
      <c r="F41" s="5" t="s">
        <v>7</v>
      </c>
    </row>
    <row r="42" spans="1:6" x14ac:dyDescent="0.35">
      <c r="B42" s="3"/>
      <c r="E42" s="3"/>
      <c r="F42" s="3"/>
    </row>
    <row r="43" spans="1:6" x14ac:dyDescent="0.35">
      <c r="A43" s="68"/>
      <c r="B43" s="68"/>
      <c r="C43" s="68"/>
      <c r="D43" s="68"/>
      <c r="E43" s="68"/>
      <c r="F43" s="68"/>
    </row>
  </sheetData>
  <mergeCells count="2">
    <mergeCell ref="M8:O8"/>
    <mergeCell ref="J8:K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5FBB-C7E9-435A-8457-53530FB72C0B}">
  <dimension ref="A1:FF63"/>
  <sheetViews>
    <sheetView showGridLines="0" zoomScale="93" zoomScaleNormal="93" workbookViewId="0">
      <pane xSplit="4" ySplit="10" topLeftCell="V11" activePane="bottomRight" state="frozen"/>
      <selection pane="topRight" activeCell="E1" sqref="E1"/>
      <selection pane="bottomLeft" activeCell="A11" sqref="A11"/>
      <selection pane="bottomRight" activeCell="W20" sqref="W20"/>
    </sheetView>
  </sheetViews>
  <sheetFormatPr defaultColWidth="8.90625" defaultRowHeight="10.5" customHeight="1" x14ac:dyDescent="0.35"/>
  <cols>
    <col min="1" max="1" width="3.453125" style="536" customWidth="1"/>
    <col min="2" max="2" width="23.453125" style="536" customWidth="1"/>
    <col min="3" max="4" width="11.1796875" style="531" customWidth="1"/>
    <col min="5" max="5" width="8.90625" style="531"/>
    <col min="6" max="6" width="5.1796875" style="531" customWidth="1"/>
    <col min="7" max="7" width="4.1796875" style="531" customWidth="1"/>
    <col min="8" max="8" width="19" style="531" bestFit="1" customWidth="1"/>
    <col min="9" max="9" width="7.1796875" style="531" bestFit="1" customWidth="1"/>
    <col min="10" max="20" width="6.1796875" style="531" bestFit="1" customWidth="1"/>
    <col min="21" max="21" width="7.1796875" style="531" bestFit="1" customWidth="1"/>
    <col min="22" max="22" width="1.81640625" style="531" customWidth="1"/>
    <col min="23" max="34" width="7.1796875" style="531" bestFit="1" customWidth="1"/>
    <col min="35" max="35" width="8.54296875" style="531" bestFit="1" customWidth="1"/>
    <col min="36" max="36" width="1.81640625" style="531" customWidth="1"/>
    <col min="37" max="48" width="7.1796875" style="531" bestFit="1" customWidth="1"/>
    <col min="49" max="49" width="8.54296875" style="531" bestFit="1" customWidth="1"/>
    <col min="50" max="50" width="1.81640625" style="531" customWidth="1"/>
    <col min="51" max="62" width="7.1796875" style="531" bestFit="1" customWidth="1"/>
    <col min="63" max="63" width="8.54296875" style="531" bestFit="1" customWidth="1"/>
    <col min="64" max="64" width="1.81640625" style="531" customWidth="1"/>
    <col min="65" max="65" width="7.90625" style="531" bestFit="1" customWidth="1"/>
    <col min="66" max="76" width="7.1796875" style="531" bestFit="1" customWidth="1"/>
    <col min="77" max="77" width="8.54296875" style="531" bestFit="1" customWidth="1"/>
    <col min="78" max="78" width="1.81640625" style="531" customWidth="1"/>
    <col min="79" max="84" width="7.1796875" style="531" bestFit="1" customWidth="1"/>
    <col min="85" max="85" width="7.90625" style="531" bestFit="1" customWidth="1"/>
    <col min="86" max="90" width="7.1796875" style="531" bestFit="1" customWidth="1"/>
    <col min="91" max="91" width="8.54296875" style="531" bestFit="1" customWidth="1"/>
    <col min="92" max="92" width="1.81640625" style="531" customWidth="1"/>
    <col min="93" max="104" width="7.1796875" style="531" bestFit="1" customWidth="1"/>
    <col min="105" max="105" width="8.54296875" style="531" bestFit="1" customWidth="1"/>
    <col min="106" max="106" width="1.81640625" style="531" customWidth="1"/>
    <col min="107" max="107" width="7.90625" style="531" bestFit="1" customWidth="1"/>
    <col min="108" max="118" width="7.1796875" style="531" bestFit="1" customWidth="1"/>
    <col min="119" max="119" width="8.54296875" style="531" bestFit="1" customWidth="1"/>
    <col min="120" max="120" width="1.81640625" style="531" customWidth="1"/>
    <col min="121" max="126" width="7.1796875" style="531" bestFit="1" customWidth="1"/>
    <col min="127" max="127" width="7.90625" style="531" bestFit="1" customWidth="1"/>
    <col min="128" max="132" width="7.1796875" style="531" bestFit="1" customWidth="1"/>
    <col min="133" max="133" width="8.54296875" style="531" bestFit="1" customWidth="1"/>
    <col min="134" max="134" width="1.81640625" style="531" customWidth="1"/>
    <col min="135" max="146" width="7.1796875" style="531" bestFit="1" customWidth="1"/>
    <col min="147" max="147" width="8.54296875" style="531" bestFit="1" customWidth="1"/>
    <col min="148" max="148" width="1.81640625" style="531" customWidth="1"/>
    <col min="149" max="149" width="8.90625" style="531"/>
    <col min="150" max="150" width="5.1796875" style="531" customWidth="1"/>
    <col min="151" max="151" width="4.1796875" style="531" customWidth="1"/>
    <col min="152" max="152" width="19" style="531" bestFit="1" customWidth="1"/>
    <col min="153" max="153" width="7.81640625" style="531" customWidth="1"/>
    <col min="154" max="162" width="8.54296875" style="531" bestFit="1" customWidth="1"/>
    <col min="163" max="16384" width="8.90625" style="531"/>
  </cols>
  <sheetData>
    <row r="1" spans="1:162" ht="10.5" customHeight="1" x14ac:dyDescent="0.35">
      <c r="A1" s="530" t="str">
        <f>Asumsi!A1</f>
        <v>Peternakan Ayam Petelur</v>
      </c>
      <c r="B1" s="531"/>
      <c r="C1" s="533"/>
      <c r="D1" s="533"/>
    </row>
    <row r="2" spans="1:162" ht="10.5" customHeight="1" x14ac:dyDescent="0.35">
      <c r="A2" s="530" t="str">
        <f>Asumsi!A2</f>
        <v>Financial Pre-Feasibility Study</v>
      </c>
      <c r="B2" s="531"/>
      <c r="C2" s="533"/>
      <c r="D2" s="533"/>
    </row>
    <row r="3" spans="1:162" ht="10.5" customHeight="1" x14ac:dyDescent="0.35">
      <c r="A3" s="534" t="s">
        <v>32</v>
      </c>
      <c r="B3" s="531"/>
      <c r="C3" s="533"/>
      <c r="D3" s="533"/>
    </row>
    <row r="4" spans="1:162" ht="10.5" customHeight="1" x14ac:dyDescent="0.35">
      <c r="A4" s="535" t="str">
        <f>Asumsi!A4</f>
        <v>Case-3: pakan diproduksi, Jumlah peliharaan di naikkan dari 3.000 menjadi 12.000 ekor</v>
      </c>
    </row>
    <row r="5" spans="1:162" ht="10.5" customHeight="1" x14ac:dyDescent="0.35">
      <c r="A5" s="538"/>
    </row>
    <row r="6" spans="1:162" ht="10.5" customHeight="1" x14ac:dyDescent="0.35">
      <c r="A6" s="538"/>
    </row>
    <row r="8" spans="1:162" ht="10.5" customHeight="1" x14ac:dyDescent="0.35">
      <c r="A8" s="539" t="s">
        <v>1</v>
      </c>
      <c r="B8" s="539"/>
      <c r="C8" s="541"/>
      <c r="D8" s="541"/>
      <c r="F8" s="120" t="s">
        <v>1077</v>
      </c>
      <c r="G8" s="541"/>
      <c r="H8" s="541"/>
      <c r="I8" s="541"/>
      <c r="J8" s="541"/>
      <c r="K8" s="541"/>
      <c r="L8" s="541"/>
      <c r="M8" s="541"/>
      <c r="N8" s="541"/>
      <c r="O8" s="541"/>
      <c r="P8" s="541"/>
      <c r="Q8" s="541"/>
      <c r="R8" s="541"/>
      <c r="S8" s="541"/>
      <c r="T8" s="541"/>
      <c r="U8" s="541"/>
      <c r="W8" s="541"/>
      <c r="X8" s="541"/>
      <c r="Y8" s="541"/>
      <c r="Z8" s="541"/>
      <c r="AA8" s="541"/>
      <c r="AB8" s="541"/>
      <c r="AC8" s="541"/>
      <c r="AD8" s="541"/>
      <c r="AE8" s="541"/>
      <c r="AF8" s="541"/>
      <c r="AG8" s="541"/>
      <c r="AH8" s="541"/>
      <c r="AI8" s="541"/>
      <c r="AK8" s="541"/>
      <c r="AL8" s="541"/>
      <c r="AM8" s="541"/>
      <c r="AN8" s="541"/>
      <c r="AO8" s="541"/>
      <c r="AP8" s="541"/>
      <c r="AQ8" s="541"/>
      <c r="AR8" s="541"/>
      <c r="AS8" s="541"/>
      <c r="AT8" s="541"/>
      <c r="AU8" s="541"/>
      <c r="AV8" s="541"/>
      <c r="AW8" s="541"/>
      <c r="AY8" s="541"/>
      <c r="AZ8" s="541"/>
      <c r="BA8" s="541"/>
      <c r="BB8" s="541"/>
      <c r="BC8" s="541"/>
      <c r="BD8" s="541"/>
      <c r="BE8" s="541"/>
      <c r="BF8" s="541"/>
      <c r="BG8" s="541"/>
      <c r="BH8" s="541"/>
      <c r="BI8" s="541"/>
      <c r="BJ8" s="541"/>
      <c r="BK8" s="541"/>
      <c r="BM8" s="541"/>
      <c r="BN8" s="541"/>
      <c r="BO8" s="541"/>
      <c r="BP8" s="541"/>
      <c r="BQ8" s="541"/>
      <c r="BR8" s="541"/>
      <c r="BS8" s="541"/>
      <c r="BT8" s="541"/>
      <c r="BU8" s="541"/>
      <c r="BV8" s="541"/>
      <c r="BW8" s="541"/>
      <c r="BX8" s="541"/>
      <c r="BY8" s="541"/>
      <c r="CA8" s="541"/>
      <c r="CB8" s="541"/>
      <c r="CC8" s="541"/>
      <c r="CD8" s="541"/>
      <c r="CE8" s="541"/>
      <c r="CF8" s="541"/>
      <c r="CG8" s="541"/>
      <c r="CH8" s="541"/>
      <c r="CI8" s="541"/>
      <c r="CJ8" s="541"/>
      <c r="CK8" s="541"/>
      <c r="CL8" s="541"/>
      <c r="CM8" s="541"/>
      <c r="CO8" s="541"/>
      <c r="CP8" s="541"/>
      <c r="CQ8" s="541"/>
      <c r="CR8" s="541"/>
      <c r="CS8" s="541"/>
      <c r="CT8" s="541"/>
      <c r="CU8" s="541"/>
      <c r="CV8" s="541"/>
      <c r="CW8" s="541"/>
      <c r="CX8" s="541"/>
      <c r="CY8" s="541"/>
      <c r="CZ8" s="541"/>
      <c r="DA8" s="541"/>
      <c r="DC8" s="541"/>
      <c r="DD8" s="541"/>
      <c r="DE8" s="541"/>
      <c r="DF8" s="541"/>
      <c r="DG8" s="541"/>
      <c r="DH8" s="541"/>
      <c r="DI8" s="541"/>
      <c r="DJ8" s="541"/>
      <c r="DK8" s="541"/>
      <c r="DL8" s="541"/>
      <c r="DM8" s="541"/>
      <c r="DN8" s="541"/>
      <c r="DO8" s="541"/>
      <c r="DQ8" s="541"/>
      <c r="DR8" s="541"/>
      <c r="DS8" s="541"/>
      <c r="DT8" s="541"/>
      <c r="DU8" s="541"/>
      <c r="DV8" s="541"/>
      <c r="DW8" s="541"/>
      <c r="DX8" s="541"/>
      <c r="DY8" s="541"/>
      <c r="DZ8" s="541"/>
      <c r="EA8" s="541"/>
      <c r="EB8" s="541"/>
      <c r="EC8" s="541"/>
      <c r="EE8" s="541"/>
      <c r="EF8" s="541"/>
      <c r="EG8" s="541"/>
      <c r="EH8" s="541"/>
      <c r="EI8" s="541"/>
      <c r="EJ8" s="541"/>
      <c r="EK8" s="541"/>
      <c r="EL8" s="541"/>
      <c r="EM8" s="541"/>
      <c r="EN8" s="541"/>
      <c r="EO8" s="541"/>
      <c r="EP8" s="541"/>
      <c r="EQ8" s="541"/>
      <c r="ET8" s="120" t="s">
        <v>1191</v>
      </c>
      <c r="EU8" s="541"/>
      <c r="EV8" s="541"/>
      <c r="EW8" s="541"/>
      <c r="EX8" s="541"/>
      <c r="EY8" s="541"/>
      <c r="EZ8" s="541"/>
      <c r="FA8" s="541"/>
      <c r="FB8" s="541"/>
      <c r="FC8" s="541"/>
      <c r="FD8" s="541"/>
      <c r="FE8" s="541"/>
      <c r="FF8" s="541"/>
    </row>
    <row r="9" spans="1:162" ht="10.5" customHeight="1" x14ac:dyDescent="0.35">
      <c r="A9" s="542"/>
      <c r="B9" s="543"/>
      <c r="C9" s="543"/>
      <c r="D9" s="543"/>
      <c r="F9" s="572" t="s">
        <v>269</v>
      </c>
      <c r="G9" s="545"/>
      <c r="H9" s="546"/>
      <c r="I9" s="546">
        <v>1</v>
      </c>
      <c r="J9" s="546"/>
      <c r="K9" s="546"/>
      <c r="L9" s="546"/>
      <c r="M9" s="546"/>
      <c r="N9" s="546"/>
      <c r="O9" s="546"/>
      <c r="P9" s="546"/>
      <c r="Q9" s="546"/>
      <c r="R9" s="546"/>
      <c r="S9" s="546"/>
      <c r="T9" s="546"/>
      <c r="U9" s="650" t="s">
        <v>29</v>
      </c>
      <c r="W9" s="546">
        <v>2</v>
      </c>
      <c r="X9" s="546"/>
      <c r="Y9" s="546"/>
      <c r="Z9" s="546"/>
      <c r="AA9" s="546"/>
      <c r="AB9" s="546"/>
      <c r="AC9" s="546"/>
      <c r="AD9" s="546"/>
      <c r="AE9" s="546"/>
      <c r="AF9" s="546"/>
      <c r="AG9" s="546"/>
      <c r="AH9" s="546"/>
      <c r="AI9" s="650" t="s">
        <v>29</v>
      </c>
      <c r="AK9" s="546">
        <v>3</v>
      </c>
      <c r="AL9" s="546"/>
      <c r="AM9" s="546"/>
      <c r="AN9" s="546"/>
      <c r="AO9" s="546"/>
      <c r="AP9" s="546"/>
      <c r="AQ9" s="546"/>
      <c r="AR9" s="546"/>
      <c r="AS9" s="546"/>
      <c r="AT9" s="546"/>
      <c r="AU9" s="546"/>
      <c r="AV9" s="546"/>
      <c r="AW9" s="650" t="s">
        <v>29</v>
      </c>
      <c r="AY9" s="546">
        <v>4</v>
      </c>
      <c r="AZ9" s="546"/>
      <c r="BA9" s="546"/>
      <c r="BB9" s="546"/>
      <c r="BC9" s="546"/>
      <c r="BD9" s="546"/>
      <c r="BE9" s="546"/>
      <c r="BF9" s="546"/>
      <c r="BG9" s="546"/>
      <c r="BH9" s="546"/>
      <c r="BI9" s="546"/>
      <c r="BJ9" s="546"/>
      <c r="BK9" s="650" t="s">
        <v>29</v>
      </c>
      <c r="BM9" s="546">
        <v>5</v>
      </c>
      <c r="BN9" s="546"/>
      <c r="BO9" s="546"/>
      <c r="BP9" s="546"/>
      <c r="BQ9" s="546"/>
      <c r="BR9" s="546"/>
      <c r="BS9" s="546"/>
      <c r="BT9" s="546"/>
      <c r="BU9" s="546"/>
      <c r="BV9" s="546"/>
      <c r="BW9" s="546"/>
      <c r="BX9" s="546"/>
      <c r="BY9" s="650" t="s">
        <v>29</v>
      </c>
      <c r="CA9" s="546">
        <v>6</v>
      </c>
      <c r="CB9" s="546"/>
      <c r="CC9" s="546"/>
      <c r="CD9" s="546"/>
      <c r="CE9" s="546"/>
      <c r="CF9" s="546"/>
      <c r="CG9" s="546"/>
      <c r="CH9" s="546"/>
      <c r="CI9" s="546"/>
      <c r="CJ9" s="546"/>
      <c r="CK9" s="546"/>
      <c r="CL9" s="546"/>
      <c r="CM9" s="650" t="s">
        <v>29</v>
      </c>
      <c r="CO9" s="546">
        <v>7</v>
      </c>
      <c r="CP9" s="546"/>
      <c r="CQ9" s="546"/>
      <c r="CR9" s="546"/>
      <c r="CS9" s="546"/>
      <c r="CT9" s="546"/>
      <c r="CU9" s="546"/>
      <c r="CV9" s="546"/>
      <c r="CW9" s="546"/>
      <c r="CX9" s="546"/>
      <c r="CY9" s="546"/>
      <c r="CZ9" s="546"/>
      <c r="DA9" s="650" t="s">
        <v>29</v>
      </c>
      <c r="DC9" s="546">
        <v>8</v>
      </c>
      <c r="DD9" s="546"/>
      <c r="DE9" s="546"/>
      <c r="DF9" s="546"/>
      <c r="DG9" s="546"/>
      <c r="DH9" s="546"/>
      <c r="DI9" s="546"/>
      <c r="DJ9" s="546"/>
      <c r="DK9" s="546"/>
      <c r="DL9" s="546"/>
      <c r="DM9" s="546"/>
      <c r="DN9" s="546"/>
      <c r="DO9" s="650" t="s">
        <v>29</v>
      </c>
      <c r="DQ9" s="546">
        <v>9</v>
      </c>
      <c r="DR9" s="546"/>
      <c r="DS9" s="546"/>
      <c r="DT9" s="546"/>
      <c r="DU9" s="546"/>
      <c r="DV9" s="546"/>
      <c r="DW9" s="546"/>
      <c r="DX9" s="546"/>
      <c r="DY9" s="546"/>
      <c r="DZ9" s="546"/>
      <c r="EA9" s="546"/>
      <c r="EB9" s="546"/>
      <c r="EC9" s="650" t="s">
        <v>29</v>
      </c>
      <c r="EE9" s="546">
        <v>10</v>
      </c>
      <c r="EF9" s="546"/>
      <c r="EG9" s="546"/>
      <c r="EH9" s="546"/>
      <c r="EI9" s="546"/>
      <c r="EJ9" s="546"/>
      <c r="EK9" s="546"/>
      <c r="EL9" s="546"/>
      <c r="EM9" s="546"/>
      <c r="EN9" s="546"/>
      <c r="EO9" s="546"/>
      <c r="EP9" s="546"/>
      <c r="EQ9" s="650" t="s">
        <v>29</v>
      </c>
      <c r="ET9" s="572" t="s">
        <v>269</v>
      </c>
      <c r="EU9" s="545"/>
      <c r="EV9" s="546"/>
      <c r="EW9" s="546">
        <v>1</v>
      </c>
      <c r="EX9" s="546">
        <v>2</v>
      </c>
      <c r="EY9" s="546">
        <v>3</v>
      </c>
      <c r="EZ9" s="546">
        <v>4</v>
      </c>
      <c r="FA9" s="546">
        <v>5</v>
      </c>
      <c r="FB9" s="546">
        <v>6</v>
      </c>
      <c r="FC9" s="546">
        <v>7</v>
      </c>
      <c r="FD9" s="546">
        <v>8</v>
      </c>
      <c r="FE9" s="546">
        <v>9</v>
      </c>
      <c r="FF9" s="546">
        <v>10</v>
      </c>
    </row>
    <row r="10" spans="1:162" ht="10.5" customHeight="1" x14ac:dyDescent="0.35">
      <c r="A10" s="542"/>
      <c r="B10" s="543"/>
      <c r="C10" s="543"/>
      <c r="D10" s="543"/>
      <c r="F10" s="573" t="s">
        <v>443</v>
      </c>
      <c r="G10" s="574"/>
      <c r="H10" s="567"/>
      <c r="I10" s="567">
        <v>1</v>
      </c>
      <c r="J10" s="567">
        <v>2</v>
      </c>
      <c r="K10" s="567">
        <v>3</v>
      </c>
      <c r="L10" s="567">
        <v>4</v>
      </c>
      <c r="M10" s="567">
        <v>5</v>
      </c>
      <c r="N10" s="567">
        <v>6</v>
      </c>
      <c r="O10" s="567">
        <v>7</v>
      </c>
      <c r="P10" s="567">
        <v>8</v>
      </c>
      <c r="Q10" s="567">
        <v>9</v>
      </c>
      <c r="R10" s="567">
        <v>10</v>
      </c>
      <c r="S10" s="567">
        <v>11</v>
      </c>
      <c r="T10" s="567">
        <v>12</v>
      </c>
      <c r="U10" s="650"/>
      <c r="W10" s="567">
        <v>1</v>
      </c>
      <c r="X10" s="567">
        <v>2</v>
      </c>
      <c r="Y10" s="567">
        <v>3</v>
      </c>
      <c r="Z10" s="567">
        <v>4</v>
      </c>
      <c r="AA10" s="567">
        <v>5</v>
      </c>
      <c r="AB10" s="567">
        <v>6</v>
      </c>
      <c r="AC10" s="567">
        <v>7</v>
      </c>
      <c r="AD10" s="564">
        <v>8</v>
      </c>
      <c r="AE10" s="567">
        <v>9</v>
      </c>
      <c r="AF10" s="567">
        <v>10</v>
      </c>
      <c r="AG10" s="567">
        <v>11</v>
      </c>
      <c r="AH10" s="567">
        <v>12</v>
      </c>
      <c r="AI10" s="650"/>
      <c r="AK10" s="567">
        <v>1</v>
      </c>
      <c r="AL10" s="567">
        <v>2</v>
      </c>
      <c r="AM10" s="567">
        <v>3</v>
      </c>
      <c r="AN10" s="567">
        <v>4</v>
      </c>
      <c r="AO10" s="567">
        <v>5</v>
      </c>
      <c r="AP10" s="567">
        <v>6</v>
      </c>
      <c r="AQ10" s="567">
        <v>7</v>
      </c>
      <c r="AR10" s="567">
        <v>8</v>
      </c>
      <c r="AS10" s="567">
        <v>9</v>
      </c>
      <c r="AT10" s="567">
        <v>10</v>
      </c>
      <c r="AU10" s="567">
        <v>11</v>
      </c>
      <c r="AV10" s="567">
        <v>12</v>
      </c>
      <c r="AW10" s="650"/>
      <c r="AY10" s="567">
        <v>1</v>
      </c>
      <c r="AZ10" s="564">
        <v>2</v>
      </c>
      <c r="BA10" s="567">
        <v>3</v>
      </c>
      <c r="BB10" s="567">
        <v>4</v>
      </c>
      <c r="BC10" s="567">
        <v>5</v>
      </c>
      <c r="BD10" s="567">
        <v>6</v>
      </c>
      <c r="BE10" s="567">
        <v>7</v>
      </c>
      <c r="BF10" s="567">
        <v>8</v>
      </c>
      <c r="BG10" s="567">
        <v>9</v>
      </c>
      <c r="BH10" s="567">
        <v>10</v>
      </c>
      <c r="BI10" s="567">
        <v>11</v>
      </c>
      <c r="BJ10" s="567">
        <v>12</v>
      </c>
      <c r="BK10" s="650"/>
      <c r="BM10" s="567">
        <v>1</v>
      </c>
      <c r="BN10" s="567">
        <v>2</v>
      </c>
      <c r="BO10" s="567">
        <v>3</v>
      </c>
      <c r="BP10" s="567">
        <v>4</v>
      </c>
      <c r="BQ10" s="567">
        <v>5</v>
      </c>
      <c r="BR10" s="567">
        <v>6</v>
      </c>
      <c r="BS10" s="567">
        <v>7</v>
      </c>
      <c r="BT10" s="564">
        <v>8</v>
      </c>
      <c r="BU10" s="567">
        <v>9</v>
      </c>
      <c r="BV10" s="567">
        <v>10</v>
      </c>
      <c r="BW10" s="567">
        <v>11</v>
      </c>
      <c r="BX10" s="567">
        <v>12</v>
      </c>
      <c r="BY10" s="650"/>
      <c r="CA10" s="567">
        <v>1</v>
      </c>
      <c r="CB10" s="567">
        <v>2</v>
      </c>
      <c r="CC10" s="567">
        <v>3</v>
      </c>
      <c r="CD10" s="567">
        <v>4</v>
      </c>
      <c r="CE10" s="567">
        <v>5</v>
      </c>
      <c r="CF10" s="567">
        <v>6</v>
      </c>
      <c r="CG10" s="567">
        <v>7</v>
      </c>
      <c r="CH10" s="567">
        <v>8</v>
      </c>
      <c r="CI10" s="567">
        <v>9</v>
      </c>
      <c r="CJ10" s="567">
        <v>10</v>
      </c>
      <c r="CK10" s="567">
        <v>11</v>
      </c>
      <c r="CL10" s="567">
        <v>12</v>
      </c>
      <c r="CM10" s="650"/>
      <c r="CO10" s="567">
        <v>1</v>
      </c>
      <c r="CP10" s="564">
        <v>2</v>
      </c>
      <c r="CQ10" s="567">
        <v>3</v>
      </c>
      <c r="CR10" s="567">
        <v>4</v>
      </c>
      <c r="CS10" s="567">
        <v>5</v>
      </c>
      <c r="CT10" s="567">
        <v>6</v>
      </c>
      <c r="CU10" s="567">
        <v>7</v>
      </c>
      <c r="CV10" s="567">
        <v>8</v>
      </c>
      <c r="CW10" s="567">
        <v>9</v>
      </c>
      <c r="CX10" s="567">
        <v>10</v>
      </c>
      <c r="CY10" s="567">
        <v>11</v>
      </c>
      <c r="CZ10" s="567">
        <v>12</v>
      </c>
      <c r="DA10" s="650"/>
      <c r="DC10" s="567">
        <v>1</v>
      </c>
      <c r="DD10" s="567">
        <v>2</v>
      </c>
      <c r="DE10" s="567">
        <v>3</v>
      </c>
      <c r="DF10" s="567">
        <v>4</v>
      </c>
      <c r="DG10" s="567">
        <v>5</v>
      </c>
      <c r="DH10" s="567">
        <v>6</v>
      </c>
      <c r="DI10" s="567">
        <v>7</v>
      </c>
      <c r="DJ10" s="564">
        <v>8</v>
      </c>
      <c r="DK10" s="567">
        <v>9</v>
      </c>
      <c r="DL10" s="567">
        <v>10</v>
      </c>
      <c r="DM10" s="567">
        <v>11</v>
      </c>
      <c r="DN10" s="567">
        <v>12</v>
      </c>
      <c r="DO10" s="650"/>
      <c r="DQ10" s="567">
        <v>1</v>
      </c>
      <c r="DR10" s="567">
        <v>2</v>
      </c>
      <c r="DS10" s="567">
        <v>3</v>
      </c>
      <c r="DT10" s="567">
        <v>4</v>
      </c>
      <c r="DU10" s="567">
        <v>5</v>
      </c>
      <c r="DV10" s="567">
        <v>6</v>
      </c>
      <c r="DW10" s="567">
        <v>7</v>
      </c>
      <c r="DX10" s="567">
        <v>8</v>
      </c>
      <c r="DY10" s="567">
        <v>9</v>
      </c>
      <c r="DZ10" s="567">
        <v>10</v>
      </c>
      <c r="EA10" s="567">
        <v>11</v>
      </c>
      <c r="EB10" s="567">
        <v>12</v>
      </c>
      <c r="EC10" s="650"/>
      <c r="EE10" s="567">
        <v>1</v>
      </c>
      <c r="EF10" s="564">
        <v>2</v>
      </c>
      <c r="EG10" s="567">
        <v>3</v>
      </c>
      <c r="EH10" s="567">
        <v>4</v>
      </c>
      <c r="EI10" s="567">
        <v>5</v>
      </c>
      <c r="EJ10" s="567">
        <v>6</v>
      </c>
      <c r="EK10" s="567">
        <v>7</v>
      </c>
      <c r="EL10" s="567">
        <v>8</v>
      </c>
      <c r="EM10" s="567">
        <v>9</v>
      </c>
      <c r="EN10" s="567">
        <v>10</v>
      </c>
      <c r="EO10" s="567">
        <v>11</v>
      </c>
      <c r="EP10" s="567">
        <v>12</v>
      </c>
      <c r="EQ10" s="650"/>
      <c r="ET10" s="573"/>
      <c r="EU10" s="574"/>
      <c r="EV10" s="567"/>
      <c r="EW10" s="567"/>
      <c r="EX10" s="567"/>
      <c r="EY10" s="567"/>
      <c r="EZ10" s="567"/>
      <c r="FA10" s="567"/>
      <c r="FB10" s="567"/>
      <c r="FC10" s="567"/>
      <c r="FD10" s="567"/>
      <c r="FE10" s="567"/>
      <c r="FF10" s="567"/>
    </row>
    <row r="11" spans="1:162" ht="10.5" customHeight="1" x14ac:dyDescent="0.35">
      <c r="A11" s="557" t="s">
        <v>439</v>
      </c>
      <c r="B11" s="531" t="s">
        <v>52</v>
      </c>
      <c r="C11" s="553">
        <f>Asumsi!C23</f>
        <v>70000</v>
      </c>
      <c r="D11" s="531" t="s">
        <v>7</v>
      </c>
      <c r="F11" s="549" t="s">
        <v>439</v>
      </c>
      <c r="G11" s="550" t="s">
        <v>1162</v>
      </c>
      <c r="H11" s="461"/>
      <c r="U11" s="558"/>
      <c r="V11" s="565"/>
      <c r="AD11" s="561"/>
      <c r="AI11" s="558"/>
      <c r="AJ11" s="565"/>
      <c r="AW11" s="558"/>
      <c r="AX11" s="565"/>
      <c r="AZ11" s="561"/>
      <c r="BK11" s="558"/>
      <c r="BL11" s="565"/>
      <c r="BT11" s="561"/>
      <c r="BY11" s="558"/>
      <c r="BZ11" s="565"/>
      <c r="CM11" s="558"/>
      <c r="CN11" s="565"/>
      <c r="CP11" s="561"/>
      <c r="DA11" s="558"/>
      <c r="DB11" s="565"/>
      <c r="DJ11" s="561"/>
      <c r="DO11" s="558"/>
      <c r="DP11" s="565"/>
      <c r="EC11" s="558"/>
      <c r="ED11" s="565"/>
      <c r="EF11" s="561"/>
      <c r="EQ11" s="558"/>
      <c r="ER11" s="565"/>
      <c r="ET11" s="549" t="s">
        <v>439</v>
      </c>
      <c r="EU11" s="550" t="s">
        <v>1162</v>
      </c>
      <c r="EV11" s="461"/>
    </row>
    <row r="12" spans="1:162" ht="10.5" customHeight="1" x14ac:dyDescent="0.35">
      <c r="A12" s="547" t="s">
        <v>492</v>
      </c>
      <c r="B12" s="536" t="s">
        <v>667</v>
      </c>
      <c r="F12" s="547" t="s">
        <v>1163</v>
      </c>
      <c r="G12" s="557" t="s">
        <v>52</v>
      </c>
      <c r="H12" s="461"/>
      <c r="I12" s="553">
        <f>'Prod&amp;Consp'!L13*$C$11/1000</f>
        <v>210000</v>
      </c>
      <c r="U12" s="560">
        <f>SUM(I12:T12)</f>
        <v>210000</v>
      </c>
      <c r="V12" s="565"/>
      <c r="AC12" s="553">
        <f>'Prod&amp;Consp'!AF13*$C$11/1000</f>
        <v>210000</v>
      </c>
      <c r="AD12" s="561"/>
      <c r="AI12" s="560">
        <f>SUM(W12:AH12)</f>
        <v>210000</v>
      </c>
      <c r="AJ12" s="565"/>
      <c r="AW12" s="560">
        <f>SUM(AK12:AV12)</f>
        <v>0</v>
      </c>
      <c r="AX12" s="565"/>
      <c r="AY12" s="553">
        <f>'Prod&amp;Consp'!BB13*$C$11/1000</f>
        <v>210000</v>
      </c>
      <c r="AZ12" s="561"/>
      <c r="BK12" s="560">
        <f>SUM(AY12:BJ12)</f>
        <v>210000</v>
      </c>
      <c r="BL12" s="565"/>
      <c r="BS12" s="553">
        <f>'Prod&amp;Consp'!BV13*$C$11/1000</f>
        <v>210000</v>
      </c>
      <c r="BT12" s="561"/>
      <c r="BY12" s="560">
        <f>SUM(BM12:BX12)</f>
        <v>210000</v>
      </c>
      <c r="BZ12" s="565"/>
      <c r="CM12" s="560">
        <f>SUM(CA12:CL12)</f>
        <v>0</v>
      </c>
      <c r="CN12" s="565"/>
      <c r="CO12" s="553">
        <f>'Prod&amp;Consp'!CR13*$C$11/1000</f>
        <v>210000</v>
      </c>
      <c r="CP12" s="561"/>
      <c r="DA12" s="560">
        <f>SUM(CO12:CZ12)</f>
        <v>210000</v>
      </c>
      <c r="DB12" s="565"/>
      <c r="DI12" s="553">
        <f>'Prod&amp;Consp'!DL13*$C$11/1000</f>
        <v>210000</v>
      </c>
      <c r="DJ12" s="561"/>
      <c r="DO12" s="560">
        <f>SUM(DC12:DN12)</f>
        <v>210000</v>
      </c>
      <c r="DP12" s="565"/>
      <c r="EC12" s="560">
        <f>SUM(DQ12:EB12)</f>
        <v>0</v>
      </c>
      <c r="ED12" s="565"/>
      <c r="EE12" s="553">
        <f>'Prod&amp;Consp'!EH13*$C$11/1000</f>
        <v>210000</v>
      </c>
      <c r="EF12" s="561"/>
      <c r="EQ12" s="560">
        <f>SUM(EE12:EP12)</f>
        <v>210000</v>
      </c>
      <c r="ER12" s="565"/>
      <c r="ET12" s="547" t="s">
        <v>1163</v>
      </c>
      <c r="EU12" s="557" t="s">
        <v>52</v>
      </c>
      <c r="EV12" s="461"/>
      <c r="EW12" s="576">
        <f>U12</f>
        <v>210000</v>
      </c>
      <c r="EX12" s="576">
        <f>AI12</f>
        <v>210000</v>
      </c>
      <c r="EY12" s="576">
        <f>AW12</f>
        <v>0</v>
      </c>
      <c r="EZ12" s="576">
        <f>BK12</f>
        <v>210000</v>
      </c>
      <c r="FA12" s="576">
        <f>BY12</f>
        <v>210000</v>
      </c>
      <c r="FB12" s="576">
        <f>CM12</f>
        <v>0</v>
      </c>
      <c r="FC12" s="576">
        <f>DA12</f>
        <v>210000</v>
      </c>
      <c r="FD12" s="576">
        <f>DO12</f>
        <v>210000</v>
      </c>
      <c r="FE12" s="576">
        <f>EC12</f>
        <v>0</v>
      </c>
      <c r="FF12" s="576">
        <f>EQ12</f>
        <v>210000</v>
      </c>
    </row>
    <row r="13" spans="1:162" ht="10.5" customHeight="1" x14ac:dyDescent="0.35">
      <c r="B13" s="536" t="s">
        <v>669</v>
      </c>
      <c r="C13" s="553">
        <f>Asumsi!F53</f>
        <v>4700</v>
      </c>
      <c r="D13" s="531" t="s">
        <v>12</v>
      </c>
      <c r="F13" s="547" t="s">
        <v>1165</v>
      </c>
      <c r="G13" s="531" t="s">
        <v>667</v>
      </c>
      <c r="I13" s="576"/>
      <c r="J13" s="576"/>
      <c r="K13" s="576"/>
      <c r="L13" s="576"/>
      <c r="M13" s="576"/>
      <c r="N13" s="576"/>
      <c r="O13" s="576"/>
      <c r="P13" s="576"/>
      <c r="Q13" s="576"/>
      <c r="R13" s="576"/>
      <c r="S13" s="576"/>
      <c r="T13" s="576"/>
      <c r="U13" s="560"/>
      <c r="V13" s="565"/>
      <c r="AD13" s="561"/>
      <c r="AI13" s="560"/>
      <c r="AJ13" s="565"/>
      <c r="AK13" s="553"/>
      <c r="AW13" s="560"/>
      <c r="AX13" s="565"/>
      <c r="AY13" s="553"/>
      <c r="AZ13" s="561"/>
      <c r="BK13" s="560"/>
      <c r="BL13" s="565"/>
      <c r="BT13" s="561"/>
      <c r="BY13" s="560"/>
      <c r="BZ13" s="565"/>
      <c r="CM13" s="560"/>
      <c r="CN13" s="565"/>
      <c r="CO13" s="553"/>
      <c r="CP13" s="561"/>
      <c r="DA13" s="560"/>
      <c r="DB13" s="565"/>
      <c r="DC13" s="553"/>
      <c r="DJ13" s="561"/>
      <c r="DO13" s="560"/>
      <c r="DP13" s="565"/>
      <c r="EC13" s="560"/>
      <c r="ED13" s="565"/>
      <c r="EE13" s="553"/>
      <c r="EF13" s="561"/>
      <c r="EQ13" s="560"/>
      <c r="ER13" s="565"/>
      <c r="ET13" s="547" t="s">
        <v>1165</v>
      </c>
      <c r="EU13" s="531" t="s">
        <v>667</v>
      </c>
      <c r="EW13" s="576">
        <f>SUM(EW14:EW22)</f>
        <v>726724.13625000021</v>
      </c>
      <c r="EX13" s="576">
        <f t="shared" ref="EX13:FF13" si="0">SUM(EX14:EX22)</f>
        <v>851362.93349999993</v>
      </c>
      <c r="EY13" s="576">
        <f t="shared" si="0"/>
        <v>747832.78350000014</v>
      </c>
      <c r="EZ13" s="576">
        <f t="shared" si="0"/>
        <v>851362.93350000004</v>
      </c>
      <c r="FA13" s="576">
        <f t="shared" si="0"/>
        <v>851362.93349999993</v>
      </c>
      <c r="FB13" s="576">
        <f t="shared" si="0"/>
        <v>747832.78350000014</v>
      </c>
      <c r="FC13" s="576">
        <f t="shared" si="0"/>
        <v>851362.93350000004</v>
      </c>
      <c r="FD13" s="576">
        <f t="shared" si="0"/>
        <v>851362.93349999993</v>
      </c>
      <c r="FE13" s="576">
        <f t="shared" si="0"/>
        <v>747832.78350000014</v>
      </c>
      <c r="FF13" s="576">
        <f t="shared" si="0"/>
        <v>851362.93350000004</v>
      </c>
    </row>
    <row r="14" spans="1:162" ht="10.5" customHeight="1" x14ac:dyDescent="0.35">
      <c r="B14" s="536" t="s">
        <v>668</v>
      </c>
      <c r="C14" s="553">
        <f>Asumsi!F54</f>
        <v>3750</v>
      </c>
      <c r="D14" s="531" t="s">
        <v>12</v>
      </c>
      <c r="F14" s="536"/>
      <c r="G14" s="531" t="s">
        <v>9</v>
      </c>
      <c r="H14" s="4" t="s">
        <v>665</v>
      </c>
      <c r="I14" s="553">
        <f>'Prod&amp;Consp'!L21*$C$13/1000</f>
        <v>17892.900000000001</v>
      </c>
      <c r="J14" s="553">
        <f>'Prod&amp;Consp'!M21*$C$13/1000</f>
        <v>17892.900000000001</v>
      </c>
      <c r="K14" s="553">
        <f>'Prod&amp;Consp'!N21*$C$13/1000</f>
        <v>21541.0635</v>
      </c>
      <c r="L14" s="553">
        <f>'Prod&amp;Consp'!O21*$C$13/1000</f>
        <v>21541.0635</v>
      </c>
      <c r="M14" s="553">
        <f>'Prod&amp;Consp'!P21*$C$13/1000</f>
        <v>21541.0635</v>
      </c>
      <c r="N14" s="553">
        <f>'Prod&amp;Consp'!Q21*$C$13/1000</f>
        <v>21541.0635</v>
      </c>
      <c r="O14" s="553">
        <f>'Prod&amp;Consp'!R21*$C$13/1000</f>
        <v>21541.0635</v>
      </c>
      <c r="P14" s="553">
        <f>'Prod&amp;Consp'!S21*$C$13/1000</f>
        <v>21541.0635</v>
      </c>
      <c r="Q14" s="553">
        <f>'Prod&amp;Consp'!T21*$C$13/1000</f>
        <v>21541.0635</v>
      </c>
      <c r="R14" s="553">
        <f>'Prod&amp;Consp'!U21*$C$13/1000</f>
        <v>21541.0635</v>
      </c>
      <c r="S14" s="553">
        <f>'Prod&amp;Consp'!V21*$C$13/1000</f>
        <v>21541.0635</v>
      </c>
      <c r="T14" s="553">
        <f>'Prod&amp;Consp'!W21*$C$13/1000</f>
        <v>21541.0635</v>
      </c>
      <c r="U14" s="560">
        <f t="shared" ref="U14:U34" si="1">SUM(I14:T14)</f>
        <v>251196.43499999997</v>
      </c>
      <c r="V14" s="565"/>
      <c r="W14" s="553">
        <f>'Prod&amp;Consp'!Z21*$C$13/1000</f>
        <v>21541.0635</v>
      </c>
      <c r="X14" s="553">
        <f>'Prod&amp;Consp'!AA21*$C$13/1000</f>
        <v>21541.0635</v>
      </c>
      <c r="Y14" s="553">
        <f>'Prod&amp;Consp'!AB21*$C$13/1000</f>
        <v>21541.0635</v>
      </c>
      <c r="Z14" s="553">
        <f>'Prod&amp;Consp'!AC21*$C$13/1000</f>
        <v>21541.0635</v>
      </c>
      <c r="AA14" s="553">
        <f>'Prod&amp;Consp'!AD21*$C$13/1000</f>
        <v>21541.0635</v>
      </c>
      <c r="AB14" s="553">
        <f>'Prod&amp;Consp'!AE21*$C$13/1000</f>
        <v>21541.0635</v>
      </c>
      <c r="AC14" s="553">
        <f>'Prod&amp;Consp'!AF21*$C$13/1000</f>
        <v>39433.963499999998</v>
      </c>
      <c r="AD14" s="562">
        <f>'Prod&amp;Consp'!AG21*$C$13/1000</f>
        <v>39433.963499999998</v>
      </c>
      <c r="AE14" s="553">
        <f>'Prod&amp;Consp'!AH21*$C$13/1000</f>
        <v>21541.0635</v>
      </c>
      <c r="AF14" s="553">
        <f>'Prod&amp;Consp'!AI21*$C$13/1000</f>
        <v>21541.0635</v>
      </c>
      <c r="AG14" s="553">
        <f>'Prod&amp;Consp'!AJ21*$C$13/1000</f>
        <v>21541.0635</v>
      </c>
      <c r="AH14" s="553">
        <f>'Prod&amp;Consp'!AK21*$C$13/1000</f>
        <v>21541.0635</v>
      </c>
      <c r="AI14" s="560">
        <f t="shared" ref="AI14:AI22" si="2">SUM(W14:AH14)</f>
        <v>294278.56199999998</v>
      </c>
      <c r="AJ14" s="565"/>
      <c r="AK14" s="553">
        <f>'Prod&amp;Consp'!AN21*$C$13/1000</f>
        <v>21541.0635</v>
      </c>
      <c r="AL14" s="553">
        <f>'Prod&amp;Consp'!AO21*$C$13/1000</f>
        <v>21541.0635</v>
      </c>
      <c r="AM14" s="553">
        <f>'Prod&amp;Consp'!AP21*$C$13/1000</f>
        <v>21541.0635</v>
      </c>
      <c r="AN14" s="553">
        <f>'Prod&amp;Consp'!AQ21*$C$13/1000</f>
        <v>21541.0635</v>
      </c>
      <c r="AO14" s="553">
        <f>'Prod&amp;Consp'!AR21*$C$13/1000</f>
        <v>21541.0635</v>
      </c>
      <c r="AP14" s="553">
        <f>'Prod&amp;Consp'!AS21*$C$13/1000</f>
        <v>21541.0635</v>
      </c>
      <c r="AQ14" s="553">
        <f>'Prod&amp;Consp'!AT21*$C$13/1000</f>
        <v>21541.0635</v>
      </c>
      <c r="AR14" s="553">
        <f>'Prod&amp;Consp'!AU21*$C$13/1000</f>
        <v>21541.0635</v>
      </c>
      <c r="AS14" s="553">
        <f>'Prod&amp;Consp'!AV21*$C$13/1000</f>
        <v>21541.0635</v>
      </c>
      <c r="AT14" s="553">
        <f>'Prod&amp;Consp'!AW21*$C$13/1000</f>
        <v>21541.0635</v>
      </c>
      <c r="AU14" s="553">
        <f>'Prod&amp;Consp'!AX21*$C$13/1000</f>
        <v>21541.0635</v>
      </c>
      <c r="AV14" s="553">
        <f>'Prod&amp;Consp'!AY21*$C$13/1000</f>
        <v>21541.0635</v>
      </c>
      <c r="AW14" s="560">
        <f t="shared" ref="AW14:AW22" si="3">SUM(AK14:AV14)</f>
        <v>258492.76199999996</v>
      </c>
      <c r="AX14" s="565"/>
      <c r="AY14" s="553">
        <f>'Prod&amp;Consp'!BB21*$C$13/1000</f>
        <v>39433.963499999998</v>
      </c>
      <c r="AZ14" s="562">
        <f>'Prod&amp;Consp'!BC21*$C$13/1000</f>
        <v>39433.963499999998</v>
      </c>
      <c r="BA14" s="553">
        <f>'Prod&amp;Consp'!BD21*$C$13/1000</f>
        <v>21541.0635</v>
      </c>
      <c r="BB14" s="553">
        <f>'Prod&amp;Consp'!BE21*$C$13/1000</f>
        <v>21541.0635</v>
      </c>
      <c r="BC14" s="553">
        <f>'Prod&amp;Consp'!BF21*$C$13/1000</f>
        <v>21541.0635</v>
      </c>
      <c r="BD14" s="553">
        <f>'Prod&amp;Consp'!BG21*$C$13/1000</f>
        <v>21541.0635</v>
      </c>
      <c r="BE14" s="553">
        <f>'Prod&amp;Consp'!BH21*$C$13/1000</f>
        <v>21541.0635</v>
      </c>
      <c r="BF14" s="553">
        <f>'Prod&amp;Consp'!BI21*$C$13/1000</f>
        <v>21541.0635</v>
      </c>
      <c r="BG14" s="553">
        <f>'Prod&amp;Consp'!BJ21*$C$13/1000</f>
        <v>21541.0635</v>
      </c>
      <c r="BH14" s="553">
        <f>'Prod&amp;Consp'!BK21*$C$13/1000</f>
        <v>21541.0635</v>
      </c>
      <c r="BI14" s="553">
        <f>'Prod&amp;Consp'!BL21*$C$13/1000</f>
        <v>21541.0635</v>
      </c>
      <c r="BJ14" s="553">
        <f>'Prod&amp;Consp'!BM21*$C$13/1000</f>
        <v>21541.0635</v>
      </c>
      <c r="BK14" s="560">
        <f t="shared" ref="BK14:BK22" si="4">SUM(AY14:BJ14)</f>
        <v>294278.56199999992</v>
      </c>
      <c r="BL14" s="565"/>
      <c r="BM14" s="553">
        <f>'Prod&amp;Consp'!BP21*$C$13/1000</f>
        <v>21541.0635</v>
      </c>
      <c r="BN14" s="553">
        <f>'Prod&amp;Consp'!BQ21*$C$13/1000</f>
        <v>21541.0635</v>
      </c>
      <c r="BO14" s="553">
        <f>'Prod&amp;Consp'!BR21*$C$13/1000</f>
        <v>21541.0635</v>
      </c>
      <c r="BP14" s="553">
        <f>'Prod&amp;Consp'!BS21*$C$13/1000</f>
        <v>21541.0635</v>
      </c>
      <c r="BQ14" s="553">
        <f>'Prod&amp;Consp'!BT21*$C$13/1000</f>
        <v>21541.0635</v>
      </c>
      <c r="BR14" s="553">
        <f>'Prod&amp;Consp'!BU21*$C$13/1000</f>
        <v>21541.0635</v>
      </c>
      <c r="BS14" s="553">
        <f>'Prod&amp;Consp'!BV21*$C$13/1000</f>
        <v>39433.963499999998</v>
      </c>
      <c r="BT14" s="562">
        <f>'Prod&amp;Consp'!BW21*$C$13/1000</f>
        <v>39433.963499999998</v>
      </c>
      <c r="BU14" s="553">
        <f>'Prod&amp;Consp'!BX21*$C$13/1000</f>
        <v>21541.0635</v>
      </c>
      <c r="BV14" s="553">
        <f>'Prod&amp;Consp'!BY21*$C$13/1000</f>
        <v>21541.0635</v>
      </c>
      <c r="BW14" s="553">
        <f>'Prod&amp;Consp'!BZ21*$C$13/1000</f>
        <v>21541.0635</v>
      </c>
      <c r="BX14" s="553">
        <f>'Prod&amp;Consp'!CA21*$C$13/1000</f>
        <v>21541.0635</v>
      </c>
      <c r="BY14" s="560">
        <f t="shared" ref="BY14:BY22" si="5">SUM(BM14:BX14)</f>
        <v>294278.56199999998</v>
      </c>
      <c r="BZ14" s="565"/>
      <c r="CA14" s="553">
        <f>'Prod&amp;Consp'!CD21*$C$13/1000</f>
        <v>21541.0635</v>
      </c>
      <c r="CB14" s="553">
        <f>'Prod&amp;Consp'!CE21*$C$13/1000</f>
        <v>21541.0635</v>
      </c>
      <c r="CC14" s="553">
        <f>'Prod&amp;Consp'!CF21*$C$13/1000</f>
        <v>21541.0635</v>
      </c>
      <c r="CD14" s="553">
        <f>'Prod&amp;Consp'!CG21*$C$13/1000</f>
        <v>21541.0635</v>
      </c>
      <c r="CE14" s="553">
        <f>'Prod&amp;Consp'!CH21*$C$13/1000</f>
        <v>21541.0635</v>
      </c>
      <c r="CF14" s="553">
        <f>'Prod&amp;Consp'!CI21*$C$13/1000</f>
        <v>21541.0635</v>
      </c>
      <c r="CG14" s="553">
        <f>'Prod&amp;Consp'!CJ21*$C$13/1000</f>
        <v>21541.0635</v>
      </c>
      <c r="CH14" s="553">
        <f>'Prod&amp;Consp'!CK21*$C$13/1000</f>
        <v>21541.0635</v>
      </c>
      <c r="CI14" s="553">
        <f>'Prod&amp;Consp'!CL21*$C$13/1000</f>
        <v>21541.0635</v>
      </c>
      <c r="CJ14" s="553">
        <f>'Prod&amp;Consp'!CM21*$C$13/1000</f>
        <v>21541.0635</v>
      </c>
      <c r="CK14" s="553">
        <f>'Prod&amp;Consp'!CN21*$C$13/1000</f>
        <v>21541.0635</v>
      </c>
      <c r="CL14" s="553">
        <f>'Prod&amp;Consp'!CO21*$C$13/1000</f>
        <v>21541.0635</v>
      </c>
      <c r="CM14" s="560">
        <f t="shared" ref="CM14:CM22" si="6">SUM(CA14:CL14)</f>
        <v>258492.76199999996</v>
      </c>
      <c r="CN14" s="565"/>
      <c r="CO14" s="553">
        <f>'Prod&amp;Consp'!CR21*$C$13/1000</f>
        <v>39433.963499999998</v>
      </c>
      <c r="CP14" s="562">
        <f>'Prod&amp;Consp'!CS21*$C$13/1000</f>
        <v>39433.963499999998</v>
      </c>
      <c r="CQ14" s="553">
        <f>'Prod&amp;Consp'!CT21*$C$13/1000</f>
        <v>21541.0635</v>
      </c>
      <c r="CR14" s="553">
        <f>'Prod&amp;Consp'!CU21*$C$13/1000</f>
        <v>21541.0635</v>
      </c>
      <c r="CS14" s="553">
        <f>'Prod&amp;Consp'!CV21*$C$13/1000</f>
        <v>21541.0635</v>
      </c>
      <c r="CT14" s="553">
        <f>'Prod&amp;Consp'!CW21*$C$13/1000</f>
        <v>21541.0635</v>
      </c>
      <c r="CU14" s="553">
        <f>'Prod&amp;Consp'!CX21*$C$13/1000</f>
        <v>21541.0635</v>
      </c>
      <c r="CV14" s="553">
        <f>'Prod&amp;Consp'!CY21*$C$13/1000</f>
        <v>21541.0635</v>
      </c>
      <c r="CW14" s="553">
        <f>'Prod&amp;Consp'!CZ21*$C$13/1000</f>
        <v>21541.0635</v>
      </c>
      <c r="CX14" s="553">
        <f>'Prod&amp;Consp'!DA21*$C$13/1000</f>
        <v>21541.0635</v>
      </c>
      <c r="CY14" s="553">
        <f>'Prod&amp;Consp'!DB21*$C$13/1000</f>
        <v>21541.0635</v>
      </c>
      <c r="CZ14" s="553">
        <f>'Prod&amp;Consp'!DC21*$C$13/1000</f>
        <v>21541.0635</v>
      </c>
      <c r="DA14" s="560">
        <f t="shared" ref="DA14:DA22" si="7">SUM(CO14:CZ14)</f>
        <v>294278.56199999992</v>
      </c>
      <c r="DB14" s="565"/>
      <c r="DC14" s="553">
        <f>'Prod&amp;Consp'!DF21*$C$13/1000</f>
        <v>21541.0635</v>
      </c>
      <c r="DD14" s="553">
        <f>'Prod&amp;Consp'!DG21*$C$13/1000</f>
        <v>21541.0635</v>
      </c>
      <c r="DE14" s="553">
        <f>'Prod&amp;Consp'!DH21*$C$13/1000</f>
        <v>21541.0635</v>
      </c>
      <c r="DF14" s="553">
        <f>'Prod&amp;Consp'!DI21*$C$13/1000</f>
        <v>21541.0635</v>
      </c>
      <c r="DG14" s="553">
        <f>'Prod&amp;Consp'!DJ21*$C$13/1000</f>
        <v>21541.0635</v>
      </c>
      <c r="DH14" s="553">
        <f>'Prod&amp;Consp'!DK21*$C$13/1000</f>
        <v>21541.0635</v>
      </c>
      <c r="DI14" s="553">
        <f>'Prod&amp;Consp'!DL21*$C$13/1000</f>
        <v>39433.963499999998</v>
      </c>
      <c r="DJ14" s="562">
        <f>'Prod&amp;Consp'!DM21*$C$13/1000</f>
        <v>39433.963499999998</v>
      </c>
      <c r="DK14" s="553">
        <f>'Prod&amp;Consp'!DN21*$C$13/1000</f>
        <v>21541.0635</v>
      </c>
      <c r="DL14" s="553">
        <f>'Prod&amp;Consp'!DO21*$C$13/1000</f>
        <v>21541.0635</v>
      </c>
      <c r="DM14" s="553">
        <f>'Prod&amp;Consp'!DP21*$C$13/1000</f>
        <v>21541.0635</v>
      </c>
      <c r="DN14" s="553">
        <f>'Prod&amp;Consp'!DQ21*$C$13/1000</f>
        <v>21541.0635</v>
      </c>
      <c r="DO14" s="560">
        <f t="shared" ref="DO14:DO22" si="8">SUM(DC14:DN14)</f>
        <v>294278.56199999998</v>
      </c>
      <c r="DP14" s="565"/>
      <c r="DQ14" s="553">
        <f>'Prod&amp;Consp'!DT21*$C$13/1000</f>
        <v>21541.0635</v>
      </c>
      <c r="DR14" s="553">
        <f>'Prod&amp;Consp'!DU21*$C$13/1000</f>
        <v>21541.0635</v>
      </c>
      <c r="DS14" s="553">
        <f>'Prod&amp;Consp'!DV21*$C$13/1000</f>
        <v>21541.0635</v>
      </c>
      <c r="DT14" s="553">
        <f>'Prod&amp;Consp'!DW21*$C$13/1000</f>
        <v>21541.0635</v>
      </c>
      <c r="DU14" s="553">
        <f>'Prod&amp;Consp'!DX21*$C$13/1000</f>
        <v>21541.0635</v>
      </c>
      <c r="DV14" s="553">
        <f>'Prod&amp;Consp'!DY21*$C$13/1000</f>
        <v>21541.0635</v>
      </c>
      <c r="DW14" s="553">
        <f>'Prod&amp;Consp'!DZ21*$C$13/1000</f>
        <v>21541.0635</v>
      </c>
      <c r="DX14" s="553">
        <f>'Prod&amp;Consp'!EA21*$C$13/1000</f>
        <v>21541.0635</v>
      </c>
      <c r="DY14" s="553">
        <f>'Prod&amp;Consp'!EB21*$C$13/1000</f>
        <v>21541.0635</v>
      </c>
      <c r="DZ14" s="553">
        <f>'Prod&amp;Consp'!EC21*$C$13/1000</f>
        <v>21541.0635</v>
      </c>
      <c r="EA14" s="553">
        <f>'Prod&amp;Consp'!ED21*$C$13/1000</f>
        <v>21541.0635</v>
      </c>
      <c r="EB14" s="553">
        <f>'Prod&amp;Consp'!EE21*$C$13/1000</f>
        <v>21541.0635</v>
      </c>
      <c r="EC14" s="560">
        <f t="shared" ref="EC14:EC22" si="9">SUM(DQ14:EB14)</f>
        <v>258492.76199999996</v>
      </c>
      <c r="ED14" s="565"/>
      <c r="EE14" s="553">
        <f>'Prod&amp;Consp'!EH21*$C$13/1000</f>
        <v>39433.963499999998</v>
      </c>
      <c r="EF14" s="562">
        <f>'Prod&amp;Consp'!EI21*$C$13/1000</f>
        <v>39433.963499999998</v>
      </c>
      <c r="EG14" s="553">
        <f>'Prod&amp;Consp'!EJ21*$C$13/1000</f>
        <v>21541.0635</v>
      </c>
      <c r="EH14" s="553">
        <f>'Prod&amp;Consp'!EK21*$C$13/1000</f>
        <v>21541.0635</v>
      </c>
      <c r="EI14" s="553">
        <f>'Prod&amp;Consp'!EL21*$C$13/1000</f>
        <v>21541.0635</v>
      </c>
      <c r="EJ14" s="553">
        <f>'Prod&amp;Consp'!EM21*$C$13/1000</f>
        <v>21541.0635</v>
      </c>
      <c r="EK14" s="553">
        <f>'Prod&amp;Consp'!EN21*$C$13/1000</f>
        <v>21541.0635</v>
      </c>
      <c r="EL14" s="553">
        <f>'Prod&amp;Consp'!EO21*$C$13/1000</f>
        <v>21541.0635</v>
      </c>
      <c r="EM14" s="553">
        <f>'Prod&amp;Consp'!EP21*$C$13/1000</f>
        <v>21541.0635</v>
      </c>
      <c r="EN14" s="553">
        <f>'Prod&amp;Consp'!EQ21*$C$13/1000</f>
        <v>21541.0635</v>
      </c>
      <c r="EO14" s="553">
        <f>'Prod&amp;Consp'!ER21*$C$13/1000</f>
        <v>21541.0635</v>
      </c>
      <c r="EP14" s="553">
        <f>'Prod&amp;Consp'!ES21*$C$13/1000</f>
        <v>21541.0635</v>
      </c>
      <c r="EQ14" s="560">
        <f t="shared" ref="EQ14:EQ22" si="10">SUM(EE14:EP14)</f>
        <v>294278.56199999992</v>
      </c>
      <c r="ER14" s="565"/>
      <c r="ET14" s="536"/>
      <c r="EU14" s="531" t="s">
        <v>9</v>
      </c>
      <c r="EV14" s="4" t="s">
        <v>665</v>
      </c>
      <c r="EW14" s="553">
        <f t="shared" ref="EW14:EW34" si="11">U14</f>
        <v>251196.43499999997</v>
      </c>
      <c r="EX14" s="553">
        <f t="shared" ref="EX14:EX34" si="12">AI14</f>
        <v>294278.56199999998</v>
      </c>
      <c r="EY14" s="553">
        <f t="shared" ref="EY14:EY34" si="13">AW14</f>
        <v>258492.76199999996</v>
      </c>
      <c r="EZ14" s="553">
        <f t="shared" ref="EZ14:EZ34" si="14">BK14</f>
        <v>294278.56199999992</v>
      </c>
      <c r="FA14" s="553">
        <f t="shared" ref="FA14:FA34" si="15">BY14</f>
        <v>294278.56199999998</v>
      </c>
      <c r="FB14" s="553">
        <f t="shared" ref="FB14:FB34" si="16">CM14</f>
        <v>258492.76199999996</v>
      </c>
      <c r="FC14" s="553">
        <f t="shared" ref="FC14:FC34" si="17">DA14</f>
        <v>294278.56199999992</v>
      </c>
      <c r="FD14" s="553">
        <f t="shared" ref="FD14:FD34" si="18">DO14</f>
        <v>294278.56199999998</v>
      </c>
      <c r="FE14" s="553">
        <f t="shared" ref="FE14:FE34" si="19">EC14</f>
        <v>258492.76199999996</v>
      </c>
      <c r="FF14" s="553">
        <f t="shared" ref="FF14:FF34" si="20">EQ14</f>
        <v>294278.56199999992</v>
      </c>
    </row>
    <row r="15" spans="1:162" ht="10.5" customHeight="1" x14ac:dyDescent="0.35">
      <c r="B15" s="536" t="s">
        <v>670</v>
      </c>
      <c r="C15" s="553">
        <f>Asumsi!F55</f>
        <v>10900</v>
      </c>
      <c r="D15" s="531" t="s">
        <v>12</v>
      </c>
      <c r="F15" s="536"/>
      <c r="G15" s="531" t="s">
        <v>10</v>
      </c>
      <c r="H15" s="4" t="s">
        <v>666</v>
      </c>
      <c r="I15" s="553">
        <f>'Prod&amp;Consp'!L22*$C$14/1000</f>
        <v>4100.625</v>
      </c>
      <c r="J15" s="553">
        <f>'Prod&amp;Consp'!M22*$C$14/1000</f>
        <v>4100.625</v>
      </c>
      <c r="K15" s="553">
        <f>'Prod&amp;Consp'!N22*$C$14/1000</f>
        <v>4936.6968749999996</v>
      </c>
      <c r="L15" s="553">
        <f>'Prod&amp;Consp'!O22*$C$14/1000</f>
        <v>4936.6968749999996</v>
      </c>
      <c r="M15" s="553">
        <f>'Prod&amp;Consp'!P22*$C$14/1000</f>
        <v>4936.6968749999996</v>
      </c>
      <c r="N15" s="553">
        <f>'Prod&amp;Consp'!Q22*$C$14/1000</f>
        <v>4936.6968749999996</v>
      </c>
      <c r="O15" s="553">
        <f>'Prod&amp;Consp'!R22*$C$14/1000</f>
        <v>4936.6968749999996</v>
      </c>
      <c r="P15" s="553">
        <f>'Prod&amp;Consp'!S22*$C$14/1000</f>
        <v>4936.6968749999996</v>
      </c>
      <c r="Q15" s="553">
        <f>'Prod&amp;Consp'!T22*$C$14/1000</f>
        <v>4936.6968749999996</v>
      </c>
      <c r="R15" s="553">
        <f>'Prod&amp;Consp'!U22*$C$14/1000</f>
        <v>4936.6968749999996</v>
      </c>
      <c r="S15" s="553">
        <f>'Prod&amp;Consp'!V22*$C$14/1000</f>
        <v>4936.6968749999996</v>
      </c>
      <c r="T15" s="553">
        <f>'Prod&amp;Consp'!W22*$C$14/1000</f>
        <v>4936.6968749999996</v>
      </c>
      <c r="U15" s="560">
        <f t="shared" si="1"/>
        <v>57568.218750000007</v>
      </c>
      <c r="V15" s="565"/>
      <c r="W15" s="553">
        <f>'Prod&amp;Consp'!Z22*$C$14/1000</f>
        <v>4936.6968749999996</v>
      </c>
      <c r="X15" s="553">
        <f>'Prod&amp;Consp'!AA22*$C$14/1000</f>
        <v>4936.6968749999996</v>
      </c>
      <c r="Y15" s="553">
        <f>'Prod&amp;Consp'!AB22*$C$14/1000</f>
        <v>4936.6968749999996</v>
      </c>
      <c r="Z15" s="553">
        <f>'Prod&amp;Consp'!AC22*$C$14/1000</f>
        <v>4936.6968749999996</v>
      </c>
      <c r="AA15" s="553">
        <f>'Prod&amp;Consp'!AD22*$C$14/1000</f>
        <v>4936.6968749999996</v>
      </c>
      <c r="AB15" s="553">
        <f>'Prod&amp;Consp'!AE22*$C$14/1000</f>
        <v>4936.6968749999996</v>
      </c>
      <c r="AC15" s="553">
        <f>'Prod&amp;Consp'!AF22*$C$14/1000</f>
        <v>9037.3218750000015</v>
      </c>
      <c r="AD15" s="562">
        <f>'Prod&amp;Consp'!AG22*$C$14/1000</f>
        <v>9037.3218750000015</v>
      </c>
      <c r="AE15" s="553">
        <f>'Prod&amp;Consp'!AH22*$C$14/1000</f>
        <v>4936.6968749999996</v>
      </c>
      <c r="AF15" s="553">
        <f>'Prod&amp;Consp'!AI22*$C$14/1000</f>
        <v>4936.6968749999996</v>
      </c>
      <c r="AG15" s="553">
        <f>'Prod&amp;Consp'!AJ22*$C$14/1000</f>
        <v>4936.6968749999996</v>
      </c>
      <c r="AH15" s="553">
        <f>'Prod&amp;Consp'!AK22*$C$14/1000</f>
        <v>4936.6968749999996</v>
      </c>
      <c r="AI15" s="560">
        <f t="shared" si="2"/>
        <v>67441.612500000003</v>
      </c>
      <c r="AJ15" s="565"/>
      <c r="AK15" s="553">
        <f>'Prod&amp;Consp'!AN22*$C$14/1000</f>
        <v>4936.6968749999996</v>
      </c>
      <c r="AL15" s="553">
        <f>'Prod&amp;Consp'!AO22*$C$14/1000</f>
        <v>4936.6968749999996</v>
      </c>
      <c r="AM15" s="553">
        <f>'Prod&amp;Consp'!AP22*$C$14/1000</f>
        <v>4936.6968749999996</v>
      </c>
      <c r="AN15" s="553">
        <f>'Prod&amp;Consp'!AQ22*$C$14/1000</f>
        <v>4936.6968749999996</v>
      </c>
      <c r="AO15" s="553">
        <f>'Prod&amp;Consp'!AR22*$C$14/1000</f>
        <v>4936.6968749999996</v>
      </c>
      <c r="AP15" s="553">
        <f>'Prod&amp;Consp'!AS22*$C$14/1000</f>
        <v>4936.6968749999996</v>
      </c>
      <c r="AQ15" s="553">
        <f>'Prod&amp;Consp'!AT22*$C$14/1000</f>
        <v>4936.6968749999996</v>
      </c>
      <c r="AR15" s="553">
        <f>'Prod&amp;Consp'!AU22*$C$14/1000</f>
        <v>4936.6968749999996</v>
      </c>
      <c r="AS15" s="553">
        <f>'Prod&amp;Consp'!AV22*$C$14/1000</f>
        <v>4936.6968749999996</v>
      </c>
      <c r="AT15" s="553">
        <f>'Prod&amp;Consp'!AW22*$C$14/1000</f>
        <v>4936.6968749999996</v>
      </c>
      <c r="AU15" s="553">
        <f>'Prod&amp;Consp'!AX22*$C$14/1000</f>
        <v>4936.6968749999996</v>
      </c>
      <c r="AV15" s="553">
        <f>'Prod&amp;Consp'!AY22*$C$14/1000</f>
        <v>4936.6968749999996</v>
      </c>
      <c r="AW15" s="560">
        <f t="shared" si="3"/>
        <v>59240.36250000001</v>
      </c>
      <c r="AX15" s="565"/>
      <c r="AY15" s="553">
        <f>'Prod&amp;Consp'!BB22*$C$14/1000</f>
        <v>9037.3218750000015</v>
      </c>
      <c r="AZ15" s="562">
        <f>'Prod&amp;Consp'!BC22*$C$14/1000</f>
        <v>9037.3218750000015</v>
      </c>
      <c r="BA15" s="553">
        <f>'Prod&amp;Consp'!BD22*$C$14/1000</f>
        <v>4936.6968749999996</v>
      </c>
      <c r="BB15" s="553">
        <f>'Prod&amp;Consp'!BE22*$C$14/1000</f>
        <v>4936.6968749999996</v>
      </c>
      <c r="BC15" s="553">
        <f>'Prod&amp;Consp'!BF22*$C$14/1000</f>
        <v>4936.6968749999996</v>
      </c>
      <c r="BD15" s="553">
        <f>'Prod&amp;Consp'!BG22*$C$14/1000</f>
        <v>4936.6968749999996</v>
      </c>
      <c r="BE15" s="553">
        <f>'Prod&amp;Consp'!BH22*$C$14/1000</f>
        <v>4936.6968749999996</v>
      </c>
      <c r="BF15" s="553">
        <f>'Prod&amp;Consp'!BI22*$C$14/1000</f>
        <v>4936.6968749999996</v>
      </c>
      <c r="BG15" s="553">
        <f>'Prod&amp;Consp'!BJ22*$C$14/1000</f>
        <v>4936.6968749999996</v>
      </c>
      <c r="BH15" s="553">
        <f>'Prod&amp;Consp'!BK22*$C$14/1000</f>
        <v>4936.6968749999996</v>
      </c>
      <c r="BI15" s="553">
        <f>'Prod&amp;Consp'!BL22*$C$14/1000</f>
        <v>4936.6968749999996</v>
      </c>
      <c r="BJ15" s="553">
        <f>'Prod&amp;Consp'!BM22*$C$14/1000</f>
        <v>4936.6968749999996</v>
      </c>
      <c r="BK15" s="560">
        <f t="shared" si="4"/>
        <v>67441.612500000017</v>
      </c>
      <c r="BL15" s="565"/>
      <c r="BM15" s="553">
        <f>'Prod&amp;Consp'!BP22*$C$14/1000</f>
        <v>4936.6968749999996</v>
      </c>
      <c r="BN15" s="553">
        <f>'Prod&amp;Consp'!BQ22*$C$14/1000</f>
        <v>4936.6968749999996</v>
      </c>
      <c r="BO15" s="553">
        <f>'Prod&amp;Consp'!BR22*$C$14/1000</f>
        <v>4936.6968749999996</v>
      </c>
      <c r="BP15" s="553">
        <f>'Prod&amp;Consp'!BS22*$C$14/1000</f>
        <v>4936.6968749999996</v>
      </c>
      <c r="BQ15" s="553">
        <f>'Prod&amp;Consp'!BT22*$C$14/1000</f>
        <v>4936.6968749999996</v>
      </c>
      <c r="BR15" s="553">
        <f>'Prod&amp;Consp'!BU22*$C$14/1000</f>
        <v>4936.6968749999996</v>
      </c>
      <c r="BS15" s="553">
        <f>'Prod&amp;Consp'!BV22*$C$14/1000</f>
        <v>9037.3218750000015</v>
      </c>
      <c r="BT15" s="562">
        <f>'Prod&amp;Consp'!BW22*$C$14/1000</f>
        <v>9037.3218750000015</v>
      </c>
      <c r="BU15" s="553">
        <f>'Prod&amp;Consp'!BX22*$C$14/1000</f>
        <v>4936.6968749999996</v>
      </c>
      <c r="BV15" s="553">
        <f>'Prod&amp;Consp'!BY22*$C$14/1000</f>
        <v>4936.6968749999996</v>
      </c>
      <c r="BW15" s="553">
        <f>'Prod&amp;Consp'!BZ22*$C$14/1000</f>
        <v>4936.6968749999996</v>
      </c>
      <c r="BX15" s="553">
        <f>'Prod&amp;Consp'!CA22*$C$14/1000</f>
        <v>4936.6968749999996</v>
      </c>
      <c r="BY15" s="560">
        <f t="shared" si="5"/>
        <v>67441.612500000003</v>
      </c>
      <c r="BZ15" s="565"/>
      <c r="CA15" s="553">
        <f>'Prod&amp;Consp'!CD22*$C$14/1000</f>
        <v>4936.6968749999996</v>
      </c>
      <c r="CB15" s="553">
        <f>'Prod&amp;Consp'!CE22*$C$14/1000</f>
        <v>4936.6968749999996</v>
      </c>
      <c r="CC15" s="553">
        <f>'Prod&amp;Consp'!CF22*$C$14/1000</f>
        <v>4936.6968749999996</v>
      </c>
      <c r="CD15" s="553">
        <f>'Prod&amp;Consp'!CG22*$C$14/1000</f>
        <v>4936.6968749999996</v>
      </c>
      <c r="CE15" s="553">
        <f>'Prod&amp;Consp'!CH22*$C$14/1000</f>
        <v>4936.6968749999996</v>
      </c>
      <c r="CF15" s="553">
        <f>'Prod&amp;Consp'!CI22*$C$14/1000</f>
        <v>4936.6968749999996</v>
      </c>
      <c r="CG15" s="553">
        <f>'Prod&amp;Consp'!CJ22*$C$14/1000</f>
        <v>4936.6968749999996</v>
      </c>
      <c r="CH15" s="553">
        <f>'Prod&amp;Consp'!CK22*$C$14/1000</f>
        <v>4936.6968749999996</v>
      </c>
      <c r="CI15" s="553">
        <f>'Prod&amp;Consp'!CL22*$C$14/1000</f>
        <v>4936.6968749999996</v>
      </c>
      <c r="CJ15" s="553">
        <f>'Prod&amp;Consp'!CM22*$C$14/1000</f>
        <v>4936.6968749999996</v>
      </c>
      <c r="CK15" s="553">
        <f>'Prod&amp;Consp'!CN22*$C$14/1000</f>
        <v>4936.6968749999996</v>
      </c>
      <c r="CL15" s="553">
        <f>'Prod&amp;Consp'!CO22*$C$14/1000</f>
        <v>4936.6968749999996</v>
      </c>
      <c r="CM15" s="560">
        <f t="shared" si="6"/>
        <v>59240.36250000001</v>
      </c>
      <c r="CN15" s="565"/>
      <c r="CO15" s="553">
        <f>'Prod&amp;Consp'!CR22*$C$14/1000</f>
        <v>9037.3218750000015</v>
      </c>
      <c r="CP15" s="562">
        <f>'Prod&amp;Consp'!CS22*$C$14/1000</f>
        <v>9037.3218750000015</v>
      </c>
      <c r="CQ15" s="553">
        <f>'Prod&amp;Consp'!CT22*$C$14/1000</f>
        <v>4936.6968749999996</v>
      </c>
      <c r="CR15" s="553">
        <f>'Prod&amp;Consp'!CU22*$C$14/1000</f>
        <v>4936.6968749999996</v>
      </c>
      <c r="CS15" s="553">
        <f>'Prod&amp;Consp'!CV22*$C$14/1000</f>
        <v>4936.6968749999996</v>
      </c>
      <c r="CT15" s="553">
        <f>'Prod&amp;Consp'!CW22*$C$14/1000</f>
        <v>4936.6968749999996</v>
      </c>
      <c r="CU15" s="553">
        <f>'Prod&amp;Consp'!CX22*$C$14/1000</f>
        <v>4936.6968749999996</v>
      </c>
      <c r="CV15" s="553">
        <f>'Prod&amp;Consp'!CY22*$C$14/1000</f>
        <v>4936.6968749999996</v>
      </c>
      <c r="CW15" s="553">
        <f>'Prod&amp;Consp'!CZ22*$C$14/1000</f>
        <v>4936.6968749999996</v>
      </c>
      <c r="CX15" s="553">
        <f>'Prod&amp;Consp'!DA22*$C$14/1000</f>
        <v>4936.6968749999996</v>
      </c>
      <c r="CY15" s="553">
        <f>'Prod&amp;Consp'!DB22*$C$14/1000</f>
        <v>4936.6968749999996</v>
      </c>
      <c r="CZ15" s="553">
        <f>'Prod&amp;Consp'!DC22*$C$14/1000</f>
        <v>4936.6968749999996</v>
      </c>
      <c r="DA15" s="560">
        <f t="shared" si="7"/>
        <v>67441.612500000017</v>
      </c>
      <c r="DB15" s="565"/>
      <c r="DC15" s="553">
        <f>'Prod&amp;Consp'!DF22*$C$14/1000</f>
        <v>4936.6968749999996</v>
      </c>
      <c r="DD15" s="553">
        <f>'Prod&amp;Consp'!DG22*$C$14/1000</f>
        <v>4936.6968749999996</v>
      </c>
      <c r="DE15" s="553">
        <f>'Prod&amp;Consp'!DH22*$C$14/1000</f>
        <v>4936.6968749999996</v>
      </c>
      <c r="DF15" s="553">
        <f>'Prod&amp;Consp'!DI22*$C$14/1000</f>
        <v>4936.6968749999996</v>
      </c>
      <c r="DG15" s="553">
        <f>'Prod&amp;Consp'!DJ22*$C$14/1000</f>
        <v>4936.6968749999996</v>
      </c>
      <c r="DH15" s="553">
        <f>'Prod&amp;Consp'!DK22*$C$14/1000</f>
        <v>4936.6968749999996</v>
      </c>
      <c r="DI15" s="553">
        <f>'Prod&amp;Consp'!DL22*$C$14/1000</f>
        <v>9037.3218750000015</v>
      </c>
      <c r="DJ15" s="562">
        <f>'Prod&amp;Consp'!DM22*$C$14/1000</f>
        <v>9037.3218750000015</v>
      </c>
      <c r="DK15" s="553">
        <f>'Prod&amp;Consp'!DN22*$C$14/1000</f>
        <v>4936.6968749999996</v>
      </c>
      <c r="DL15" s="553">
        <f>'Prod&amp;Consp'!DO22*$C$14/1000</f>
        <v>4936.6968749999996</v>
      </c>
      <c r="DM15" s="553">
        <f>'Prod&amp;Consp'!DP22*$C$14/1000</f>
        <v>4936.6968749999996</v>
      </c>
      <c r="DN15" s="553">
        <f>'Prod&amp;Consp'!DQ22*$C$14/1000</f>
        <v>4936.6968749999996</v>
      </c>
      <c r="DO15" s="560">
        <f t="shared" si="8"/>
        <v>67441.612500000003</v>
      </c>
      <c r="DP15" s="565"/>
      <c r="DQ15" s="553">
        <f>'Prod&amp;Consp'!DT22*$C$14/1000</f>
        <v>4936.6968749999996</v>
      </c>
      <c r="DR15" s="553">
        <f>'Prod&amp;Consp'!DU22*$C$14/1000</f>
        <v>4936.6968749999996</v>
      </c>
      <c r="DS15" s="553">
        <f>'Prod&amp;Consp'!DV22*$C$14/1000</f>
        <v>4936.6968749999996</v>
      </c>
      <c r="DT15" s="553">
        <f>'Prod&amp;Consp'!DW22*$C$14/1000</f>
        <v>4936.6968749999996</v>
      </c>
      <c r="DU15" s="553">
        <f>'Prod&amp;Consp'!DX22*$C$14/1000</f>
        <v>4936.6968749999996</v>
      </c>
      <c r="DV15" s="553">
        <f>'Prod&amp;Consp'!DY22*$C$14/1000</f>
        <v>4936.6968749999996</v>
      </c>
      <c r="DW15" s="553">
        <f>'Prod&amp;Consp'!DZ22*$C$14/1000</f>
        <v>4936.6968749999996</v>
      </c>
      <c r="DX15" s="553">
        <f>'Prod&amp;Consp'!EA22*$C$14/1000</f>
        <v>4936.6968749999996</v>
      </c>
      <c r="DY15" s="553">
        <f>'Prod&amp;Consp'!EB22*$C$14/1000</f>
        <v>4936.6968749999996</v>
      </c>
      <c r="DZ15" s="553">
        <f>'Prod&amp;Consp'!EC22*$C$14/1000</f>
        <v>4936.6968749999996</v>
      </c>
      <c r="EA15" s="553">
        <f>'Prod&amp;Consp'!ED22*$C$14/1000</f>
        <v>4936.6968749999996</v>
      </c>
      <c r="EB15" s="553">
        <f>'Prod&amp;Consp'!EE22*$C$14/1000</f>
        <v>4936.6968749999996</v>
      </c>
      <c r="EC15" s="560">
        <f t="shared" si="9"/>
        <v>59240.36250000001</v>
      </c>
      <c r="ED15" s="565"/>
      <c r="EE15" s="553">
        <f>'Prod&amp;Consp'!EH22*$C$14/1000</f>
        <v>9037.3218750000015</v>
      </c>
      <c r="EF15" s="562">
        <f>'Prod&amp;Consp'!EI22*$C$14/1000</f>
        <v>9037.3218750000015</v>
      </c>
      <c r="EG15" s="553">
        <f>'Prod&amp;Consp'!EJ22*$C$14/1000</f>
        <v>4936.6968749999996</v>
      </c>
      <c r="EH15" s="553">
        <f>'Prod&amp;Consp'!EK22*$C$14/1000</f>
        <v>4936.6968749999996</v>
      </c>
      <c r="EI15" s="553">
        <f>'Prod&amp;Consp'!EL22*$C$14/1000</f>
        <v>4936.6968749999996</v>
      </c>
      <c r="EJ15" s="553">
        <f>'Prod&amp;Consp'!EM22*$C$14/1000</f>
        <v>4936.6968749999996</v>
      </c>
      <c r="EK15" s="553">
        <f>'Prod&amp;Consp'!EN22*$C$14/1000</f>
        <v>4936.6968749999996</v>
      </c>
      <c r="EL15" s="553">
        <f>'Prod&amp;Consp'!EO22*$C$14/1000</f>
        <v>4936.6968749999996</v>
      </c>
      <c r="EM15" s="553">
        <f>'Prod&amp;Consp'!EP22*$C$14/1000</f>
        <v>4936.6968749999996</v>
      </c>
      <c r="EN15" s="553">
        <f>'Prod&amp;Consp'!EQ22*$C$14/1000</f>
        <v>4936.6968749999996</v>
      </c>
      <c r="EO15" s="553">
        <f>'Prod&amp;Consp'!ER22*$C$14/1000</f>
        <v>4936.6968749999996</v>
      </c>
      <c r="EP15" s="553">
        <f>'Prod&amp;Consp'!ES22*$C$14/1000</f>
        <v>4936.6968749999996</v>
      </c>
      <c r="EQ15" s="560">
        <f t="shared" si="10"/>
        <v>67441.612500000017</v>
      </c>
      <c r="ER15" s="565"/>
      <c r="ET15" s="536"/>
      <c r="EU15" s="531" t="s">
        <v>10</v>
      </c>
      <c r="EV15" s="4" t="s">
        <v>666</v>
      </c>
      <c r="EW15" s="553">
        <f t="shared" si="11"/>
        <v>57568.218750000007</v>
      </c>
      <c r="EX15" s="553">
        <f t="shared" si="12"/>
        <v>67441.612500000003</v>
      </c>
      <c r="EY15" s="553">
        <f t="shared" si="13"/>
        <v>59240.36250000001</v>
      </c>
      <c r="EZ15" s="553">
        <f t="shared" si="14"/>
        <v>67441.612500000017</v>
      </c>
      <c r="FA15" s="553">
        <f t="shared" si="15"/>
        <v>67441.612500000003</v>
      </c>
      <c r="FB15" s="553">
        <f t="shared" si="16"/>
        <v>59240.36250000001</v>
      </c>
      <c r="FC15" s="553">
        <f t="shared" si="17"/>
        <v>67441.612500000017</v>
      </c>
      <c r="FD15" s="553">
        <f t="shared" si="18"/>
        <v>67441.612500000003</v>
      </c>
      <c r="FE15" s="553">
        <f t="shared" si="19"/>
        <v>59240.36250000001</v>
      </c>
      <c r="FF15" s="553">
        <f t="shared" si="20"/>
        <v>67441.612500000017</v>
      </c>
    </row>
    <row r="16" spans="1:162" ht="10.5" customHeight="1" x14ac:dyDescent="0.35">
      <c r="B16" s="557" t="s">
        <v>1009</v>
      </c>
      <c r="C16" s="553">
        <f>Asumsi!F56</f>
        <v>400</v>
      </c>
      <c r="D16" s="575" t="s">
        <v>12</v>
      </c>
      <c r="F16" s="536"/>
      <c r="G16" s="531" t="s">
        <v>13</v>
      </c>
      <c r="H16" s="4" t="s">
        <v>1015</v>
      </c>
      <c r="I16" s="553">
        <f>'Prod&amp;Consp'!L23*$C$15/1000</f>
        <v>28252.799999999999</v>
      </c>
      <c r="J16" s="553">
        <f>'Prod&amp;Consp'!M23*$C$15/1000</f>
        <v>28252.799999999999</v>
      </c>
      <c r="K16" s="553">
        <f>'Prod&amp;Consp'!N23*$C$15/1000</f>
        <v>34013.232000000004</v>
      </c>
      <c r="L16" s="553">
        <f>'Prod&amp;Consp'!O23*$C$15/1000</f>
        <v>34013.232000000004</v>
      </c>
      <c r="M16" s="553">
        <f>'Prod&amp;Consp'!P23*$C$15/1000</f>
        <v>34013.232000000004</v>
      </c>
      <c r="N16" s="553">
        <f>'Prod&amp;Consp'!Q23*$C$15/1000</f>
        <v>34013.232000000004</v>
      </c>
      <c r="O16" s="553">
        <f>'Prod&amp;Consp'!R23*$C$15/1000</f>
        <v>34013.232000000004</v>
      </c>
      <c r="P16" s="553">
        <f>'Prod&amp;Consp'!S23*$C$15/1000</f>
        <v>34013.232000000004</v>
      </c>
      <c r="Q16" s="553">
        <f>'Prod&amp;Consp'!T23*$C$15/1000</f>
        <v>34013.232000000004</v>
      </c>
      <c r="R16" s="553">
        <f>'Prod&amp;Consp'!U23*$C$15/1000</f>
        <v>34013.232000000004</v>
      </c>
      <c r="S16" s="553">
        <f>'Prod&amp;Consp'!V23*$C$15/1000</f>
        <v>34013.232000000004</v>
      </c>
      <c r="T16" s="553">
        <f>'Prod&amp;Consp'!W23*$C$15/1000</f>
        <v>34013.232000000004</v>
      </c>
      <c r="U16" s="560">
        <f t="shared" si="1"/>
        <v>396637.9200000001</v>
      </c>
      <c r="V16" s="565"/>
      <c r="W16" s="553">
        <f>'Prod&amp;Consp'!Z23*$C$15/1000</f>
        <v>34013.232000000004</v>
      </c>
      <c r="X16" s="553">
        <f>'Prod&amp;Consp'!AA23*$C$15/1000</f>
        <v>34013.232000000004</v>
      </c>
      <c r="Y16" s="553">
        <f>'Prod&amp;Consp'!AB23*$C$15/1000</f>
        <v>34013.232000000004</v>
      </c>
      <c r="Z16" s="553">
        <f>'Prod&amp;Consp'!AC23*$C$15/1000</f>
        <v>34013.232000000004</v>
      </c>
      <c r="AA16" s="553">
        <f>'Prod&amp;Consp'!AD23*$C$15/1000</f>
        <v>34013.232000000004</v>
      </c>
      <c r="AB16" s="553">
        <f>'Prod&amp;Consp'!AE23*$C$15/1000</f>
        <v>34013.232000000004</v>
      </c>
      <c r="AC16" s="553">
        <f>'Prod&amp;Consp'!AF23*$C$15/1000</f>
        <v>62266.032000000007</v>
      </c>
      <c r="AD16" s="562">
        <f>'Prod&amp;Consp'!AG23*$C$15/1000</f>
        <v>62266.032000000007</v>
      </c>
      <c r="AE16" s="553">
        <f>'Prod&amp;Consp'!AH23*$C$15/1000</f>
        <v>34013.232000000004</v>
      </c>
      <c r="AF16" s="553">
        <f>'Prod&amp;Consp'!AI23*$C$15/1000</f>
        <v>34013.232000000004</v>
      </c>
      <c r="AG16" s="553">
        <f>'Prod&amp;Consp'!AJ23*$C$15/1000</f>
        <v>34013.232000000004</v>
      </c>
      <c r="AH16" s="553">
        <f>'Prod&amp;Consp'!AK23*$C$15/1000</f>
        <v>34013.232000000004</v>
      </c>
      <c r="AI16" s="560">
        <f t="shared" si="2"/>
        <v>464664.38400000014</v>
      </c>
      <c r="AJ16" s="565"/>
      <c r="AK16" s="553">
        <f>'Prod&amp;Consp'!AN23*$C$15/1000</f>
        <v>34013.232000000004</v>
      </c>
      <c r="AL16" s="553">
        <f>'Prod&amp;Consp'!AO23*$C$15/1000</f>
        <v>34013.232000000004</v>
      </c>
      <c r="AM16" s="553">
        <f>'Prod&amp;Consp'!AP23*$C$15/1000</f>
        <v>34013.232000000004</v>
      </c>
      <c r="AN16" s="553">
        <f>'Prod&amp;Consp'!AQ23*$C$15/1000</f>
        <v>34013.232000000004</v>
      </c>
      <c r="AO16" s="553">
        <f>'Prod&amp;Consp'!AR23*$C$15/1000</f>
        <v>34013.232000000004</v>
      </c>
      <c r="AP16" s="553">
        <f>'Prod&amp;Consp'!AS23*$C$15/1000</f>
        <v>34013.232000000004</v>
      </c>
      <c r="AQ16" s="553">
        <f>'Prod&amp;Consp'!AT23*$C$15/1000</f>
        <v>34013.232000000004</v>
      </c>
      <c r="AR16" s="553">
        <f>'Prod&amp;Consp'!AU23*$C$15/1000</f>
        <v>34013.232000000004</v>
      </c>
      <c r="AS16" s="553">
        <f>'Prod&amp;Consp'!AV23*$C$15/1000</f>
        <v>34013.232000000004</v>
      </c>
      <c r="AT16" s="553">
        <f>'Prod&amp;Consp'!AW23*$C$15/1000</f>
        <v>34013.232000000004</v>
      </c>
      <c r="AU16" s="553">
        <f>'Prod&amp;Consp'!AX23*$C$15/1000</f>
        <v>34013.232000000004</v>
      </c>
      <c r="AV16" s="553">
        <f>'Prod&amp;Consp'!AY23*$C$15/1000</f>
        <v>34013.232000000004</v>
      </c>
      <c r="AW16" s="560">
        <f t="shared" si="3"/>
        <v>408158.78400000016</v>
      </c>
      <c r="AX16" s="565"/>
      <c r="AY16" s="553">
        <f>'Prod&amp;Consp'!BB23*$C$15/1000</f>
        <v>62266.032000000007</v>
      </c>
      <c r="AZ16" s="562">
        <f>'Prod&amp;Consp'!BC23*$C$15/1000</f>
        <v>62266.032000000007</v>
      </c>
      <c r="BA16" s="553">
        <f>'Prod&amp;Consp'!BD23*$C$15/1000</f>
        <v>34013.232000000004</v>
      </c>
      <c r="BB16" s="553">
        <f>'Prod&amp;Consp'!BE23*$C$15/1000</f>
        <v>34013.232000000004</v>
      </c>
      <c r="BC16" s="553">
        <f>'Prod&amp;Consp'!BF23*$C$15/1000</f>
        <v>34013.232000000004</v>
      </c>
      <c r="BD16" s="553">
        <f>'Prod&amp;Consp'!BG23*$C$15/1000</f>
        <v>34013.232000000004</v>
      </c>
      <c r="BE16" s="553">
        <f>'Prod&amp;Consp'!BH23*$C$15/1000</f>
        <v>34013.232000000004</v>
      </c>
      <c r="BF16" s="553">
        <f>'Prod&amp;Consp'!BI23*$C$15/1000</f>
        <v>34013.232000000004</v>
      </c>
      <c r="BG16" s="553">
        <f>'Prod&amp;Consp'!BJ23*$C$15/1000</f>
        <v>34013.232000000004</v>
      </c>
      <c r="BH16" s="553">
        <f>'Prod&amp;Consp'!BK23*$C$15/1000</f>
        <v>34013.232000000004</v>
      </c>
      <c r="BI16" s="553">
        <f>'Prod&amp;Consp'!BL23*$C$15/1000</f>
        <v>34013.232000000004</v>
      </c>
      <c r="BJ16" s="553">
        <f>'Prod&amp;Consp'!BM23*$C$15/1000</f>
        <v>34013.232000000004</v>
      </c>
      <c r="BK16" s="560">
        <f t="shared" si="4"/>
        <v>464664.38400000019</v>
      </c>
      <c r="BL16" s="565"/>
      <c r="BM16" s="553">
        <f>'Prod&amp;Consp'!BP23*$C$15/1000</f>
        <v>34013.232000000004</v>
      </c>
      <c r="BN16" s="553">
        <f>'Prod&amp;Consp'!BQ23*$C$15/1000</f>
        <v>34013.232000000004</v>
      </c>
      <c r="BO16" s="553">
        <f>'Prod&amp;Consp'!BR23*$C$15/1000</f>
        <v>34013.232000000004</v>
      </c>
      <c r="BP16" s="553">
        <f>'Prod&amp;Consp'!BS23*$C$15/1000</f>
        <v>34013.232000000004</v>
      </c>
      <c r="BQ16" s="553">
        <f>'Prod&amp;Consp'!BT23*$C$15/1000</f>
        <v>34013.232000000004</v>
      </c>
      <c r="BR16" s="553">
        <f>'Prod&amp;Consp'!BU23*$C$15/1000</f>
        <v>34013.232000000004</v>
      </c>
      <c r="BS16" s="553">
        <f>'Prod&amp;Consp'!BV23*$C$15/1000</f>
        <v>62266.032000000007</v>
      </c>
      <c r="BT16" s="562">
        <f>'Prod&amp;Consp'!BW23*$C$15/1000</f>
        <v>62266.032000000007</v>
      </c>
      <c r="BU16" s="553">
        <f>'Prod&amp;Consp'!BX23*$C$15/1000</f>
        <v>34013.232000000004</v>
      </c>
      <c r="BV16" s="553">
        <f>'Prod&amp;Consp'!BY23*$C$15/1000</f>
        <v>34013.232000000004</v>
      </c>
      <c r="BW16" s="553">
        <f>'Prod&amp;Consp'!BZ23*$C$15/1000</f>
        <v>34013.232000000004</v>
      </c>
      <c r="BX16" s="553">
        <f>'Prod&amp;Consp'!CA23*$C$15/1000</f>
        <v>34013.232000000004</v>
      </c>
      <c r="BY16" s="560">
        <f t="shared" si="5"/>
        <v>464664.38400000014</v>
      </c>
      <c r="BZ16" s="565"/>
      <c r="CA16" s="553">
        <f>'Prod&amp;Consp'!CD23*$C$15/1000</f>
        <v>34013.232000000004</v>
      </c>
      <c r="CB16" s="553">
        <f>'Prod&amp;Consp'!CE23*$C$15/1000</f>
        <v>34013.232000000004</v>
      </c>
      <c r="CC16" s="553">
        <f>'Prod&amp;Consp'!CF23*$C$15/1000</f>
        <v>34013.232000000004</v>
      </c>
      <c r="CD16" s="553">
        <f>'Prod&amp;Consp'!CG23*$C$15/1000</f>
        <v>34013.232000000004</v>
      </c>
      <c r="CE16" s="553">
        <f>'Prod&amp;Consp'!CH23*$C$15/1000</f>
        <v>34013.232000000004</v>
      </c>
      <c r="CF16" s="553">
        <f>'Prod&amp;Consp'!CI23*$C$15/1000</f>
        <v>34013.232000000004</v>
      </c>
      <c r="CG16" s="553">
        <f>'Prod&amp;Consp'!CJ23*$C$15/1000</f>
        <v>34013.232000000004</v>
      </c>
      <c r="CH16" s="553">
        <f>'Prod&amp;Consp'!CK23*$C$15/1000</f>
        <v>34013.232000000004</v>
      </c>
      <c r="CI16" s="553">
        <f>'Prod&amp;Consp'!CL23*$C$15/1000</f>
        <v>34013.232000000004</v>
      </c>
      <c r="CJ16" s="553">
        <f>'Prod&amp;Consp'!CM23*$C$15/1000</f>
        <v>34013.232000000004</v>
      </c>
      <c r="CK16" s="553">
        <f>'Prod&amp;Consp'!CN23*$C$15/1000</f>
        <v>34013.232000000004</v>
      </c>
      <c r="CL16" s="553">
        <f>'Prod&amp;Consp'!CO23*$C$15/1000</f>
        <v>34013.232000000004</v>
      </c>
      <c r="CM16" s="560">
        <f t="shared" si="6"/>
        <v>408158.78400000016</v>
      </c>
      <c r="CN16" s="565"/>
      <c r="CO16" s="553">
        <f>'Prod&amp;Consp'!CR23*$C$15/1000</f>
        <v>62266.032000000007</v>
      </c>
      <c r="CP16" s="562">
        <f>'Prod&amp;Consp'!CS23*$C$15/1000</f>
        <v>62266.032000000007</v>
      </c>
      <c r="CQ16" s="553">
        <f>'Prod&amp;Consp'!CT23*$C$15/1000</f>
        <v>34013.232000000004</v>
      </c>
      <c r="CR16" s="553">
        <f>'Prod&amp;Consp'!CU23*$C$15/1000</f>
        <v>34013.232000000004</v>
      </c>
      <c r="CS16" s="553">
        <f>'Prod&amp;Consp'!CV23*$C$15/1000</f>
        <v>34013.232000000004</v>
      </c>
      <c r="CT16" s="553">
        <f>'Prod&amp;Consp'!CW23*$C$15/1000</f>
        <v>34013.232000000004</v>
      </c>
      <c r="CU16" s="553">
        <f>'Prod&amp;Consp'!CX23*$C$15/1000</f>
        <v>34013.232000000004</v>
      </c>
      <c r="CV16" s="553">
        <f>'Prod&amp;Consp'!CY23*$C$15/1000</f>
        <v>34013.232000000004</v>
      </c>
      <c r="CW16" s="553">
        <f>'Prod&amp;Consp'!CZ23*$C$15/1000</f>
        <v>34013.232000000004</v>
      </c>
      <c r="CX16" s="553">
        <f>'Prod&amp;Consp'!DA23*$C$15/1000</f>
        <v>34013.232000000004</v>
      </c>
      <c r="CY16" s="553">
        <f>'Prod&amp;Consp'!DB23*$C$15/1000</f>
        <v>34013.232000000004</v>
      </c>
      <c r="CZ16" s="553">
        <f>'Prod&amp;Consp'!DC23*$C$15/1000</f>
        <v>34013.232000000004</v>
      </c>
      <c r="DA16" s="560">
        <f t="shared" si="7"/>
        <v>464664.38400000019</v>
      </c>
      <c r="DB16" s="565"/>
      <c r="DC16" s="553">
        <f>'Prod&amp;Consp'!DF23*$C$15/1000</f>
        <v>34013.232000000004</v>
      </c>
      <c r="DD16" s="553">
        <f>'Prod&amp;Consp'!DG23*$C$15/1000</f>
        <v>34013.232000000004</v>
      </c>
      <c r="DE16" s="553">
        <f>'Prod&amp;Consp'!DH23*$C$15/1000</f>
        <v>34013.232000000004</v>
      </c>
      <c r="DF16" s="553">
        <f>'Prod&amp;Consp'!DI23*$C$15/1000</f>
        <v>34013.232000000004</v>
      </c>
      <c r="DG16" s="553">
        <f>'Prod&amp;Consp'!DJ23*$C$15/1000</f>
        <v>34013.232000000004</v>
      </c>
      <c r="DH16" s="553">
        <f>'Prod&amp;Consp'!DK23*$C$15/1000</f>
        <v>34013.232000000004</v>
      </c>
      <c r="DI16" s="553">
        <f>'Prod&amp;Consp'!DL23*$C$15/1000</f>
        <v>62266.032000000007</v>
      </c>
      <c r="DJ16" s="562">
        <f>'Prod&amp;Consp'!DM23*$C$15/1000</f>
        <v>62266.032000000007</v>
      </c>
      <c r="DK16" s="553">
        <f>'Prod&amp;Consp'!DN23*$C$15/1000</f>
        <v>34013.232000000004</v>
      </c>
      <c r="DL16" s="553">
        <f>'Prod&amp;Consp'!DO23*$C$15/1000</f>
        <v>34013.232000000004</v>
      </c>
      <c r="DM16" s="553">
        <f>'Prod&amp;Consp'!DP23*$C$15/1000</f>
        <v>34013.232000000004</v>
      </c>
      <c r="DN16" s="553">
        <f>'Prod&amp;Consp'!DQ23*$C$15/1000</f>
        <v>34013.232000000004</v>
      </c>
      <c r="DO16" s="560">
        <f t="shared" si="8"/>
        <v>464664.38400000014</v>
      </c>
      <c r="DP16" s="565"/>
      <c r="DQ16" s="553">
        <f>'Prod&amp;Consp'!DT23*$C$15/1000</f>
        <v>34013.232000000004</v>
      </c>
      <c r="DR16" s="553">
        <f>'Prod&amp;Consp'!DU23*$C$15/1000</f>
        <v>34013.232000000004</v>
      </c>
      <c r="DS16" s="553">
        <f>'Prod&amp;Consp'!DV23*$C$15/1000</f>
        <v>34013.232000000004</v>
      </c>
      <c r="DT16" s="553">
        <f>'Prod&amp;Consp'!DW23*$C$15/1000</f>
        <v>34013.232000000004</v>
      </c>
      <c r="DU16" s="553">
        <f>'Prod&amp;Consp'!DX23*$C$15/1000</f>
        <v>34013.232000000004</v>
      </c>
      <c r="DV16" s="553">
        <f>'Prod&amp;Consp'!DY23*$C$15/1000</f>
        <v>34013.232000000004</v>
      </c>
      <c r="DW16" s="553">
        <f>'Prod&amp;Consp'!DZ23*$C$15/1000</f>
        <v>34013.232000000004</v>
      </c>
      <c r="DX16" s="553">
        <f>'Prod&amp;Consp'!EA23*$C$15/1000</f>
        <v>34013.232000000004</v>
      </c>
      <c r="DY16" s="553">
        <f>'Prod&amp;Consp'!EB23*$C$15/1000</f>
        <v>34013.232000000004</v>
      </c>
      <c r="DZ16" s="553">
        <f>'Prod&amp;Consp'!EC23*$C$15/1000</f>
        <v>34013.232000000004</v>
      </c>
      <c r="EA16" s="553">
        <f>'Prod&amp;Consp'!ED23*$C$15/1000</f>
        <v>34013.232000000004</v>
      </c>
      <c r="EB16" s="553">
        <f>'Prod&amp;Consp'!EE23*$C$15/1000</f>
        <v>34013.232000000004</v>
      </c>
      <c r="EC16" s="560">
        <f t="shared" si="9"/>
        <v>408158.78400000016</v>
      </c>
      <c r="ED16" s="565"/>
      <c r="EE16" s="553">
        <f>'Prod&amp;Consp'!EH23*$C$15/1000</f>
        <v>62266.032000000007</v>
      </c>
      <c r="EF16" s="562">
        <f>'Prod&amp;Consp'!EI23*$C$15/1000</f>
        <v>62266.032000000007</v>
      </c>
      <c r="EG16" s="553">
        <f>'Prod&amp;Consp'!EJ23*$C$15/1000</f>
        <v>34013.232000000004</v>
      </c>
      <c r="EH16" s="553">
        <f>'Prod&amp;Consp'!EK23*$C$15/1000</f>
        <v>34013.232000000004</v>
      </c>
      <c r="EI16" s="553">
        <f>'Prod&amp;Consp'!EL23*$C$15/1000</f>
        <v>34013.232000000004</v>
      </c>
      <c r="EJ16" s="553">
        <f>'Prod&amp;Consp'!EM23*$C$15/1000</f>
        <v>34013.232000000004</v>
      </c>
      <c r="EK16" s="553">
        <f>'Prod&amp;Consp'!EN23*$C$15/1000</f>
        <v>34013.232000000004</v>
      </c>
      <c r="EL16" s="553">
        <f>'Prod&amp;Consp'!EO23*$C$15/1000</f>
        <v>34013.232000000004</v>
      </c>
      <c r="EM16" s="553">
        <f>'Prod&amp;Consp'!EP23*$C$15/1000</f>
        <v>34013.232000000004</v>
      </c>
      <c r="EN16" s="553">
        <f>'Prod&amp;Consp'!EQ23*$C$15/1000</f>
        <v>34013.232000000004</v>
      </c>
      <c r="EO16" s="553">
        <f>'Prod&amp;Consp'!ER23*$C$15/1000</f>
        <v>34013.232000000004</v>
      </c>
      <c r="EP16" s="553">
        <f>'Prod&amp;Consp'!ES23*$C$15/1000</f>
        <v>34013.232000000004</v>
      </c>
      <c r="EQ16" s="560">
        <f t="shared" si="10"/>
        <v>464664.38400000019</v>
      </c>
      <c r="ER16" s="565"/>
      <c r="ET16" s="536"/>
      <c r="EU16" s="531" t="s">
        <v>13</v>
      </c>
      <c r="EV16" s="4" t="s">
        <v>1015</v>
      </c>
      <c r="EW16" s="553">
        <f t="shared" si="11"/>
        <v>396637.9200000001</v>
      </c>
      <c r="EX16" s="553">
        <f t="shared" si="12"/>
        <v>464664.38400000014</v>
      </c>
      <c r="EY16" s="553">
        <f t="shared" si="13"/>
        <v>408158.78400000016</v>
      </c>
      <c r="EZ16" s="553">
        <f t="shared" si="14"/>
        <v>464664.38400000019</v>
      </c>
      <c r="FA16" s="553">
        <f t="shared" si="15"/>
        <v>464664.38400000014</v>
      </c>
      <c r="FB16" s="553">
        <f t="shared" si="16"/>
        <v>408158.78400000016</v>
      </c>
      <c r="FC16" s="553">
        <f t="shared" si="17"/>
        <v>464664.38400000019</v>
      </c>
      <c r="FD16" s="553">
        <f t="shared" si="18"/>
        <v>464664.38400000014</v>
      </c>
      <c r="FE16" s="553">
        <f t="shared" si="19"/>
        <v>408158.78400000016</v>
      </c>
      <c r="FF16" s="553">
        <f t="shared" si="20"/>
        <v>464664.38400000019</v>
      </c>
    </row>
    <row r="17" spans="1:162" ht="10.5" customHeight="1" x14ac:dyDescent="0.35">
      <c r="B17" s="557" t="s">
        <v>1010</v>
      </c>
      <c r="C17" s="553">
        <f>Asumsi!F57</f>
        <v>40000</v>
      </c>
      <c r="D17" s="575" t="s">
        <v>12</v>
      </c>
      <c r="F17" s="536"/>
      <c r="G17" s="531" t="s">
        <v>15</v>
      </c>
      <c r="H17" s="4" t="s">
        <v>1016</v>
      </c>
      <c r="I17" s="553">
        <f>'Prod&amp;Consp'!L24*$C$16/1000</f>
        <v>32.4</v>
      </c>
      <c r="J17" s="553">
        <f>'Prod&amp;Consp'!M24*$C$16/1000</f>
        <v>32.4</v>
      </c>
      <c r="K17" s="553">
        <f>'Prod&amp;Consp'!N24*$C$16/1000</f>
        <v>39.006</v>
      </c>
      <c r="L17" s="553">
        <f>'Prod&amp;Consp'!O24*$C$16/1000</f>
        <v>39.006</v>
      </c>
      <c r="M17" s="553">
        <f>'Prod&amp;Consp'!P24*$C$16/1000</f>
        <v>39.006</v>
      </c>
      <c r="N17" s="553">
        <f>'Prod&amp;Consp'!Q24*$C$16/1000</f>
        <v>39.006</v>
      </c>
      <c r="O17" s="553">
        <f>'Prod&amp;Consp'!R24*$C$16/1000</f>
        <v>39.006</v>
      </c>
      <c r="P17" s="553">
        <f>'Prod&amp;Consp'!S24*$C$16/1000</f>
        <v>39.006</v>
      </c>
      <c r="Q17" s="553">
        <f>'Prod&amp;Consp'!T24*$C$16/1000</f>
        <v>39.006</v>
      </c>
      <c r="R17" s="553">
        <f>'Prod&amp;Consp'!U24*$C$16/1000</f>
        <v>39.006</v>
      </c>
      <c r="S17" s="553">
        <f>'Prod&amp;Consp'!V24*$C$16/1000</f>
        <v>39.006</v>
      </c>
      <c r="T17" s="553">
        <f>'Prod&amp;Consp'!W24*$C$16/1000</f>
        <v>39.006</v>
      </c>
      <c r="U17" s="560">
        <f t="shared" si="1"/>
        <v>454.8599999999999</v>
      </c>
      <c r="V17" s="565"/>
      <c r="W17" s="553">
        <f>'Prod&amp;Consp'!Z24*$C$16/1000</f>
        <v>39.006</v>
      </c>
      <c r="X17" s="553">
        <f>'Prod&amp;Consp'!AA24*$C$16/1000</f>
        <v>39.006</v>
      </c>
      <c r="Y17" s="553">
        <f>'Prod&amp;Consp'!AB24*$C$16/1000</f>
        <v>39.006</v>
      </c>
      <c r="Z17" s="553">
        <f>'Prod&amp;Consp'!AC24*$C$16/1000</f>
        <v>39.006</v>
      </c>
      <c r="AA17" s="553">
        <f>'Prod&amp;Consp'!AD24*$C$16/1000</f>
        <v>39.006</v>
      </c>
      <c r="AB17" s="553">
        <f>'Prod&amp;Consp'!AE24*$C$16/1000</f>
        <v>39.006</v>
      </c>
      <c r="AC17" s="553">
        <f>'Prod&amp;Consp'!AF24*$C$16/1000</f>
        <v>71.406000000000006</v>
      </c>
      <c r="AD17" s="562">
        <f>'Prod&amp;Consp'!AG24*$C$16/1000</f>
        <v>71.406000000000006</v>
      </c>
      <c r="AE17" s="553">
        <f>'Prod&amp;Consp'!AH24*$C$16/1000</f>
        <v>39.006</v>
      </c>
      <c r="AF17" s="553">
        <f>'Prod&amp;Consp'!AI24*$C$16/1000</f>
        <v>39.006</v>
      </c>
      <c r="AG17" s="553">
        <f>'Prod&amp;Consp'!AJ24*$C$16/1000</f>
        <v>39.006</v>
      </c>
      <c r="AH17" s="553">
        <f>'Prod&amp;Consp'!AK24*$C$16/1000</f>
        <v>39.006</v>
      </c>
      <c r="AI17" s="560">
        <f t="shared" si="2"/>
        <v>532.87199999999996</v>
      </c>
      <c r="AJ17" s="565"/>
      <c r="AK17" s="553">
        <f>'Prod&amp;Consp'!AN24*$C$16/1000</f>
        <v>39.006</v>
      </c>
      <c r="AL17" s="553">
        <f>'Prod&amp;Consp'!AO24*$C$16/1000</f>
        <v>39.006</v>
      </c>
      <c r="AM17" s="553">
        <f>'Prod&amp;Consp'!AP24*$C$16/1000</f>
        <v>39.006</v>
      </c>
      <c r="AN17" s="553">
        <f>'Prod&amp;Consp'!AQ24*$C$16/1000</f>
        <v>39.006</v>
      </c>
      <c r="AO17" s="553">
        <f>'Prod&amp;Consp'!AR24*$C$16/1000</f>
        <v>39.006</v>
      </c>
      <c r="AP17" s="553">
        <f>'Prod&amp;Consp'!AS24*$C$16/1000</f>
        <v>39.006</v>
      </c>
      <c r="AQ17" s="553">
        <f>'Prod&amp;Consp'!AT24*$C$16/1000</f>
        <v>39.006</v>
      </c>
      <c r="AR17" s="553">
        <f>'Prod&amp;Consp'!AU24*$C$16/1000</f>
        <v>39.006</v>
      </c>
      <c r="AS17" s="553">
        <f>'Prod&amp;Consp'!AV24*$C$16/1000</f>
        <v>39.006</v>
      </c>
      <c r="AT17" s="553">
        <f>'Prod&amp;Consp'!AW24*$C$16/1000</f>
        <v>39.006</v>
      </c>
      <c r="AU17" s="553">
        <f>'Prod&amp;Consp'!AX24*$C$16/1000</f>
        <v>39.006</v>
      </c>
      <c r="AV17" s="553">
        <f>'Prod&amp;Consp'!AY24*$C$16/1000</f>
        <v>39.006</v>
      </c>
      <c r="AW17" s="560">
        <f t="shared" si="3"/>
        <v>468.07199999999989</v>
      </c>
      <c r="AX17" s="565"/>
      <c r="AY17" s="553">
        <f>'Prod&amp;Consp'!BB24*$C$16/1000</f>
        <v>71.406000000000006</v>
      </c>
      <c r="AZ17" s="562">
        <f>'Prod&amp;Consp'!BC24*$C$16/1000</f>
        <v>71.406000000000006</v>
      </c>
      <c r="BA17" s="553">
        <f>'Prod&amp;Consp'!BD24*$C$16/1000</f>
        <v>39.006</v>
      </c>
      <c r="BB17" s="553">
        <f>'Prod&amp;Consp'!BE24*$C$16/1000</f>
        <v>39.006</v>
      </c>
      <c r="BC17" s="553">
        <f>'Prod&amp;Consp'!BF24*$C$16/1000</f>
        <v>39.006</v>
      </c>
      <c r="BD17" s="553">
        <f>'Prod&amp;Consp'!BG24*$C$16/1000</f>
        <v>39.006</v>
      </c>
      <c r="BE17" s="553">
        <f>'Prod&amp;Consp'!BH24*$C$16/1000</f>
        <v>39.006</v>
      </c>
      <c r="BF17" s="553">
        <f>'Prod&amp;Consp'!BI24*$C$16/1000</f>
        <v>39.006</v>
      </c>
      <c r="BG17" s="553">
        <f>'Prod&amp;Consp'!BJ24*$C$16/1000</f>
        <v>39.006</v>
      </c>
      <c r="BH17" s="553">
        <f>'Prod&amp;Consp'!BK24*$C$16/1000</f>
        <v>39.006</v>
      </c>
      <c r="BI17" s="553">
        <f>'Prod&amp;Consp'!BL24*$C$16/1000</f>
        <v>39.006</v>
      </c>
      <c r="BJ17" s="553">
        <f>'Prod&amp;Consp'!BM24*$C$16/1000</f>
        <v>39.006</v>
      </c>
      <c r="BK17" s="560">
        <f t="shared" si="4"/>
        <v>532.87199999999984</v>
      </c>
      <c r="BL17" s="565"/>
      <c r="BM17" s="553">
        <f>'Prod&amp;Consp'!BP24*$C$16/1000</f>
        <v>39.006</v>
      </c>
      <c r="BN17" s="553">
        <f>'Prod&amp;Consp'!BQ24*$C$16/1000</f>
        <v>39.006</v>
      </c>
      <c r="BO17" s="553">
        <f>'Prod&amp;Consp'!BR24*$C$16/1000</f>
        <v>39.006</v>
      </c>
      <c r="BP17" s="553">
        <f>'Prod&amp;Consp'!BS24*$C$16/1000</f>
        <v>39.006</v>
      </c>
      <c r="BQ17" s="553">
        <f>'Prod&amp;Consp'!BT24*$C$16/1000</f>
        <v>39.006</v>
      </c>
      <c r="BR17" s="553">
        <f>'Prod&amp;Consp'!BU24*$C$16/1000</f>
        <v>39.006</v>
      </c>
      <c r="BS17" s="553">
        <f>'Prod&amp;Consp'!BV24*$C$16/1000</f>
        <v>71.406000000000006</v>
      </c>
      <c r="BT17" s="562">
        <f>'Prod&amp;Consp'!BW24*$C$16/1000</f>
        <v>71.406000000000006</v>
      </c>
      <c r="BU17" s="553">
        <f>'Prod&amp;Consp'!BX24*$C$16/1000</f>
        <v>39.006</v>
      </c>
      <c r="BV17" s="553">
        <f>'Prod&amp;Consp'!BY24*$C$16/1000</f>
        <v>39.006</v>
      </c>
      <c r="BW17" s="553">
        <f>'Prod&amp;Consp'!BZ24*$C$16/1000</f>
        <v>39.006</v>
      </c>
      <c r="BX17" s="553">
        <f>'Prod&amp;Consp'!CA24*$C$16/1000</f>
        <v>39.006</v>
      </c>
      <c r="BY17" s="560">
        <f t="shared" si="5"/>
        <v>532.87199999999996</v>
      </c>
      <c r="BZ17" s="565"/>
      <c r="CA17" s="553">
        <f>'Prod&amp;Consp'!CD24*$C$16/1000</f>
        <v>39.006</v>
      </c>
      <c r="CB17" s="553">
        <f>'Prod&amp;Consp'!CE24*$C$16/1000</f>
        <v>39.006</v>
      </c>
      <c r="CC17" s="553">
        <f>'Prod&amp;Consp'!CF24*$C$16/1000</f>
        <v>39.006</v>
      </c>
      <c r="CD17" s="553">
        <f>'Prod&amp;Consp'!CG24*$C$16/1000</f>
        <v>39.006</v>
      </c>
      <c r="CE17" s="553">
        <f>'Prod&amp;Consp'!CH24*$C$16/1000</f>
        <v>39.006</v>
      </c>
      <c r="CF17" s="553">
        <f>'Prod&amp;Consp'!CI24*$C$16/1000</f>
        <v>39.006</v>
      </c>
      <c r="CG17" s="553">
        <f>'Prod&amp;Consp'!CJ24*$C$16/1000</f>
        <v>39.006</v>
      </c>
      <c r="CH17" s="553">
        <f>'Prod&amp;Consp'!CK24*$C$16/1000</f>
        <v>39.006</v>
      </c>
      <c r="CI17" s="553">
        <f>'Prod&amp;Consp'!CL24*$C$16/1000</f>
        <v>39.006</v>
      </c>
      <c r="CJ17" s="553">
        <f>'Prod&amp;Consp'!CM24*$C$16/1000</f>
        <v>39.006</v>
      </c>
      <c r="CK17" s="553">
        <f>'Prod&amp;Consp'!CN24*$C$16/1000</f>
        <v>39.006</v>
      </c>
      <c r="CL17" s="553">
        <f>'Prod&amp;Consp'!CO24*$C$16/1000</f>
        <v>39.006</v>
      </c>
      <c r="CM17" s="560">
        <f t="shared" si="6"/>
        <v>468.07199999999989</v>
      </c>
      <c r="CN17" s="565"/>
      <c r="CO17" s="553">
        <f>'Prod&amp;Consp'!CR24*$C$16/1000</f>
        <v>71.406000000000006</v>
      </c>
      <c r="CP17" s="562">
        <f>'Prod&amp;Consp'!CS24*$C$16/1000</f>
        <v>71.406000000000006</v>
      </c>
      <c r="CQ17" s="553">
        <f>'Prod&amp;Consp'!CT24*$C$16/1000</f>
        <v>39.006</v>
      </c>
      <c r="CR17" s="553">
        <f>'Prod&amp;Consp'!CU24*$C$16/1000</f>
        <v>39.006</v>
      </c>
      <c r="CS17" s="553">
        <f>'Prod&amp;Consp'!CV24*$C$16/1000</f>
        <v>39.006</v>
      </c>
      <c r="CT17" s="553">
        <f>'Prod&amp;Consp'!CW24*$C$16/1000</f>
        <v>39.006</v>
      </c>
      <c r="CU17" s="553">
        <f>'Prod&amp;Consp'!CX24*$C$16/1000</f>
        <v>39.006</v>
      </c>
      <c r="CV17" s="553">
        <f>'Prod&amp;Consp'!CY24*$C$16/1000</f>
        <v>39.006</v>
      </c>
      <c r="CW17" s="553">
        <f>'Prod&amp;Consp'!CZ24*$C$16/1000</f>
        <v>39.006</v>
      </c>
      <c r="CX17" s="553">
        <f>'Prod&amp;Consp'!DA24*$C$16/1000</f>
        <v>39.006</v>
      </c>
      <c r="CY17" s="553">
        <f>'Prod&amp;Consp'!DB24*$C$16/1000</f>
        <v>39.006</v>
      </c>
      <c r="CZ17" s="553">
        <f>'Prod&amp;Consp'!DC24*$C$16/1000</f>
        <v>39.006</v>
      </c>
      <c r="DA17" s="560">
        <f t="shared" si="7"/>
        <v>532.87199999999984</v>
      </c>
      <c r="DB17" s="565"/>
      <c r="DC17" s="553">
        <f>'Prod&amp;Consp'!DF24*$C$16/1000</f>
        <v>39.006</v>
      </c>
      <c r="DD17" s="553">
        <f>'Prod&amp;Consp'!DG24*$C$16/1000</f>
        <v>39.006</v>
      </c>
      <c r="DE17" s="553">
        <f>'Prod&amp;Consp'!DH24*$C$16/1000</f>
        <v>39.006</v>
      </c>
      <c r="DF17" s="553">
        <f>'Prod&amp;Consp'!DI24*$C$16/1000</f>
        <v>39.006</v>
      </c>
      <c r="DG17" s="553">
        <f>'Prod&amp;Consp'!DJ24*$C$16/1000</f>
        <v>39.006</v>
      </c>
      <c r="DH17" s="553">
        <f>'Prod&amp;Consp'!DK24*$C$16/1000</f>
        <v>39.006</v>
      </c>
      <c r="DI17" s="553">
        <f>'Prod&amp;Consp'!DL24*$C$16/1000</f>
        <v>71.406000000000006</v>
      </c>
      <c r="DJ17" s="562">
        <f>'Prod&amp;Consp'!DM24*$C$16/1000</f>
        <v>71.406000000000006</v>
      </c>
      <c r="DK17" s="553">
        <f>'Prod&amp;Consp'!DN24*$C$16/1000</f>
        <v>39.006</v>
      </c>
      <c r="DL17" s="553">
        <f>'Prod&amp;Consp'!DO24*$C$16/1000</f>
        <v>39.006</v>
      </c>
      <c r="DM17" s="553">
        <f>'Prod&amp;Consp'!DP24*$C$16/1000</f>
        <v>39.006</v>
      </c>
      <c r="DN17" s="553">
        <f>'Prod&amp;Consp'!DQ24*$C$16/1000</f>
        <v>39.006</v>
      </c>
      <c r="DO17" s="560">
        <f t="shared" si="8"/>
        <v>532.87199999999996</v>
      </c>
      <c r="DP17" s="565"/>
      <c r="DQ17" s="553">
        <f>'Prod&amp;Consp'!DT24*$C$16/1000</f>
        <v>39.006</v>
      </c>
      <c r="DR17" s="553">
        <f>'Prod&amp;Consp'!DU24*$C$16/1000</f>
        <v>39.006</v>
      </c>
      <c r="DS17" s="553">
        <f>'Prod&amp;Consp'!DV24*$C$16/1000</f>
        <v>39.006</v>
      </c>
      <c r="DT17" s="553">
        <f>'Prod&amp;Consp'!DW24*$C$16/1000</f>
        <v>39.006</v>
      </c>
      <c r="DU17" s="553">
        <f>'Prod&amp;Consp'!DX24*$C$16/1000</f>
        <v>39.006</v>
      </c>
      <c r="DV17" s="553">
        <f>'Prod&amp;Consp'!DY24*$C$16/1000</f>
        <v>39.006</v>
      </c>
      <c r="DW17" s="553">
        <f>'Prod&amp;Consp'!DZ24*$C$16/1000</f>
        <v>39.006</v>
      </c>
      <c r="DX17" s="553">
        <f>'Prod&amp;Consp'!EA24*$C$16/1000</f>
        <v>39.006</v>
      </c>
      <c r="DY17" s="553">
        <f>'Prod&amp;Consp'!EB24*$C$16/1000</f>
        <v>39.006</v>
      </c>
      <c r="DZ17" s="553">
        <f>'Prod&amp;Consp'!EC24*$C$16/1000</f>
        <v>39.006</v>
      </c>
      <c r="EA17" s="553">
        <f>'Prod&amp;Consp'!ED24*$C$16/1000</f>
        <v>39.006</v>
      </c>
      <c r="EB17" s="553">
        <f>'Prod&amp;Consp'!EE24*$C$16/1000</f>
        <v>39.006</v>
      </c>
      <c r="EC17" s="560">
        <f t="shared" si="9"/>
        <v>468.07199999999989</v>
      </c>
      <c r="ED17" s="565"/>
      <c r="EE17" s="553">
        <f>'Prod&amp;Consp'!EH24*$C$16/1000</f>
        <v>71.406000000000006</v>
      </c>
      <c r="EF17" s="562">
        <f>'Prod&amp;Consp'!EI24*$C$16/1000</f>
        <v>71.406000000000006</v>
      </c>
      <c r="EG17" s="553">
        <f>'Prod&amp;Consp'!EJ24*$C$16/1000</f>
        <v>39.006</v>
      </c>
      <c r="EH17" s="553">
        <f>'Prod&amp;Consp'!EK24*$C$16/1000</f>
        <v>39.006</v>
      </c>
      <c r="EI17" s="553">
        <f>'Prod&amp;Consp'!EL24*$C$16/1000</f>
        <v>39.006</v>
      </c>
      <c r="EJ17" s="553">
        <f>'Prod&amp;Consp'!EM24*$C$16/1000</f>
        <v>39.006</v>
      </c>
      <c r="EK17" s="553">
        <f>'Prod&amp;Consp'!EN24*$C$16/1000</f>
        <v>39.006</v>
      </c>
      <c r="EL17" s="553">
        <f>'Prod&amp;Consp'!EO24*$C$16/1000</f>
        <v>39.006</v>
      </c>
      <c r="EM17" s="553">
        <f>'Prod&amp;Consp'!EP24*$C$16/1000</f>
        <v>39.006</v>
      </c>
      <c r="EN17" s="553">
        <f>'Prod&amp;Consp'!EQ24*$C$16/1000</f>
        <v>39.006</v>
      </c>
      <c r="EO17" s="553">
        <f>'Prod&amp;Consp'!ER24*$C$16/1000</f>
        <v>39.006</v>
      </c>
      <c r="EP17" s="553">
        <f>'Prod&amp;Consp'!ES24*$C$16/1000</f>
        <v>39.006</v>
      </c>
      <c r="EQ17" s="560">
        <f t="shared" si="10"/>
        <v>532.87199999999984</v>
      </c>
      <c r="ER17" s="565"/>
      <c r="ET17" s="536"/>
      <c r="EU17" s="531" t="s">
        <v>15</v>
      </c>
      <c r="EV17" s="4" t="s">
        <v>1016</v>
      </c>
      <c r="EW17" s="553">
        <f t="shared" si="11"/>
        <v>454.8599999999999</v>
      </c>
      <c r="EX17" s="553">
        <f t="shared" si="12"/>
        <v>532.87199999999996</v>
      </c>
      <c r="EY17" s="553">
        <f t="shared" si="13"/>
        <v>468.07199999999989</v>
      </c>
      <c r="EZ17" s="553">
        <f t="shared" si="14"/>
        <v>532.87199999999984</v>
      </c>
      <c r="FA17" s="553">
        <f t="shared" si="15"/>
        <v>532.87199999999996</v>
      </c>
      <c r="FB17" s="553">
        <f t="shared" si="16"/>
        <v>468.07199999999989</v>
      </c>
      <c r="FC17" s="553">
        <f t="shared" si="17"/>
        <v>532.87199999999984</v>
      </c>
      <c r="FD17" s="553">
        <f t="shared" si="18"/>
        <v>532.87199999999996</v>
      </c>
      <c r="FE17" s="553">
        <f t="shared" si="19"/>
        <v>468.07199999999989</v>
      </c>
      <c r="FF17" s="553">
        <f t="shared" si="20"/>
        <v>532.87199999999984</v>
      </c>
    </row>
    <row r="18" spans="1:162" ht="10.5" customHeight="1" x14ac:dyDescent="0.35">
      <c r="B18" s="557" t="s">
        <v>1011</v>
      </c>
      <c r="C18" s="553">
        <f>Asumsi!F58</f>
        <v>45000</v>
      </c>
      <c r="D18" s="575" t="s">
        <v>12</v>
      </c>
      <c r="F18" s="536"/>
      <c r="G18" s="531" t="s">
        <v>18</v>
      </c>
      <c r="H18" s="4" t="s">
        <v>1017</v>
      </c>
      <c r="I18" s="553">
        <f>'Prod&amp;Consp'!L25*$C$17/1000</f>
        <v>324</v>
      </c>
      <c r="J18" s="553">
        <f>'Prod&amp;Consp'!M25*$C$17/1000</f>
        <v>324</v>
      </c>
      <c r="K18" s="553">
        <f>'Prod&amp;Consp'!N25*$C$17/1000</f>
        <v>390.06</v>
      </c>
      <c r="L18" s="553">
        <f>'Prod&amp;Consp'!O25*$C$17/1000</f>
        <v>390.06</v>
      </c>
      <c r="M18" s="553">
        <f>'Prod&amp;Consp'!P25*$C$17/1000</f>
        <v>390.06</v>
      </c>
      <c r="N18" s="553">
        <f>'Prod&amp;Consp'!Q25*$C$17/1000</f>
        <v>390.06</v>
      </c>
      <c r="O18" s="553">
        <f>'Prod&amp;Consp'!R25*$C$17/1000</f>
        <v>390.06</v>
      </c>
      <c r="P18" s="553">
        <f>'Prod&amp;Consp'!S25*$C$17/1000</f>
        <v>390.06</v>
      </c>
      <c r="Q18" s="553">
        <f>'Prod&amp;Consp'!T25*$C$17/1000</f>
        <v>390.06</v>
      </c>
      <c r="R18" s="553">
        <f>'Prod&amp;Consp'!U25*$C$17/1000</f>
        <v>390.06</v>
      </c>
      <c r="S18" s="553">
        <f>'Prod&amp;Consp'!V25*$C$17/1000</f>
        <v>390.06</v>
      </c>
      <c r="T18" s="553">
        <f>'Prod&amp;Consp'!W25*$C$17/1000</f>
        <v>390.06</v>
      </c>
      <c r="U18" s="560">
        <f t="shared" si="1"/>
        <v>4548.6000000000004</v>
      </c>
      <c r="V18" s="565"/>
      <c r="W18" s="553">
        <f>'Prod&amp;Consp'!Z25*$C$17/1000</f>
        <v>390.06</v>
      </c>
      <c r="X18" s="553">
        <f>'Prod&amp;Consp'!AA25*$C$17/1000</f>
        <v>390.06</v>
      </c>
      <c r="Y18" s="553">
        <f>'Prod&amp;Consp'!AB25*$C$17/1000</f>
        <v>390.06</v>
      </c>
      <c r="Z18" s="553">
        <f>'Prod&amp;Consp'!AC25*$C$17/1000</f>
        <v>390.06</v>
      </c>
      <c r="AA18" s="553">
        <f>'Prod&amp;Consp'!AD25*$C$17/1000</f>
        <v>390.06</v>
      </c>
      <c r="AB18" s="553">
        <f>'Prod&amp;Consp'!AE25*$C$17/1000</f>
        <v>390.06</v>
      </c>
      <c r="AC18" s="553">
        <f>'Prod&amp;Consp'!AF25*$C$17/1000</f>
        <v>714.06000000000017</v>
      </c>
      <c r="AD18" s="562">
        <f>'Prod&amp;Consp'!AG25*$C$17/1000</f>
        <v>714.06000000000017</v>
      </c>
      <c r="AE18" s="553">
        <f>'Prod&amp;Consp'!AH25*$C$17/1000</f>
        <v>390.06</v>
      </c>
      <c r="AF18" s="553">
        <f>'Prod&amp;Consp'!AI25*$C$17/1000</f>
        <v>390.06</v>
      </c>
      <c r="AG18" s="553">
        <f>'Prod&amp;Consp'!AJ25*$C$17/1000</f>
        <v>390.06</v>
      </c>
      <c r="AH18" s="553">
        <f>'Prod&amp;Consp'!AK25*$C$17/1000</f>
        <v>390.06</v>
      </c>
      <c r="AI18" s="560">
        <f t="shared" si="2"/>
        <v>5328.7200000000021</v>
      </c>
      <c r="AJ18" s="565"/>
      <c r="AK18" s="553">
        <f>'Prod&amp;Consp'!AN25*$C$17/1000</f>
        <v>390.06</v>
      </c>
      <c r="AL18" s="553">
        <f>'Prod&amp;Consp'!AO25*$C$17/1000</f>
        <v>390.06</v>
      </c>
      <c r="AM18" s="553">
        <f>'Prod&amp;Consp'!AP25*$C$17/1000</f>
        <v>390.06</v>
      </c>
      <c r="AN18" s="553">
        <f>'Prod&amp;Consp'!AQ25*$C$17/1000</f>
        <v>390.06</v>
      </c>
      <c r="AO18" s="553">
        <f>'Prod&amp;Consp'!AR25*$C$17/1000</f>
        <v>390.06</v>
      </c>
      <c r="AP18" s="553">
        <f>'Prod&amp;Consp'!AS25*$C$17/1000</f>
        <v>390.06</v>
      </c>
      <c r="AQ18" s="553">
        <f>'Prod&amp;Consp'!AT25*$C$17/1000</f>
        <v>390.06</v>
      </c>
      <c r="AR18" s="553">
        <f>'Prod&amp;Consp'!AU25*$C$17/1000</f>
        <v>390.06</v>
      </c>
      <c r="AS18" s="553">
        <f>'Prod&amp;Consp'!AV25*$C$17/1000</f>
        <v>390.06</v>
      </c>
      <c r="AT18" s="553">
        <f>'Prod&amp;Consp'!AW25*$C$17/1000</f>
        <v>390.06</v>
      </c>
      <c r="AU18" s="553">
        <f>'Prod&amp;Consp'!AX25*$C$17/1000</f>
        <v>390.06</v>
      </c>
      <c r="AV18" s="553">
        <f>'Prod&amp;Consp'!AY25*$C$17/1000</f>
        <v>390.06</v>
      </c>
      <c r="AW18" s="560">
        <f t="shared" si="3"/>
        <v>4680.72</v>
      </c>
      <c r="AX18" s="565"/>
      <c r="AY18" s="553">
        <f>'Prod&amp;Consp'!BB25*$C$17/1000</f>
        <v>714.06000000000017</v>
      </c>
      <c r="AZ18" s="562">
        <f>'Prod&amp;Consp'!BC25*$C$17/1000</f>
        <v>714.06000000000017</v>
      </c>
      <c r="BA18" s="553">
        <f>'Prod&amp;Consp'!BD25*$C$17/1000</f>
        <v>390.06</v>
      </c>
      <c r="BB18" s="553">
        <f>'Prod&amp;Consp'!BE25*$C$17/1000</f>
        <v>390.06</v>
      </c>
      <c r="BC18" s="553">
        <f>'Prod&amp;Consp'!BF25*$C$17/1000</f>
        <v>390.06</v>
      </c>
      <c r="BD18" s="553">
        <f>'Prod&amp;Consp'!BG25*$C$17/1000</f>
        <v>390.06</v>
      </c>
      <c r="BE18" s="553">
        <f>'Prod&amp;Consp'!BH25*$C$17/1000</f>
        <v>390.06</v>
      </c>
      <c r="BF18" s="553">
        <f>'Prod&amp;Consp'!BI25*$C$17/1000</f>
        <v>390.06</v>
      </c>
      <c r="BG18" s="553">
        <f>'Prod&amp;Consp'!BJ25*$C$17/1000</f>
        <v>390.06</v>
      </c>
      <c r="BH18" s="553">
        <f>'Prod&amp;Consp'!BK25*$C$17/1000</f>
        <v>390.06</v>
      </c>
      <c r="BI18" s="553">
        <f>'Prod&amp;Consp'!BL25*$C$17/1000</f>
        <v>390.06</v>
      </c>
      <c r="BJ18" s="553">
        <f>'Prod&amp;Consp'!BM25*$C$17/1000</f>
        <v>390.06</v>
      </c>
      <c r="BK18" s="560">
        <f t="shared" si="4"/>
        <v>5328.7200000000012</v>
      </c>
      <c r="BL18" s="565"/>
      <c r="BM18" s="553">
        <f>'Prod&amp;Consp'!BP25*$C$17/1000</f>
        <v>390.06</v>
      </c>
      <c r="BN18" s="553">
        <f>'Prod&amp;Consp'!BQ25*$C$17/1000</f>
        <v>390.06</v>
      </c>
      <c r="BO18" s="553">
        <f>'Prod&amp;Consp'!BR25*$C$17/1000</f>
        <v>390.06</v>
      </c>
      <c r="BP18" s="553">
        <f>'Prod&amp;Consp'!BS25*$C$17/1000</f>
        <v>390.06</v>
      </c>
      <c r="BQ18" s="553">
        <f>'Prod&amp;Consp'!BT25*$C$17/1000</f>
        <v>390.06</v>
      </c>
      <c r="BR18" s="553">
        <f>'Prod&amp;Consp'!BU25*$C$17/1000</f>
        <v>390.06</v>
      </c>
      <c r="BS18" s="553">
        <f>'Prod&amp;Consp'!BV25*$C$17/1000</f>
        <v>714.06000000000017</v>
      </c>
      <c r="BT18" s="562">
        <f>'Prod&amp;Consp'!BW25*$C$17/1000</f>
        <v>714.06000000000017</v>
      </c>
      <c r="BU18" s="553">
        <f>'Prod&amp;Consp'!BX25*$C$17/1000</f>
        <v>390.06</v>
      </c>
      <c r="BV18" s="553">
        <f>'Prod&amp;Consp'!BY25*$C$17/1000</f>
        <v>390.06</v>
      </c>
      <c r="BW18" s="553">
        <f>'Prod&amp;Consp'!BZ25*$C$17/1000</f>
        <v>390.06</v>
      </c>
      <c r="BX18" s="553">
        <f>'Prod&amp;Consp'!CA25*$C$17/1000</f>
        <v>390.06</v>
      </c>
      <c r="BY18" s="560">
        <f t="shared" si="5"/>
        <v>5328.7200000000021</v>
      </c>
      <c r="BZ18" s="565"/>
      <c r="CA18" s="553">
        <f>'Prod&amp;Consp'!CD25*$C$17/1000</f>
        <v>390.06</v>
      </c>
      <c r="CB18" s="553">
        <f>'Prod&amp;Consp'!CE25*$C$17/1000</f>
        <v>390.06</v>
      </c>
      <c r="CC18" s="553">
        <f>'Prod&amp;Consp'!CF25*$C$17/1000</f>
        <v>390.06</v>
      </c>
      <c r="CD18" s="553">
        <f>'Prod&amp;Consp'!CG25*$C$17/1000</f>
        <v>390.06</v>
      </c>
      <c r="CE18" s="553">
        <f>'Prod&amp;Consp'!CH25*$C$17/1000</f>
        <v>390.06</v>
      </c>
      <c r="CF18" s="553">
        <f>'Prod&amp;Consp'!CI25*$C$17/1000</f>
        <v>390.06</v>
      </c>
      <c r="CG18" s="553">
        <f>'Prod&amp;Consp'!CJ25*$C$17/1000</f>
        <v>390.06</v>
      </c>
      <c r="CH18" s="553">
        <f>'Prod&amp;Consp'!CK25*$C$17/1000</f>
        <v>390.06</v>
      </c>
      <c r="CI18" s="553">
        <f>'Prod&amp;Consp'!CL25*$C$17/1000</f>
        <v>390.06</v>
      </c>
      <c r="CJ18" s="553">
        <f>'Prod&amp;Consp'!CM25*$C$17/1000</f>
        <v>390.06</v>
      </c>
      <c r="CK18" s="553">
        <f>'Prod&amp;Consp'!CN25*$C$17/1000</f>
        <v>390.06</v>
      </c>
      <c r="CL18" s="553">
        <f>'Prod&amp;Consp'!CO25*$C$17/1000</f>
        <v>390.06</v>
      </c>
      <c r="CM18" s="560">
        <f t="shared" si="6"/>
        <v>4680.72</v>
      </c>
      <c r="CN18" s="565"/>
      <c r="CO18" s="553">
        <f>'Prod&amp;Consp'!CR25*$C$17/1000</f>
        <v>714.06000000000017</v>
      </c>
      <c r="CP18" s="562">
        <f>'Prod&amp;Consp'!CS25*$C$17/1000</f>
        <v>714.06000000000017</v>
      </c>
      <c r="CQ18" s="553">
        <f>'Prod&amp;Consp'!CT25*$C$17/1000</f>
        <v>390.06</v>
      </c>
      <c r="CR18" s="553">
        <f>'Prod&amp;Consp'!CU25*$C$17/1000</f>
        <v>390.06</v>
      </c>
      <c r="CS18" s="553">
        <f>'Prod&amp;Consp'!CV25*$C$17/1000</f>
        <v>390.06</v>
      </c>
      <c r="CT18" s="553">
        <f>'Prod&amp;Consp'!CW25*$C$17/1000</f>
        <v>390.06</v>
      </c>
      <c r="CU18" s="553">
        <f>'Prod&amp;Consp'!CX25*$C$17/1000</f>
        <v>390.06</v>
      </c>
      <c r="CV18" s="553">
        <f>'Prod&amp;Consp'!CY25*$C$17/1000</f>
        <v>390.06</v>
      </c>
      <c r="CW18" s="553">
        <f>'Prod&amp;Consp'!CZ25*$C$17/1000</f>
        <v>390.06</v>
      </c>
      <c r="CX18" s="553">
        <f>'Prod&amp;Consp'!DA25*$C$17/1000</f>
        <v>390.06</v>
      </c>
      <c r="CY18" s="553">
        <f>'Prod&amp;Consp'!DB25*$C$17/1000</f>
        <v>390.06</v>
      </c>
      <c r="CZ18" s="553">
        <f>'Prod&amp;Consp'!DC25*$C$17/1000</f>
        <v>390.06</v>
      </c>
      <c r="DA18" s="560">
        <f t="shared" si="7"/>
        <v>5328.7200000000012</v>
      </c>
      <c r="DB18" s="565"/>
      <c r="DC18" s="553">
        <f>'Prod&amp;Consp'!DF25*$C$17/1000</f>
        <v>390.06</v>
      </c>
      <c r="DD18" s="553">
        <f>'Prod&amp;Consp'!DG25*$C$17/1000</f>
        <v>390.06</v>
      </c>
      <c r="DE18" s="553">
        <f>'Prod&amp;Consp'!DH25*$C$17/1000</f>
        <v>390.06</v>
      </c>
      <c r="DF18" s="553">
        <f>'Prod&amp;Consp'!DI25*$C$17/1000</f>
        <v>390.06</v>
      </c>
      <c r="DG18" s="553">
        <f>'Prod&amp;Consp'!DJ25*$C$17/1000</f>
        <v>390.06</v>
      </c>
      <c r="DH18" s="553">
        <f>'Prod&amp;Consp'!DK25*$C$17/1000</f>
        <v>390.06</v>
      </c>
      <c r="DI18" s="553">
        <f>'Prod&amp;Consp'!DL25*$C$17/1000</f>
        <v>714.06000000000017</v>
      </c>
      <c r="DJ18" s="562">
        <f>'Prod&amp;Consp'!DM25*$C$17/1000</f>
        <v>714.06000000000017</v>
      </c>
      <c r="DK18" s="553">
        <f>'Prod&amp;Consp'!DN25*$C$17/1000</f>
        <v>390.06</v>
      </c>
      <c r="DL18" s="553">
        <f>'Prod&amp;Consp'!DO25*$C$17/1000</f>
        <v>390.06</v>
      </c>
      <c r="DM18" s="553">
        <f>'Prod&amp;Consp'!DP25*$C$17/1000</f>
        <v>390.06</v>
      </c>
      <c r="DN18" s="553">
        <f>'Prod&amp;Consp'!DQ25*$C$17/1000</f>
        <v>390.06</v>
      </c>
      <c r="DO18" s="560">
        <f t="shared" si="8"/>
        <v>5328.7200000000021</v>
      </c>
      <c r="DP18" s="565"/>
      <c r="DQ18" s="553">
        <f>'Prod&amp;Consp'!DT25*$C$17/1000</f>
        <v>390.06</v>
      </c>
      <c r="DR18" s="553">
        <f>'Prod&amp;Consp'!DU25*$C$17/1000</f>
        <v>390.06</v>
      </c>
      <c r="DS18" s="553">
        <f>'Prod&amp;Consp'!DV25*$C$17/1000</f>
        <v>390.06</v>
      </c>
      <c r="DT18" s="553">
        <f>'Prod&amp;Consp'!DW25*$C$17/1000</f>
        <v>390.06</v>
      </c>
      <c r="DU18" s="553">
        <f>'Prod&amp;Consp'!DX25*$C$17/1000</f>
        <v>390.06</v>
      </c>
      <c r="DV18" s="553">
        <f>'Prod&amp;Consp'!DY25*$C$17/1000</f>
        <v>390.06</v>
      </c>
      <c r="DW18" s="553">
        <f>'Prod&amp;Consp'!DZ25*$C$17/1000</f>
        <v>390.06</v>
      </c>
      <c r="DX18" s="553">
        <f>'Prod&amp;Consp'!EA25*$C$17/1000</f>
        <v>390.06</v>
      </c>
      <c r="DY18" s="553">
        <f>'Prod&amp;Consp'!EB25*$C$17/1000</f>
        <v>390.06</v>
      </c>
      <c r="DZ18" s="553">
        <f>'Prod&amp;Consp'!EC25*$C$17/1000</f>
        <v>390.06</v>
      </c>
      <c r="EA18" s="553">
        <f>'Prod&amp;Consp'!ED25*$C$17/1000</f>
        <v>390.06</v>
      </c>
      <c r="EB18" s="553">
        <f>'Prod&amp;Consp'!EE25*$C$17/1000</f>
        <v>390.06</v>
      </c>
      <c r="EC18" s="560">
        <f t="shared" si="9"/>
        <v>4680.72</v>
      </c>
      <c r="ED18" s="565"/>
      <c r="EE18" s="553">
        <f>'Prod&amp;Consp'!EH25*$C$17/1000</f>
        <v>714.06000000000017</v>
      </c>
      <c r="EF18" s="562">
        <f>'Prod&amp;Consp'!EI25*$C$17/1000</f>
        <v>714.06000000000017</v>
      </c>
      <c r="EG18" s="553">
        <f>'Prod&amp;Consp'!EJ25*$C$17/1000</f>
        <v>390.06</v>
      </c>
      <c r="EH18" s="553">
        <f>'Prod&amp;Consp'!EK25*$C$17/1000</f>
        <v>390.06</v>
      </c>
      <c r="EI18" s="553">
        <f>'Prod&amp;Consp'!EL25*$C$17/1000</f>
        <v>390.06</v>
      </c>
      <c r="EJ18" s="553">
        <f>'Prod&amp;Consp'!EM25*$C$17/1000</f>
        <v>390.06</v>
      </c>
      <c r="EK18" s="553">
        <f>'Prod&amp;Consp'!EN25*$C$17/1000</f>
        <v>390.06</v>
      </c>
      <c r="EL18" s="553">
        <f>'Prod&amp;Consp'!EO25*$C$17/1000</f>
        <v>390.06</v>
      </c>
      <c r="EM18" s="553">
        <f>'Prod&amp;Consp'!EP25*$C$17/1000</f>
        <v>390.06</v>
      </c>
      <c r="EN18" s="553">
        <f>'Prod&amp;Consp'!EQ25*$C$17/1000</f>
        <v>390.06</v>
      </c>
      <c r="EO18" s="553">
        <f>'Prod&amp;Consp'!ER25*$C$17/1000</f>
        <v>390.06</v>
      </c>
      <c r="EP18" s="553">
        <f>'Prod&amp;Consp'!ES25*$C$17/1000</f>
        <v>390.06</v>
      </c>
      <c r="EQ18" s="560">
        <f t="shared" si="10"/>
        <v>5328.7200000000012</v>
      </c>
      <c r="ER18" s="565"/>
      <c r="ET18" s="536"/>
      <c r="EU18" s="531" t="s">
        <v>18</v>
      </c>
      <c r="EV18" s="4" t="s">
        <v>1017</v>
      </c>
      <c r="EW18" s="553">
        <f t="shared" si="11"/>
        <v>4548.6000000000004</v>
      </c>
      <c r="EX18" s="553">
        <f t="shared" si="12"/>
        <v>5328.7200000000021</v>
      </c>
      <c r="EY18" s="553">
        <f t="shared" si="13"/>
        <v>4680.72</v>
      </c>
      <c r="EZ18" s="553">
        <f t="shared" si="14"/>
        <v>5328.7200000000012</v>
      </c>
      <c r="FA18" s="553">
        <f t="shared" si="15"/>
        <v>5328.7200000000021</v>
      </c>
      <c r="FB18" s="553">
        <f t="shared" si="16"/>
        <v>4680.72</v>
      </c>
      <c r="FC18" s="553">
        <f t="shared" si="17"/>
        <v>5328.7200000000012</v>
      </c>
      <c r="FD18" s="553">
        <f t="shared" si="18"/>
        <v>5328.7200000000021</v>
      </c>
      <c r="FE18" s="553">
        <f t="shared" si="19"/>
        <v>4680.72</v>
      </c>
      <c r="FF18" s="553">
        <f t="shared" si="20"/>
        <v>5328.7200000000012</v>
      </c>
    </row>
    <row r="19" spans="1:162" ht="10.5" customHeight="1" x14ac:dyDescent="0.35">
      <c r="B19" s="557" t="s">
        <v>1012</v>
      </c>
      <c r="C19" s="553">
        <f>Asumsi!F59</f>
        <v>65000</v>
      </c>
      <c r="D19" s="575" t="s">
        <v>12</v>
      </c>
      <c r="F19" s="536"/>
      <c r="G19" s="531" t="s">
        <v>510</v>
      </c>
      <c r="H19" s="4" t="s">
        <v>1018</v>
      </c>
      <c r="I19" s="553">
        <f>'Prod&amp;Consp'!L26*$C$18/1000</f>
        <v>72.900000000000006</v>
      </c>
      <c r="J19" s="553">
        <f>'Prod&amp;Consp'!M26*$C$18/1000</f>
        <v>72.900000000000006</v>
      </c>
      <c r="K19" s="553">
        <f>'Prod&amp;Consp'!N26*$C$18/1000</f>
        <v>87.763499999999993</v>
      </c>
      <c r="L19" s="553">
        <f>'Prod&amp;Consp'!O26*$C$18/1000</f>
        <v>87.763499999999993</v>
      </c>
      <c r="M19" s="553">
        <f>'Prod&amp;Consp'!P26*$C$18/1000</f>
        <v>87.763499999999993</v>
      </c>
      <c r="N19" s="553">
        <f>'Prod&amp;Consp'!Q26*$C$18/1000</f>
        <v>87.763499999999993</v>
      </c>
      <c r="O19" s="553">
        <f>'Prod&amp;Consp'!R26*$C$18/1000</f>
        <v>87.763499999999993</v>
      </c>
      <c r="P19" s="553">
        <f>'Prod&amp;Consp'!S26*$C$18/1000</f>
        <v>87.763499999999993</v>
      </c>
      <c r="Q19" s="553">
        <f>'Prod&amp;Consp'!T26*$C$18/1000</f>
        <v>87.763499999999993</v>
      </c>
      <c r="R19" s="553">
        <f>'Prod&amp;Consp'!U26*$C$18/1000</f>
        <v>87.763499999999993</v>
      </c>
      <c r="S19" s="553">
        <f>'Prod&amp;Consp'!V26*$C$18/1000</f>
        <v>87.763499999999993</v>
      </c>
      <c r="T19" s="553">
        <f>'Prod&amp;Consp'!W26*$C$18/1000</f>
        <v>87.763499999999993</v>
      </c>
      <c r="U19" s="560">
        <f t="shared" si="1"/>
        <v>1023.4350000000002</v>
      </c>
      <c r="V19" s="565"/>
      <c r="W19" s="553">
        <f>'Prod&amp;Consp'!Z26*$C$18/1000</f>
        <v>87.763499999999993</v>
      </c>
      <c r="X19" s="553">
        <f>'Prod&amp;Consp'!AA26*$C$18/1000</f>
        <v>87.763499999999993</v>
      </c>
      <c r="Y19" s="553">
        <f>'Prod&amp;Consp'!AB26*$C$18/1000</f>
        <v>87.763499999999993</v>
      </c>
      <c r="Z19" s="553">
        <f>'Prod&amp;Consp'!AC26*$C$18/1000</f>
        <v>87.763499999999993</v>
      </c>
      <c r="AA19" s="553">
        <f>'Prod&amp;Consp'!AD26*$C$18/1000</f>
        <v>87.763499999999993</v>
      </c>
      <c r="AB19" s="553">
        <f>'Prod&amp;Consp'!AE26*$C$18/1000</f>
        <v>87.763499999999993</v>
      </c>
      <c r="AC19" s="553">
        <f>'Prod&amp;Consp'!AF26*$C$18/1000</f>
        <v>160.6635</v>
      </c>
      <c r="AD19" s="562">
        <f>'Prod&amp;Consp'!AG26*$C$18/1000</f>
        <v>160.6635</v>
      </c>
      <c r="AE19" s="553">
        <f>'Prod&amp;Consp'!AH26*$C$18/1000</f>
        <v>87.763499999999993</v>
      </c>
      <c r="AF19" s="553">
        <f>'Prod&amp;Consp'!AI26*$C$18/1000</f>
        <v>87.763499999999993</v>
      </c>
      <c r="AG19" s="553">
        <f>'Prod&amp;Consp'!AJ26*$C$18/1000</f>
        <v>87.763499999999993</v>
      </c>
      <c r="AH19" s="553">
        <f>'Prod&amp;Consp'!AK26*$C$18/1000</f>
        <v>87.763499999999993</v>
      </c>
      <c r="AI19" s="560">
        <f t="shared" si="2"/>
        <v>1198.962</v>
      </c>
      <c r="AJ19" s="565"/>
      <c r="AK19" s="553">
        <f>'Prod&amp;Consp'!AN26*$C$18/1000</f>
        <v>87.763499999999993</v>
      </c>
      <c r="AL19" s="553">
        <f>'Prod&amp;Consp'!AO26*$C$18/1000</f>
        <v>87.763499999999993</v>
      </c>
      <c r="AM19" s="553">
        <f>'Prod&amp;Consp'!AP26*$C$18/1000</f>
        <v>87.763499999999993</v>
      </c>
      <c r="AN19" s="553">
        <f>'Prod&amp;Consp'!AQ26*$C$18/1000</f>
        <v>87.763499999999993</v>
      </c>
      <c r="AO19" s="553">
        <f>'Prod&amp;Consp'!AR26*$C$18/1000</f>
        <v>87.763499999999993</v>
      </c>
      <c r="AP19" s="553">
        <f>'Prod&amp;Consp'!AS26*$C$18/1000</f>
        <v>87.763499999999993</v>
      </c>
      <c r="AQ19" s="553">
        <f>'Prod&amp;Consp'!AT26*$C$18/1000</f>
        <v>87.763499999999993</v>
      </c>
      <c r="AR19" s="553">
        <f>'Prod&amp;Consp'!AU26*$C$18/1000</f>
        <v>87.763499999999993</v>
      </c>
      <c r="AS19" s="553">
        <f>'Prod&amp;Consp'!AV26*$C$18/1000</f>
        <v>87.763499999999993</v>
      </c>
      <c r="AT19" s="553">
        <f>'Prod&amp;Consp'!AW26*$C$18/1000</f>
        <v>87.763499999999993</v>
      </c>
      <c r="AU19" s="553">
        <f>'Prod&amp;Consp'!AX26*$C$18/1000</f>
        <v>87.763499999999993</v>
      </c>
      <c r="AV19" s="553">
        <f>'Prod&amp;Consp'!AY26*$C$18/1000</f>
        <v>87.763499999999993</v>
      </c>
      <c r="AW19" s="560">
        <f t="shared" si="3"/>
        <v>1053.162</v>
      </c>
      <c r="AX19" s="565"/>
      <c r="AY19" s="553">
        <f>'Prod&amp;Consp'!BB26*$C$18/1000</f>
        <v>160.6635</v>
      </c>
      <c r="AZ19" s="562">
        <f>'Prod&amp;Consp'!BC26*$C$18/1000</f>
        <v>160.6635</v>
      </c>
      <c r="BA19" s="553">
        <f>'Prod&amp;Consp'!BD26*$C$18/1000</f>
        <v>87.763499999999993</v>
      </c>
      <c r="BB19" s="553">
        <f>'Prod&amp;Consp'!BE26*$C$18/1000</f>
        <v>87.763499999999993</v>
      </c>
      <c r="BC19" s="553">
        <f>'Prod&amp;Consp'!BF26*$C$18/1000</f>
        <v>87.763499999999993</v>
      </c>
      <c r="BD19" s="553">
        <f>'Prod&amp;Consp'!BG26*$C$18/1000</f>
        <v>87.763499999999993</v>
      </c>
      <c r="BE19" s="553">
        <f>'Prod&amp;Consp'!BH26*$C$18/1000</f>
        <v>87.763499999999993</v>
      </c>
      <c r="BF19" s="553">
        <f>'Prod&amp;Consp'!BI26*$C$18/1000</f>
        <v>87.763499999999993</v>
      </c>
      <c r="BG19" s="553">
        <f>'Prod&amp;Consp'!BJ26*$C$18/1000</f>
        <v>87.763499999999993</v>
      </c>
      <c r="BH19" s="553">
        <f>'Prod&amp;Consp'!BK26*$C$18/1000</f>
        <v>87.763499999999993</v>
      </c>
      <c r="BI19" s="553">
        <f>'Prod&amp;Consp'!BL26*$C$18/1000</f>
        <v>87.763499999999993</v>
      </c>
      <c r="BJ19" s="553">
        <f>'Prod&amp;Consp'!BM26*$C$18/1000</f>
        <v>87.763499999999993</v>
      </c>
      <c r="BK19" s="560">
        <f t="shared" si="4"/>
        <v>1198.9620000000002</v>
      </c>
      <c r="BL19" s="565"/>
      <c r="BM19" s="553">
        <f>'Prod&amp;Consp'!BP26*$C$18/1000</f>
        <v>87.763499999999993</v>
      </c>
      <c r="BN19" s="553">
        <f>'Prod&amp;Consp'!BQ26*$C$18/1000</f>
        <v>87.763499999999993</v>
      </c>
      <c r="BO19" s="553">
        <f>'Prod&amp;Consp'!BR26*$C$18/1000</f>
        <v>87.763499999999993</v>
      </c>
      <c r="BP19" s="553">
        <f>'Prod&amp;Consp'!BS26*$C$18/1000</f>
        <v>87.763499999999993</v>
      </c>
      <c r="BQ19" s="553">
        <f>'Prod&amp;Consp'!BT26*$C$18/1000</f>
        <v>87.763499999999993</v>
      </c>
      <c r="BR19" s="553">
        <f>'Prod&amp;Consp'!BU26*$C$18/1000</f>
        <v>87.763499999999993</v>
      </c>
      <c r="BS19" s="553">
        <f>'Prod&amp;Consp'!BV26*$C$18/1000</f>
        <v>160.6635</v>
      </c>
      <c r="BT19" s="562">
        <f>'Prod&amp;Consp'!BW26*$C$18/1000</f>
        <v>160.6635</v>
      </c>
      <c r="BU19" s="553">
        <f>'Prod&amp;Consp'!BX26*$C$18/1000</f>
        <v>87.763499999999993</v>
      </c>
      <c r="BV19" s="553">
        <f>'Prod&amp;Consp'!BY26*$C$18/1000</f>
        <v>87.763499999999993</v>
      </c>
      <c r="BW19" s="553">
        <f>'Prod&amp;Consp'!BZ26*$C$18/1000</f>
        <v>87.763499999999993</v>
      </c>
      <c r="BX19" s="553">
        <f>'Prod&amp;Consp'!CA26*$C$18/1000</f>
        <v>87.763499999999993</v>
      </c>
      <c r="BY19" s="560">
        <f t="shared" si="5"/>
        <v>1198.962</v>
      </c>
      <c r="BZ19" s="565"/>
      <c r="CA19" s="553">
        <f>'Prod&amp;Consp'!CD26*$C$18/1000</f>
        <v>87.763499999999993</v>
      </c>
      <c r="CB19" s="553">
        <f>'Prod&amp;Consp'!CE26*$C$18/1000</f>
        <v>87.763499999999993</v>
      </c>
      <c r="CC19" s="553">
        <f>'Prod&amp;Consp'!CF26*$C$18/1000</f>
        <v>87.763499999999993</v>
      </c>
      <c r="CD19" s="553">
        <f>'Prod&amp;Consp'!CG26*$C$18/1000</f>
        <v>87.763499999999993</v>
      </c>
      <c r="CE19" s="553">
        <f>'Prod&amp;Consp'!CH26*$C$18/1000</f>
        <v>87.763499999999993</v>
      </c>
      <c r="CF19" s="553">
        <f>'Prod&amp;Consp'!CI26*$C$18/1000</f>
        <v>87.763499999999993</v>
      </c>
      <c r="CG19" s="553">
        <f>'Prod&amp;Consp'!CJ26*$C$18/1000</f>
        <v>87.763499999999993</v>
      </c>
      <c r="CH19" s="553">
        <f>'Prod&amp;Consp'!CK26*$C$18/1000</f>
        <v>87.763499999999993</v>
      </c>
      <c r="CI19" s="553">
        <f>'Prod&amp;Consp'!CL26*$C$18/1000</f>
        <v>87.763499999999993</v>
      </c>
      <c r="CJ19" s="553">
        <f>'Prod&amp;Consp'!CM26*$C$18/1000</f>
        <v>87.763499999999993</v>
      </c>
      <c r="CK19" s="553">
        <f>'Prod&amp;Consp'!CN26*$C$18/1000</f>
        <v>87.763499999999993</v>
      </c>
      <c r="CL19" s="553">
        <f>'Prod&amp;Consp'!CO26*$C$18/1000</f>
        <v>87.763499999999993</v>
      </c>
      <c r="CM19" s="560">
        <f t="shared" si="6"/>
        <v>1053.162</v>
      </c>
      <c r="CN19" s="565"/>
      <c r="CO19" s="553">
        <f>'Prod&amp;Consp'!CR26*$C$18/1000</f>
        <v>160.6635</v>
      </c>
      <c r="CP19" s="562">
        <f>'Prod&amp;Consp'!CS26*$C$18/1000</f>
        <v>160.6635</v>
      </c>
      <c r="CQ19" s="553">
        <f>'Prod&amp;Consp'!CT26*$C$18/1000</f>
        <v>87.763499999999993</v>
      </c>
      <c r="CR19" s="553">
        <f>'Prod&amp;Consp'!CU26*$C$18/1000</f>
        <v>87.763499999999993</v>
      </c>
      <c r="CS19" s="553">
        <f>'Prod&amp;Consp'!CV26*$C$18/1000</f>
        <v>87.763499999999993</v>
      </c>
      <c r="CT19" s="553">
        <f>'Prod&amp;Consp'!CW26*$C$18/1000</f>
        <v>87.763499999999993</v>
      </c>
      <c r="CU19" s="553">
        <f>'Prod&amp;Consp'!CX26*$C$18/1000</f>
        <v>87.763499999999993</v>
      </c>
      <c r="CV19" s="553">
        <f>'Prod&amp;Consp'!CY26*$C$18/1000</f>
        <v>87.763499999999993</v>
      </c>
      <c r="CW19" s="553">
        <f>'Prod&amp;Consp'!CZ26*$C$18/1000</f>
        <v>87.763499999999993</v>
      </c>
      <c r="CX19" s="553">
        <f>'Prod&amp;Consp'!DA26*$C$18/1000</f>
        <v>87.763499999999993</v>
      </c>
      <c r="CY19" s="553">
        <f>'Prod&amp;Consp'!DB26*$C$18/1000</f>
        <v>87.763499999999993</v>
      </c>
      <c r="CZ19" s="553">
        <f>'Prod&amp;Consp'!DC26*$C$18/1000</f>
        <v>87.763499999999993</v>
      </c>
      <c r="DA19" s="560">
        <f t="shared" si="7"/>
        <v>1198.9620000000002</v>
      </c>
      <c r="DB19" s="565"/>
      <c r="DC19" s="553">
        <f>'Prod&amp;Consp'!DF26*$C$18/1000</f>
        <v>87.763499999999993</v>
      </c>
      <c r="DD19" s="553">
        <f>'Prod&amp;Consp'!DG26*$C$18/1000</f>
        <v>87.763499999999993</v>
      </c>
      <c r="DE19" s="553">
        <f>'Prod&amp;Consp'!DH26*$C$18/1000</f>
        <v>87.763499999999993</v>
      </c>
      <c r="DF19" s="553">
        <f>'Prod&amp;Consp'!DI26*$C$18/1000</f>
        <v>87.763499999999993</v>
      </c>
      <c r="DG19" s="553">
        <f>'Prod&amp;Consp'!DJ26*$C$18/1000</f>
        <v>87.763499999999993</v>
      </c>
      <c r="DH19" s="553">
        <f>'Prod&amp;Consp'!DK26*$C$18/1000</f>
        <v>87.763499999999993</v>
      </c>
      <c r="DI19" s="553">
        <f>'Prod&amp;Consp'!DL26*$C$18/1000</f>
        <v>160.6635</v>
      </c>
      <c r="DJ19" s="562">
        <f>'Prod&amp;Consp'!DM26*$C$18/1000</f>
        <v>160.6635</v>
      </c>
      <c r="DK19" s="553">
        <f>'Prod&amp;Consp'!DN26*$C$18/1000</f>
        <v>87.763499999999993</v>
      </c>
      <c r="DL19" s="553">
        <f>'Prod&amp;Consp'!DO26*$C$18/1000</f>
        <v>87.763499999999993</v>
      </c>
      <c r="DM19" s="553">
        <f>'Prod&amp;Consp'!DP26*$C$18/1000</f>
        <v>87.763499999999993</v>
      </c>
      <c r="DN19" s="553">
        <f>'Prod&amp;Consp'!DQ26*$C$18/1000</f>
        <v>87.763499999999993</v>
      </c>
      <c r="DO19" s="560">
        <f t="shared" si="8"/>
        <v>1198.962</v>
      </c>
      <c r="DP19" s="565"/>
      <c r="DQ19" s="553">
        <f>'Prod&amp;Consp'!DT26*$C$18/1000</f>
        <v>87.763499999999993</v>
      </c>
      <c r="DR19" s="553">
        <f>'Prod&amp;Consp'!DU26*$C$18/1000</f>
        <v>87.763499999999993</v>
      </c>
      <c r="DS19" s="553">
        <f>'Prod&amp;Consp'!DV26*$C$18/1000</f>
        <v>87.763499999999993</v>
      </c>
      <c r="DT19" s="553">
        <f>'Prod&amp;Consp'!DW26*$C$18/1000</f>
        <v>87.763499999999993</v>
      </c>
      <c r="DU19" s="553">
        <f>'Prod&amp;Consp'!DX26*$C$18/1000</f>
        <v>87.763499999999993</v>
      </c>
      <c r="DV19" s="553">
        <f>'Prod&amp;Consp'!DY26*$C$18/1000</f>
        <v>87.763499999999993</v>
      </c>
      <c r="DW19" s="553">
        <f>'Prod&amp;Consp'!DZ26*$C$18/1000</f>
        <v>87.763499999999993</v>
      </c>
      <c r="DX19" s="553">
        <f>'Prod&amp;Consp'!EA26*$C$18/1000</f>
        <v>87.763499999999993</v>
      </c>
      <c r="DY19" s="553">
        <f>'Prod&amp;Consp'!EB26*$C$18/1000</f>
        <v>87.763499999999993</v>
      </c>
      <c r="DZ19" s="553">
        <f>'Prod&amp;Consp'!EC26*$C$18/1000</f>
        <v>87.763499999999993</v>
      </c>
      <c r="EA19" s="553">
        <f>'Prod&amp;Consp'!ED26*$C$18/1000</f>
        <v>87.763499999999993</v>
      </c>
      <c r="EB19" s="553">
        <f>'Prod&amp;Consp'!EE26*$C$18/1000</f>
        <v>87.763499999999993</v>
      </c>
      <c r="EC19" s="560">
        <f t="shared" si="9"/>
        <v>1053.162</v>
      </c>
      <c r="ED19" s="565"/>
      <c r="EE19" s="553">
        <f>'Prod&amp;Consp'!EH26*$C$18/1000</f>
        <v>160.6635</v>
      </c>
      <c r="EF19" s="562">
        <f>'Prod&amp;Consp'!EI26*$C$18/1000</f>
        <v>160.6635</v>
      </c>
      <c r="EG19" s="553">
        <f>'Prod&amp;Consp'!EJ26*$C$18/1000</f>
        <v>87.763499999999993</v>
      </c>
      <c r="EH19" s="553">
        <f>'Prod&amp;Consp'!EK26*$C$18/1000</f>
        <v>87.763499999999993</v>
      </c>
      <c r="EI19" s="553">
        <f>'Prod&amp;Consp'!EL26*$C$18/1000</f>
        <v>87.763499999999993</v>
      </c>
      <c r="EJ19" s="553">
        <f>'Prod&amp;Consp'!EM26*$C$18/1000</f>
        <v>87.763499999999993</v>
      </c>
      <c r="EK19" s="553">
        <f>'Prod&amp;Consp'!EN26*$C$18/1000</f>
        <v>87.763499999999993</v>
      </c>
      <c r="EL19" s="553">
        <f>'Prod&amp;Consp'!EO26*$C$18/1000</f>
        <v>87.763499999999993</v>
      </c>
      <c r="EM19" s="553">
        <f>'Prod&amp;Consp'!EP26*$C$18/1000</f>
        <v>87.763499999999993</v>
      </c>
      <c r="EN19" s="553">
        <f>'Prod&amp;Consp'!EQ26*$C$18/1000</f>
        <v>87.763499999999993</v>
      </c>
      <c r="EO19" s="553">
        <f>'Prod&amp;Consp'!ER26*$C$18/1000</f>
        <v>87.763499999999993</v>
      </c>
      <c r="EP19" s="553">
        <f>'Prod&amp;Consp'!ES26*$C$18/1000</f>
        <v>87.763499999999993</v>
      </c>
      <c r="EQ19" s="560">
        <f t="shared" si="10"/>
        <v>1198.9620000000002</v>
      </c>
      <c r="ER19" s="565"/>
      <c r="ET19" s="536"/>
      <c r="EU19" s="531" t="s">
        <v>510</v>
      </c>
      <c r="EV19" s="4" t="s">
        <v>1018</v>
      </c>
      <c r="EW19" s="553">
        <f t="shared" si="11"/>
        <v>1023.4350000000002</v>
      </c>
      <c r="EX19" s="553">
        <f t="shared" si="12"/>
        <v>1198.962</v>
      </c>
      <c r="EY19" s="553">
        <f t="shared" si="13"/>
        <v>1053.162</v>
      </c>
      <c r="EZ19" s="553">
        <f t="shared" si="14"/>
        <v>1198.9620000000002</v>
      </c>
      <c r="FA19" s="553">
        <f t="shared" si="15"/>
        <v>1198.962</v>
      </c>
      <c r="FB19" s="553">
        <f t="shared" si="16"/>
        <v>1053.162</v>
      </c>
      <c r="FC19" s="553">
        <f t="shared" si="17"/>
        <v>1198.9620000000002</v>
      </c>
      <c r="FD19" s="553">
        <f t="shared" si="18"/>
        <v>1198.962</v>
      </c>
      <c r="FE19" s="553">
        <f t="shared" si="19"/>
        <v>1053.162</v>
      </c>
      <c r="FF19" s="553">
        <f t="shared" si="20"/>
        <v>1198.9620000000002</v>
      </c>
    </row>
    <row r="20" spans="1:162" ht="10.5" customHeight="1" x14ac:dyDescent="0.35">
      <c r="B20" s="557" t="s">
        <v>1013</v>
      </c>
      <c r="C20" s="553">
        <f>Asumsi!F60</f>
        <v>60000</v>
      </c>
      <c r="D20" s="575" t="s">
        <v>12</v>
      </c>
      <c r="F20" s="536"/>
      <c r="G20" s="531" t="s">
        <v>511</v>
      </c>
      <c r="H20" s="4" t="s">
        <v>1019</v>
      </c>
      <c r="I20" s="553">
        <f>'Prod&amp;Consp'!L27*$C$19/1000</f>
        <v>263.25</v>
      </c>
      <c r="J20" s="553">
        <f>'Prod&amp;Consp'!M27*$C$19/1000</f>
        <v>263.25</v>
      </c>
      <c r="K20" s="553">
        <f>'Prod&amp;Consp'!N27*$C$19/1000</f>
        <v>316.92374999999998</v>
      </c>
      <c r="L20" s="553">
        <f>'Prod&amp;Consp'!O27*$C$19/1000</f>
        <v>316.92374999999998</v>
      </c>
      <c r="M20" s="553">
        <f>'Prod&amp;Consp'!P27*$C$19/1000</f>
        <v>316.92374999999998</v>
      </c>
      <c r="N20" s="553">
        <f>'Prod&amp;Consp'!Q27*$C$19/1000</f>
        <v>316.92374999999998</v>
      </c>
      <c r="O20" s="553">
        <f>'Prod&amp;Consp'!R27*$C$19/1000</f>
        <v>316.92374999999998</v>
      </c>
      <c r="P20" s="553">
        <f>'Prod&amp;Consp'!S27*$C$19/1000</f>
        <v>316.92374999999998</v>
      </c>
      <c r="Q20" s="553">
        <f>'Prod&amp;Consp'!T27*$C$19/1000</f>
        <v>316.92374999999998</v>
      </c>
      <c r="R20" s="553">
        <f>'Prod&amp;Consp'!U27*$C$19/1000</f>
        <v>316.92374999999998</v>
      </c>
      <c r="S20" s="553">
        <f>'Prod&amp;Consp'!V27*$C$19/1000</f>
        <v>316.92374999999998</v>
      </c>
      <c r="T20" s="553">
        <f>'Prod&amp;Consp'!W27*$C$19/1000</f>
        <v>316.92374999999998</v>
      </c>
      <c r="U20" s="560">
        <f t="shared" si="1"/>
        <v>3695.7374999999993</v>
      </c>
      <c r="V20" s="565"/>
      <c r="W20" s="553">
        <f>'Prod&amp;Consp'!Z27*$C$19/1000</f>
        <v>316.92374999999998</v>
      </c>
      <c r="X20" s="553">
        <f>'Prod&amp;Consp'!AA27*$C$19/1000</f>
        <v>316.92374999999998</v>
      </c>
      <c r="Y20" s="553">
        <f>'Prod&amp;Consp'!AB27*$C$19/1000</f>
        <v>316.92374999999998</v>
      </c>
      <c r="Z20" s="553">
        <f>'Prod&amp;Consp'!AC27*$C$19/1000</f>
        <v>316.92374999999998</v>
      </c>
      <c r="AA20" s="553">
        <f>'Prod&amp;Consp'!AD27*$C$19/1000</f>
        <v>316.92374999999998</v>
      </c>
      <c r="AB20" s="553">
        <f>'Prod&amp;Consp'!AE27*$C$19/1000</f>
        <v>316.92374999999998</v>
      </c>
      <c r="AC20" s="553">
        <f>'Prod&amp;Consp'!AF27*$C$19/1000</f>
        <v>580.17375000000004</v>
      </c>
      <c r="AD20" s="562">
        <f>'Prod&amp;Consp'!AG27*$C$19/1000</f>
        <v>580.17375000000004</v>
      </c>
      <c r="AE20" s="553">
        <f>'Prod&amp;Consp'!AH27*$C$19/1000</f>
        <v>316.92374999999998</v>
      </c>
      <c r="AF20" s="553">
        <f>'Prod&amp;Consp'!AI27*$C$19/1000</f>
        <v>316.92374999999998</v>
      </c>
      <c r="AG20" s="553">
        <f>'Prod&amp;Consp'!AJ27*$C$19/1000</f>
        <v>316.92374999999998</v>
      </c>
      <c r="AH20" s="553">
        <f>'Prod&amp;Consp'!AK27*$C$19/1000</f>
        <v>316.92374999999998</v>
      </c>
      <c r="AI20" s="560">
        <f t="shared" si="2"/>
        <v>4329.585</v>
      </c>
      <c r="AJ20" s="565"/>
      <c r="AK20" s="553">
        <f>'Prod&amp;Consp'!AN27*$C$19/1000</f>
        <v>316.92374999999998</v>
      </c>
      <c r="AL20" s="553">
        <f>'Prod&amp;Consp'!AO27*$C$19/1000</f>
        <v>316.92374999999998</v>
      </c>
      <c r="AM20" s="553">
        <f>'Prod&amp;Consp'!AP27*$C$19/1000</f>
        <v>316.92374999999998</v>
      </c>
      <c r="AN20" s="553">
        <f>'Prod&amp;Consp'!AQ27*$C$19/1000</f>
        <v>316.92374999999998</v>
      </c>
      <c r="AO20" s="553">
        <f>'Prod&amp;Consp'!AR27*$C$19/1000</f>
        <v>316.92374999999998</v>
      </c>
      <c r="AP20" s="553">
        <f>'Prod&amp;Consp'!AS27*$C$19/1000</f>
        <v>316.92374999999998</v>
      </c>
      <c r="AQ20" s="553">
        <f>'Prod&amp;Consp'!AT27*$C$19/1000</f>
        <v>316.92374999999998</v>
      </c>
      <c r="AR20" s="553">
        <f>'Prod&amp;Consp'!AU27*$C$19/1000</f>
        <v>316.92374999999998</v>
      </c>
      <c r="AS20" s="553">
        <f>'Prod&amp;Consp'!AV27*$C$19/1000</f>
        <v>316.92374999999998</v>
      </c>
      <c r="AT20" s="553">
        <f>'Prod&amp;Consp'!AW27*$C$19/1000</f>
        <v>316.92374999999998</v>
      </c>
      <c r="AU20" s="553">
        <f>'Prod&amp;Consp'!AX27*$C$19/1000</f>
        <v>316.92374999999998</v>
      </c>
      <c r="AV20" s="553">
        <f>'Prod&amp;Consp'!AY27*$C$19/1000</f>
        <v>316.92374999999998</v>
      </c>
      <c r="AW20" s="560">
        <f t="shared" si="3"/>
        <v>3803.0849999999996</v>
      </c>
      <c r="AX20" s="565"/>
      <c r="AY20" s="553">
        <f>'Prod&amp;Consp'!BB27*$C$19/1000</f>
        <v>580.17375000000004</v>
      </c>
      <c r="AZ20" s="562">
        <f>'Prod&amp;Consp'!BC27*$C$19/1000</f>
        <v>580.17375000000004</v>
      </c>
      <c r="BA20" s="553">
        <f>'Prod&amp;Consp'!BD27*$C$19/1000</f>
        <v>316.92374999999998</v>
      </c>
      <c r="BB20" s="553">
        <f>'Prod&amp;Consp'!BE27*$C$19/1000</f>
        <v>316.92374999999998</v>
      </c>
      <c r="BC20" s="553">
        <f>'Prod&amp;Consp'!BF27*$C$19/1000</f>
        <v>316.92374999999998</v>
      </c>
      <c r="BD20" s="553">
        <f>'Prod&amp;Consp'!BG27*$C$19/1000</f>
        <v>316.92374999999998</v>
      </c>
      <c r="BE20" s="553">
        <f>'Prod&amp;Consp'!BH27*$C$19/1000</f>
        <v>316.92374999999998</v>
      </c>
      <c r="BF20" s="553">
        <f>'Prod&amp;Consp'!BI27*$C$19/1000</f>
        <v>316.92374999999998</v>
      </c>
      <c r="BG20" s="553">
        <f>'Prod&amp;Consp'!BJ27*$C$19/1000</f>
        <v>316.92374999999998</v>
      </c>
      <c r="BH20" s="553">
        <f>'Prod&amp;Consp'!BK27*$C$19/1000</f>
        <v>316.92374999999998</v>
      </c>
      <c r="BI20" s="553">
        <f>'Prod&amp;Consp'!BL27*$C$19/1000</f>
        <v>316.92374999999998</v>
      </c>
      <c r="BJ20" s="553">
        <f>'Prod&amp;Consp'!BM27*$C$19/1000</f>
        <v>316.92374999999998</v>
      </c>
      <c r="BK20" s="560">
        <f t="shared" si="4"/>
        <v>4329.585</v>
      </c>
      <c r="BL20" s="565"/>
      <c r="BM20" s="553">
        <f>'Prod&amp;Consp'!BP27*$C$19/1000</f>
        <v>316.92374999999998</v>
      </c>
      <c r="BN20" s="553">
        <f>'Prod&amp;Consp'!BQ27*$C$19/1000</f>
        <v>316.92374999999998</v>
      </c>
      <c r="BO20" s="553">
        <f>'Prod&amp;Consp'!BR27*$C$19/1000</f>
        <v>316.92374999999998</v>
      </c>
      <c r="BP20" s="553">
        <f>'Prod&amp;Consp'!BS27*$C$19/1000</f>
        <v>316.92374999999998</v>
      </c>
      <c r="BQ20" s="553">
        <f>'Prod&amp;Consp'!BT27*$C$19/1000</f>
        <v>316.92374999999998</v>
      </c>
      <c r="BR20" s="553">
        <f>'Prod&amp;Consp'!BU27*$C$19/1000</f>
        <v>316.92374999999998</v>
      </c>
      <c r="BS20" s="553">
        <f>'Prod&amp;Consp'!BV27*$C$19/1000</f>
        <v>580.17375000000004</v>
      </c>
      <c r="BT20" s="562">
        <f>'Prod&amp;Consp'!BW27*$C$19/1000</f>
        <v>580.17375000000004</v>
      </c>
      <c r="BU20" s="553">
        <f>'Prod&amp;Consp'!BX27*$C$19/1000</f>
        <v>316.92374999999998</v>
      </c>
      <c r="BV20" s="553">
        <f>'Prod&amp;Consp'!BY27*$C$19/1000</f>
        <v>316.92374999999998</v>
      </c>
      <c r="BW20" s="553">
        <f>'Prod&amp;Consp'!BZ27*$C$19/1000</f>
        <v>316.92374999999998</v>
      </c>
      <c r="BX20" s="553">
        <f>'Prod&amp;Consp'!CA27*$C$19/1000</f>
        <v>316.92374999999998</v>
      </c>
      <c r="BY20" s="560">
        <f t="shared" si="5"/>
        <v>4329.585</v>
      </c>
      <c r="BZ20" s="565"/>
      <c r="CA20" s="553">
        <f>'Prod&amp;Consp'!CD27*$C$19/1000</f>
        <v>316.92374999999998</v>
      </c>
      <c r="CB20" s="553">
        <f>'Prod&amp;Consp'!CE27*$C$19/1000</f>
        <v>316.92374999999998</v>
      </c>
      <c r="CC20" s="553">
        <f>'Prod&amp;Consp'!CF27*$C$19/1000</f>
        <v>316.92374999999998</v>
      </c>
      <c r="CD20" s="553">
        <f>'Prod&amp;Consp'!CG27*$C$19/1000</f>
        <v>316.92374999999998</v>
      </c>
      <c r="CE20" s="553">
        <f>'Prod&amp;Consp'!CH27*$C$19/1000</f>
        <v>316.92374999999998</v>
      </c>
      <c r="CF20" s="553">
        <f>'Prod&amp;Consp'!CI27*$C$19/1000</f>
        <v>316.92374999999998</v>
      </c>
      <c r="CG20" s="553">
        <f>'Prod&amp;Consp'!CJ27*$C$19/1000</f>
        <v>316.92374999999998</v>
      </c>
      <c r="CH20" s="553">
        <f>'Prod&amp;Consp'!CK27*$C$19/1000</f>
        <v>316.92374999999998</v>
      </c>
      <c r="CI20" s="553">
        <f>'Prod&amp;Consp'!CL27*$C$19/1000</f>
        <v>316.92374999999998</v>
      </c>
      <c r="CJ20" s="553">
        <f>'Prod&amp;Consp'!CM27*$C$19/1000</f>
        <v>316.92374999999998</v>
      </c>
      <c r="CK20" s="553">
        <f>'Prod&amp;Consp'!CN27*$C$19/1000</f>
        <v>316.92374999999998</v>
      </c>
      <c r="CL20" s="553">
        <f>'Prod&amp;Consp'!CO27*$C$19/1000</f>
        <v>316.92374999999998</v>
      </c>
      <c r="CM20" s="560">
        <f t="shared" si="6"/>
        <v>3803.0849999999996</v>
      </c>
      <c r="CN20" s="565"/>
      <c r="CO20" s="553">
        <f>'Prod&amp;Consp'!CR27*$C$19/1000</f>
        <v>580.17375000000004</v>
      </c>
      <c r="CP20" s="562">
        <f>'Prod&amp;Consp'!CS27*$C$19/1000</f>
        <v>580.17375000000004</v>
      </c>
      <c r="CQ20" s="553">
        <f>'Prod&amp;Consp'!CT27*$C$19/1000</f>
        <v>316.92374999999998</v>
      </c>
      <c r="CR20" s="553">
        <f>'Prod&amp;Consp'!CU27*$C$19/1000</f>
        <v>316.92374999999998</v>
      </c>
      <c r="CS20" s="553">
        <f>'Prod&amp;Consp'!CV27*$C$19/1000</f>
        <v>316.92374999999998</v>
      </c>
      <c r="CT20" s="553">
        <f>'Prod&amp;Consp'!CW27*$C$19/1000</f>
        <v>316.92374999999998</v>
      </c>
      <c r="CU20" s="553">
        <f>'Prod&amp;Consp'!CX27*$C$19/1000</f>
        <v>316.92374999999998</v>
      </c>
      <c r="CV20" s="553">
        <f>'Prod&amp;Consp'!CY27*$C$19/1000</f>
        <v>316.92374999999998</v>
      </c>
      <c r="CW20" s="553">
        <f>'Prod&amp;Consp'!CZ27*$C$19/1000</f>
        <v>316.92374999999998</v>
      </c>
      <c r="CX20" s="553">
        <f>'Prod&amp;Consp'!DA27*$C$19/1000</f>
        <v>316.92374999999998</v>
      </c>
      <c r="CY20" s="553">
        <f>'Prod&amp;Consp'!DB27*$C$19/1000</f>
        <v>316.92374999999998</v>
      </c>
      <c r="CZ20" s="553">
        <f>'Prod&amp;Consp'!DC27*$C$19/1000</f>
        <v>316.92374999999998</v>
      </c>
      <c r="DA20" s="560">
        <f t="shared" si="7"/>
        <v>4329.585</v>
      </c>
      <c r="DB20" s="565"/>
      <c r="DC20" s="553">
        <f>'Prod&amp;Consp'!DF27*$C$19/1000</f>
        <v>316.92374999999998</v>
      </c>
      <c r="DD20" s="553">
        <f>'Prod&amp;Consp'!DG27*$C$19/1000</f>
        <v>316.92374999999998</v>
      </c>
      <c r="DE20" s="553">
        <f>'Prod&amp;Consp'!DH27*$C$19/1000</f>
        <v>316.92374999999998</v>
      </c>
      <c r="DF20" s="553">
        <f>'Prod&amp;Consp'!DI27*$C$19/1000</f>
        <v>316.92374999999998</v>
      </c>
      <c r="DG20" s="553">
        <f>'Prod&amp;Consp'!DJ27*$C$19/1000</f>
        <v>316.92374999999998</v>
      </c>
      <c r="DH20" s="553">
        <f>'Prod&amp;Consp'!DK27*$C$19/1000</f>
        <v>316.92374999999998</v>
      </c>
      <c r="DI20" s="553">
        <f>'Prod&amp;Consp'!DL27*$C$19/1000</f>
        <v>580.17375000000004</v>
      </c>
      <c r="DJ20" s="562">
        <f>'Prod&amp;Consp'!DM27*$C$19/1000</f>
        <v>580.17375000000004</v>
      </c>
      <c r="DK20" s="553">
        <f>'Prod&amp;Consp'!DN27*$C$19/1000</f>
        <v>316.92374999999998</v>
      </c>
      <c r="DL20" s="553">
        <f>'Prod&amp;Consp'!DO27*$C$19/1000</f>
        <v>316.92374999999998</v>
      </c>
      <c r="DM20" s="553">
        <f>'Prod&amp;Consp'!DP27*$C$19/1000</f>
        <v>316.92374999999998</v>
      </c>
      <c r="DN20" s="553">
        <f>'Prod&amp;Consp'!DQ27*$C$19/1000</f>
        <v>316.92374999999998</v>
      </c>
      <c r="DO20" s="560">
        <f t="shared" si="8"/>
        <v>4329.585</v>
      </c>
      <c r="DP20" s="565"/>
      <c r="DQ20" s="553">
        <f>'Prod&amp;Consp'!DT27*$C$19/1000</f>
        <v>316.92374999999998</v>
      </c>
      <c r="DR20" s="553">
        <f>'Prod&amp;Consp'!DU27*$C$19/1000</f>
        <v>316.92374999999998</v>
      </c>
      <c r="DS20" s="553">
        <f>'Prod&amp;Consp'!DV27*$C$19/1000</f>
        <v>316.92374999999998</v>
      </c>
      <c r="DT20" s="553">
        <f>'Prod&amp;Consp'!DW27*$C$19/1000</f>
        <v>316.92374999999998</v>
      </c>
      <c r="DU20" s="553">
        <f>'Prod&amp;Consp'!DX27*$C$19/1000</f>
        <v>316.92374999999998</v>
      </c>
      <c r="DV20" s="553">
        <f>'Prod&amp;Consp'!DY27*$C$19/1000</f>
        <v>316.92374999999998</v>
      </c>
      <c r="DW20" s="553">
        <f>'Prod&amp;Consp'!DZ27*$C$19/1000</f>
        <v>316.92374999999998</v>
      </c>
      <c r="DX20" s="553">
        <f>'Prod&amp;Consp'!EA27*$C$19/1000</f>
        <v>316.92374999999998</v>
      </c>
      <c r="DY20" s="553">
        <f>'Prod&amp;Consp'!EB27*$C$19/1000</f>
        <v>316.92374999999998</v>
      </c>
      <c r="DZ20" s="553">
        <f>'Prod&amp;Consp'!EC27*$C$19/1000</f>
        <v>316.92374999999998</v>
      </c>
      <c r="EA20" s="553">
        <f>'Prod&amp;Consp'!ED27*$C$19/1000</f>
        <v>316.92374999999998</v>
      </c>
      <c r="EB20" s="553">
        <f>'Prod&amp;Consp'!EE27*$C$19/1000</f>
        <v>316.92374999999998</v>
      </c>
      <c r="EC20" s="560">
        <f t="shared" si="9"/>
        <v>3803.0849999999996</v>
      </c>
      <c r="ED20" s="565"/>
      <c r="EE20" s="553">
        <f>'Prod&amp;Consp'!EH27*$C$19/1000</f>
        <v>580.17375000000004</v>
      </c>
      <c r="EF20" s="562">
        <f>'Prod&amp;Consp'!EI27*$C$19/1000</f>
        <v>580.17375000000004</v>
      </c>
      <c r="EG20" s="553">
        <f>'Prod&amp;Consp'!EJ27*$C$19/1000</f>
        <v>316.92374999999998</v>
      </c>
      <c r="EH20" s="553">
        <f>'Prod&amp;Consp'!EK27*$C$19/1000</f>
        <v>316.92374999999998</v>
      </c>
      <c r="EI20" s="553">
        <f>'Prod&amp;Consp'!EL27*$C$19/1000</f>
        <v>316.92374999999998</v>
      </c>
      <c r="EJ20" s="553">
        <f>'Prod&amp;Consp'!EM27*$C$19/1000</f>
        <v>316.92374999999998</v>
      </c>
      <c r="EK20" s="553">
        <f>'Prod&amp;Consp'!EN27*$C$19/1000</f>
        <v>316.92374999999998</v>
      </c>
      <c r="EL20" s="553">
        <f>'Prod&amp;Consp'!EO27*$C$19/1000</f>
        <v>316.92374999999998</v>
      </c>
      <c r="EM20" s="553">
        <f>'Prod&amp;Consp'!EP27*$C$19/1000</f>
        <v>316.92374999999998</v>
      </c>
      <c r="EN20" s="553">
        <f>'Prod&amp;Consp'!EQ27*$C$19/1000</f>
        <v>316.92374999999998</v>
      </c>
      <c r="EO20" s="553">
        <f>'Prod&amp;Consp'!ER27*$C$19/1000</f>
        <v>316.92374999999998</v>
      </c>
      <c r="EP20" s="553">
        <f>'Prod&amp;Consp'!ES27*$C$19/1000</f>
        <v>316.92374999999998</v>
      </c>
      <c r="EQ20" s="560">
        <f t="shared" si="10"/>
        <v>4329.585</v>
      </c>
      <c r="ER20" s="565"/>
      <c r="ET20" s="536"/>
      <c r="EU20" s="531" t="s">
        <v>511</v>
      </c>
      <c r="EV20" s="4" t="s">
        <v>1019</v>
      </c>
      <c r="EW20" s="553">
        <f t="shared" si="11"/>
        <v>3695.7374999999993</v>
      </c>
      <c r="EX20" s="553">
        <f t="shared" si="12"/>
        <v>4329.585</v>
      </c>
      <c r="EY20" s="553">
        <f t="shared" si="13"/>
        <v>3803.0849999999996</v>
      </c>
      <c r="EZ20" s="553">
        <f t="shared" si="14"/>
        <v>4329.585</v>
      </c>
      <c r="FA20" s="553">
        <f t="shared" si="15"/>
        <v>4329.585</v>
      </c>
      <c r="FB20" s="553">
        <f t="shared" si="16"/>
        <v>3803.0849999999996</v>
      </c>
      <c r="FC20" s="553">
        <f t="shared" si="17"/>
        <v>4329.585</v>
      </c>
      <c r="FD20" s="553">
        <f t="shared" si="18"/>
        <v>4329.585</v>
      </c>
      <c r="FE20" s="553">
        <f t="shared" si="19"/>
        <v>3803.0849999999996</v>
      </c>
      <c r="FF20" s="553">
        <f t="shared" si="20"/>
        <v>4329.585</v>
      </c>
    </row>
    <row r="21" spans="1:162" ht="10.5" customHeight="1" x14ac:dyDescent="0.35">
      <c r="B21" s="557" t="s">
        <v>1014</v>
      </c>
      <c r="C21" s="553">
        <f>Asumsi!F61</f>
        <v>30000</v>
      </c>
      <c r="D21" s="575" t="s">
        <v>12</v>
      </c>
      <c r="F21" s="536"/>
      <c r="G21" s="531" t="s">
        <v>526</v>
      </c>
      <c r="H21" s="4" t="s">
        <v>1020</v>
      </c>
      <c r="I21" s="553">
        <f>'Prod&amp;Consp'!L28*$C$20/1000</f>
        <v>340.2</v>
      </c>
      <c r="J21" s="553">
        <f>'Prod&amp;Consp'!M28*$C$20/1000</f>
        <v>340.2</v>
      </c>
      <c r="K21" s="553">
        <f>'Prod&amp;Consp'!N28*$C$20/1000</f>
        <v>409.56299999999993</v>
      </c>
      <c r="L21" s="553">
        <f>'Prod&amp;Consp'!O28*$C$20/1000</f>
        <v>409.56299999999993</v>
      </c>
      <c r="M21" s="553">
        <f>'Prod&amp;Consp'!P28*$C$20/1000</f>
        <v>409.56299999999993</v>
      </c>
      <c r="N21" s="553">
        <f>'Prod&amp;Consp'!Q28*$C$20/1000</f>
        <v>409.56299999999993</v>
      </c>
      <c r="O21" s="553">
        <f>'Prod&amp;Consp'!R28*$C$20/1000</f>
        <v>409.56299999999993</v>
      </c>
      <c r="P21" s="553">
        <f>'Prod&amp;Consp'!S28*$C$20/1000</f>
        <v>409.56299999999993</v>
      </c>
      <c r="Q21" s="553">
        <f>'Prod&amp;Consp'!T28*$C$20/1000</f>
        <v>409.56299999999993</v>
      </c>
      <c r="R21" s="553">
        <f>'Prod&amp;Consp'!U28*$C$20/1000</f>
        <v>409.56299999999993</v>
      </c>
      <c r="S21" s="553">
        <f>'Prod&amp;Consp'!V28*$C$20/1000</f>
        <v>409.56299999999993</v>
      </c>
      <c r="T21" s="553">
        <f>'Prod&amp;Consp'!W28*$C$20/1000</f>
        <v>409.56299999999993</v>
      </c>
      <c r="U21" s="560">
        <f t="shared" si="1"/>
        <v>4776.03</v>
      </c>
      <c r="V21" s="565"/>
      <c r="W21" s="553">
        <f>'Prod&amp;Consp'!Z28*$C$20/1000</f>
        <v>409.56299999999993</v>
      </c>
      <c r="X21" s="553">
        <f>'Prod&amp;Consp'!AA28*$C$20/1000</f>
        <v>409.56299999999993</v>
      </c>
      <c r="Y21" s="553">
        <f>'Prod&amp;Consp'!AB28*$C$20/1000</f>
        <v>409.56299999999993</v>
      </c>
      <c r="Z21" s="553">
        <f>'Prod&amp;Consp'!AC28*$C$20/1000</f>
        <v>409.56299999999993</v>
      </c>
      <c r="AA21" s="553">
        <f>'Prod&amp;Consp'!AD28*$C$20/1000</f>
        <v>409.56299999999993</v>
      </c>
      <c r="AB21" s="553">
        <f>'Prod&amp;Consp'!AE28*$C$20/1000</f>
        <v>409.56299999999993</v>
      </c>
      <c r="AC21" s="553">
        <f>'Prod&amp;Consp'!AF28*$C$20/1000</f>
        <v>749.76300000000003</v>
      </c>
      <c r="AD21" s="562">
        <f>'Prod&amp;Consp'!AG28*$C$20/1000</f>
        <v>749.76300000000003</v>
      </c>
      <c r="AE21" s="553">
        <f>'Prod&amp;Consp'!AH28*$C$20/1000</f>
        <v>409.56299999999993</v>
      </c>
      <c r="AF21" s="553">
        <f>'Prod&amp;Consp'!AI28*$C$20/1000</f>
        <v>409.56299999999993</v>
      </c>
      <c r="AG21" s="553">
        <f>'Prod&amp;Consp'!AJ28*$C$20/1000</f>
        <v>409.56299999999993</v>
      </c>
      <c r="AH21" s="553">
        <f>'Prod&amp;Consp'!AK28*$C$20/1000</f>
        <v>409.56299999999993</v>
      </c>
      <c r="AI21" s="560">
        <f t="shared" si="2"/>
        <v>5595.1559999999999</v>
      </c>
      <c r="AJ21" s="565"/>
      <c r="AK21" s="553">
        <f>'Prod&amp;Consp'!AN28*$C$20/1000</f>
        <v>409.56299999999993</v>
      </c>
      <c r="AL21" s="553">
        <f>'Prod&amp;Consp'!AO28*$C$20/1000</f>
        <v>409.56299999999993</v>
      </c>
      <c r="AM21" s="553">
        <f>'Prod&amp;Consp'!AP28*$C$20/1000</f>
        <v>409.56299999999993</v>
      </c>
      <c r="AN21" s="553">
        <f>'Prod&amp;Consp'!AQ28*$C$20/1000</f>
        <v>409.56299999999993</v>
      </c>
      <c r="AO21" s="553">
        <f>'Prod&amp;Consp'!AR28*$C$20/1000</f>
        <v>409.56299999999993</v>
      </c>
      <c r="AP21" s="553">
        <f>'Prod&amp;Consp'!AS28*$C$20/1000</f>
        <v>409.56299999999993</v>
      </c>
      <c r="AQ21" s="553">
        <f>'Prod&amp;Consp'!AT28*$C$20/1000</f>
        <v>409.56299999999993</v>
      </c>
      <c r="AR21" s="553">
        <f>'Prod&amp;Consp'!AU28*$C$20/1000</f>
        <v>409.56299999999993</v>
      </c>
      <c r="AS21" s="553">
        <f>'Prod&amp;Consp'!AV28*$C$20/1000</f>
        <v>409.56299999999993</v>
      </c>
      <c r="AT21" s="553">
        <f>'Prod&amp;Consp'!AW28*$C$20/1000</f>
        <v>409.56299999999993</v>
      </c>
      <c r="AU21" s="553">
        <f>'Prod&amp;Consp'!AX28*$C$20/1000</f>
        <v>409.56299999999993</v>
      </c>
      <c r="AV21" s="553">
        <f>'Prod&amp;Consp'!AY28*$C$20/1000</f>
        <v>409.56299999999993</v>
      </c>
      <c r="AW21" s="560">
        <f t="shared" si="3"/>
        <v>4914.7560000000003</v>
      </c>
      <c r="AX21" s="565"/>
      <c r="AY21" s="553">
        <f>'Prod&amp;Consp'!BB28*$C$20/1000</f>
        <v>749.76300000000003</v>
      </c>
      <c r="AZ21" s="562">
        <f>'Prod&amp;Consp'!BC28*$C$20/1000</f>
        <v>749.76300000000003</v>
      </c>
      <c r="BA21" s="553">
        <f>'Prod&amp;Consp'!BD28*$C$20/1000</f>
        <v>409.56299999999993</v>
      </c>
      <c r="BB21" s="553">
        <f>'Prod&amp;Consp'!BE28*$C$20/1000</f>
        <v>409.56299999999993</v>
      </c>
      <c r="BC21" s="553">
        <f>'Prod&amp;Consp'!BF28*$C$20/1000</f>
        <v>409.56299999999993</v>
      </c>
      <c r="BD21" s="553">
        <f>'Prod&amp;Consp'!BG28*$C$20/1000</f>
        <v>409.56299999999993</v>
      </c>
      <c r="BE21" s="553">
        <f>'Prod&amp;Consp'!BH28*$C$20/1000</f>
        <v>409.56299999999993</v>
      </c>
      <c r="BF21" s="553">
        <f>'Prod&amp;Consp'!BI28*$C$20/1000</f>
        <v>409.56299999999993</v>
      </c>
      <c r="BG21" s="553">
        <f>'Prod&amp;Consp'!BJ28*$C$20/1000</f>
        <v>409.56299999999993</v>
      </c>
      <c r="BH21" s="553">
        <f>'Prod&amp;Consp'!BK28*$C$20/1000</f>
        <v>409.56299999999993</v>
      </c>
      <c r="BI21" s="553">
        <f>'Prod&amp;Consp'!BL28*$C$20/1000</f>
        <v>409.56299999999993</v>
      </c>
      <c r="BJ21" s="553">
        <f>'Prod&amp;Consp'!BM28*$C$20/1000</f>
        <v>409.56299999999993</v>
      </c>
      <c r="BK21" s="560">
        <f t="shared" si="4"/>
        <v>5595.1560000000009</v>
      </c>
      <c r="BL21" s="565"/>
      <c r="BM21" s="553">
        <f>'Prod&amp;Consp'!BP28*$C$20/1000</f>
        <v>409.56299999999993</v>
      </c>
      <c r="BN21" s="553">
        <f>'Prod&amp;Consp'!BQ28*$C$20/1000</f>
        <v>409.56299999999993</v>
      </c>
      <c r="BO21" s="553">
        <f>'Prod&amp;Consp'!BR28*$C$20/1000</f>
        <v>409.56299999999993</v>
      </c>
      <c r="BP21" s="553">
        <f>'Prod&amp;Consp'!BS28*$C$20/1000</f>
        <v>409.56299999999993</v>
      </c>
      <c r="BQ21" s="553">
        <f>'Prod&amp;Consp'!BT28*$C$20/1000</f>
        <v>409.56299999999993</v>
      </c>
      <c r="BR21" s="553">
        <f>'Prod&amp;Consp'!BU28*$C$20/1000</f>
        <v>409.56299999999993</v>
      </c>
      <c r="BS21" s="553">
        <f>'Prod&amp;Consp'!BV28*$C$20/1000</f>
        <v>749.76300000000003</v>
      </c>
      <c r="BT21" s="562">
        <f>'Prod&amp;Consp'!BW28*$C$20/1000</f>
        <v>749.76300000000003</v>
      </c>
      <c r="BU21" s="553">
        <f>'Prod&amp;Consp'!BX28*$C$20/1000</f>
        <v>409.56299999999993</v>
      </c>
      <c r="BV21" s="553">
        <f>'Prod&amp;Consp'!BY28*$C$20/1000</f>
        <v>409.56299999999993</v>
      </c>
      <c r="BW21" s="553">
        <f>'Prod&amp;Consp'!BZ28*$C$20/1000</f>
        <v>409.56299999999993</v>
      </c>
      <c r="BX21" s="553">
        <f>'Prod&amp;Consp'!CA28*$C$20/1000</f>
        <v>409.56299999999993</v>
      </c>
      <c r="BY21" s="560">
        <f t="shared" si="5"/>
        <v>5595.1559999999999</v>
      </c>
      <c r="BZ21" s="565"/>
      <c r="CA21" s="553">
        <f>'Prod&amp;Consp'!CD28*$C$20/1000</f>
        <v>409.56299999999993</v>
      </c>
      <c r="CB21" s="553">
        <f>'Prod&amp;Consp'!CE28*$C$20/1000</f>
        <v>409.56299999999993</v>
      </c>
      <c r="CC21" s="553">
        <f>'Prod&amp;Consp'!CF28*$C$20/1000</f>
        <v>409.56299999999993</v>
      </c>
      <c r="CD21" s="553">
        <f>'Prod&amp;Consp'!CG28*$C$20/1000</f>
        <v>409.56299999999993</v>
      </c>
      <c r="CE21" s="553">
        <f>'Prod&amp;Consp'!CH28*$C$20/1000</f>
        <v>409.56299999999993</v>
      </c>
      <c r="CF21" s="553">
        <f>'Prod&amp;Consp'!CI28*$C$20/1000</f>
        <v>409.56299999999993</v>
      </c>
      <c r="CG21" s="553">
        <f>'Prod&amp;Consp'!CJ28*$C$20/1000</f>
        <v>409.56299999999993</v>
      </c>
      <c r="CH21" s="553">
        <f>'Prod&amp;Consp'!CK28*$C$20/1000</f>
        <v>409.56299999999993</v>
      </c>
      <c r="CI21" s="553">
        <f>'Prod&amp;Consp'!CL28*$C$20/1000</f>
        <v>409.56299999999993</v>
      </c>
      <c r="CJ21" s="553">
        <f>'Prod&amp;Consp'!CM28*$C$20/1000</f>
        <v>409.56299999999993</v>
      </c>
      <c r="CK21" s="553">
        <f>'Prod&amp;Consp'!CN28*$C$20/1000</f>
        <v>409.56299999999993</v>
      </c>
      <c r="CL21" s="553">
        <f>'Prod&amp;Consp'!CO28*$C$20/1000</f>
        <v>409.56299999999993</v>
      </c>
      <c r="CM21" s="560">
        <f t="shared" si="6"/>
        <v>4914.7560000000003</v>
      </c>
      <c r="CN21" s="565"/>
      <c r="CO21" s="553">
        <f>'Prod&amp;Consp'!CR28*$C$20/1000</f>
        <v>749.76300000000003</v>
      </c>
      <c r="CP21" s="562">
        <f>'Prod&amp;Consp'!CS28*$C$20/1000</f>
        <v>749.76300000000003</v>
      </c>
      <c r="CQ21" s="553">
        <f>'Prod&amp;Consp'!CT28*$C$20/1000</f>
        <v>409.56299999999993</v>
      </c>
      <c r="CR21" s="553">
        <f>'Prod&amp;Consp'!CU28*$C$20/1000</f>
        <v>409.56299999999993</v>
      </c>
      <c r="CS21" s="553">
        <f>'Prod&amp;Consp'!CV28*$C$20/1000</f>
        <v>409.56299999999993</v>
      </c>
      <c r="CT21" s="553">
        <f>'Prod&amp;Consp'!CW28*$C$20/1000</f>
        <v>409.56299999999993</v>
      </c>
      <c r="CU21" s="553">
        <f>'Prod&amp;Consp'!CX28*$C$20/1000</f>
        <v>409.56299999999993</v>
      </c>
      <c r="CV21" s="553">
        <f>'Prod&amp;Consp'!CY28*$C$20/1000</f>
        <v>409.56299999999993</v>
      </c>
      <c r="CW21" s="553">
        <f>'Prod&amp;Consp'!CZ28*$C$20/1000</f>
        <v>409.56299999999993</v>
      </c>
      <c r="CX21" s="553">
        <f>'Prod&amp;Consp'!DA28*$C$20/1000</f>
        <v>409.56299999999993</v>
      </c>
      <c r="CY21" s="553">
        <f>'Prod&amp;Consp'!DB28*$C$20/1000</f>
        <v>409.56299999999993</v>
      </c>
      <c r="CZ21" s="553">
        <f>'Prod&amp;Consp'!DC28*$C$20/1000</f>
        <v>409.56299999999993</v>
      </c>
      <c r="DA21" s="560">
        <f t="shared" si="7"/>
        <v>5595.1560000000009</v>
      </c>
      <c r="DB21" s="565"/>
      <c r="DC21" s="553">
        <f>'Prod&amp;Consp'!DF28*$C$20/1000</f>
        <v>409.56299999999993</v>
      </c>
      <c r="DD21" s="553">
        <f>'Prod&amp;Consp'!DG28*$C$20/1000</f>
        <v>409.56299999999993</v>
      </c>
      <c r="DE21" s="553">
        <f>'Prod&amp;Consp'!DH28*$C$20/1000</f>
        <v>409.56299999999993</v>
      </c>
      <c r="DF21" s="553">
        <f>'Prod&amp;Consp'!DI28*$C$20/1000</f>
        <v>409.56299999999993</v>
      </c>
      <c r="DG21" s="553">
        <f>'Prod&amp;Consp'!DJ28*$C$20/1000</f>
        <v>409.56299999999993</v>
      </c>
      <c r="DH21" s="553">
        <f>'Prod&amp;Consp'!DK28*$C$20/1000</f>
        <v>409.56299999999993</v>
      </c>
      <c r="DI21" s="553">
        <f>'Prod&amp;Consp'!DL28*$C$20/1000</f>
        <v>749.76300000000003</v>
      </c>
      <c r="DJ21" s="562">
        <f>'Prod&amp;Consp'!DM28*$C$20/1000</f>
        <v>749.76300000000003</v>
      </c>
      <c r="DK21" s="553">
        <f>'Prod&amp;Consp'!DN28*$C$20/1000</f>
        <v>409.56299999999993</v>
      </c>
      <c r="DL21" s="553">
        <f>'Prod&amp;Consp'!DO28*$C$20/1000</f>
        <v>409.56299999999993</v>
      </c>
      <c r="DM21" s="553">
        <f>'Prod&amp;Consp'!DP28*$C$20/1000</f>
        <v>409.56299999999993</v>
      </c>
      <c r="DN21" s="553">
        <f>'Prod&amp;Consp'!DQ28*$C$20/1000</f>
        <v>409.56299999999993</v>
      </c>
      <c r="DO21" s="560">
        <f t="shared" si="8"/>
        <v>5595.1559999999999</v>
      </c>
      <c r="DP21" s="565"/>
      <c r="DQ21" s="553">
        <f>'Prod&amp;Consp'!DT28*$C$20/1000</f>
        <v>409.56299999999993</v>
      </c>
      <c r="DR21" s="553">
        <f>'Prod&amp;Consp'!DU28*$C$20/1000</f>
        <v>409.56299999999993</v>
      </c>
      <c r="DS21" s="553">
        <f>'Prod&amp;Consp'!DV28*$C$20/1000</f>
        <v>409.56299999999993</v>
      </c>
      <c r="DT21" s="553">
        <f>'Prod&amp;Consp'!DW28*$C$20/1000</f>
        <v>409.56299999999993</v>
      </c>
      <c r="DU21" s="553">
        <f>'Prod&amp;Consp'!DX28*$C$20/1000</f>
        <v>409.56299999999993</v>
      </c>
      <c r="DV21" s="553">
        <f>'Prod&amp;Consp'!DY28*$C$20/1000</f>
        <v>409.56299999999993</v>
      </c>
      <c r="DW21" s="553">
        <f>'Prod&amp;Consp'!DZ28*$C$20/1000</f>
        <v>409.56299999999993</v>
      </c>
      <c r="DX21" s="553">
        <f>'Prod&amp;Consp'!EA28*$C$20/1000</f>
        <v>409.56299999999993</v>
      </c>
      <c r="DY21" s="553">
        <f>'Prod&amp;Consp'!EB28*$C$20/1000</f>
        <v>409.56299999999993</v>
      </c>
      <c r="DZ21" s="553">
        <f>'Prod&amp;Consp'!EC28*$C$20/1000</f>
        <v>409.56299999999993</v>
      </c>
      <c r="EA21" s="553">
        <f>'Prod&amp;Consp'!ED28*$C$20/1000</f>
        <v>409.56299999999993</v>
      </c>
      <c r="EB21" s="553">
        <f>'Prod&amp;Consp'!EE28*$C$20/1000</f>
        <v>409.56299999999993</v>
      </c>
      <c r="EC21" s="560">
        <f t="shared" si="9"/>
        <v>4914.7560000000003</v>
      </c>
      <c r="ED21" s="565"/>
      <c r="EE21" s="553">
        <f>'Prod&amp;Consp'!EH28*$C$20/1000</f>
        <v>749.76300000000003</v>
      </c>
      <c r="EF21" s="562">
        <f>'Prod&amp;Consp'!EI28*$C$20/1000</f>
        <v>749.76300000000003</v>
      </c>
      <c r="EG21" s="553">
        <f>'Prod&amp;Consp'!EJ28*$C$20/1000</f>
        <v>409.56299999999993</v>
      </c>
      <c r="EH21" s="553">
        <f>'Prod&amp;Consp'!EK28*$C$20/1000</f>
        <v>409.56299999999993</v>
      </c>
      <c r="EI21" s="553">
        <f>'Prod&amp;Consp'!EL28*$C$20/1000</f>
        <v>409.56299999999993</v>
      </c>
      <c r="EJ21" s="553">
        <f>'Prod&amp;Consp'!EM28*$C$20/1000</f>
        <v>409.56299999999993</v>
      </c>
      <c r="EK21" s="553">
        <f>'Prod&amp;Consp'!EN28*$C$20/1000</f>
        <v>409.56299999999993</v>
      </c>
      <c r="EL21" s="553">
        <f>'Prod&amp;Consp'!EO28*$C$20/1000</f>
        <v>409.56299999999993</v>
      </c>
      <c r="EM21" s="553">
        <f>'Prod&amp;Consp'!EP28*$C$20/1000</f>
        <v>409.56299999999993</v>
      </c>
      <c r="EN21" s="553">
        <f>'Prod&amp;Consp'!EQ28*$C$20/1000</f>
        <v>409.56299999999993</v>
      </c>
      <c r="EO21" s="553">
        <f>'Prod&amp;Consp'!ER28*$C$20/1000</f>
        <v>409.56299999999993</v>
      </c>
      <c r="EP21" s="553">
        <f>'Prod&amp;Consp'!ES28*$C$20/1000</f>
        <v>409.56299999999993</v>
      </c>
      <c r="EQ21" s="560">
        <f t="shared" si="10"/>
        <v>5595.1560000000009</v>
      </c>
      <c r="ER21" s="565"/>
      <c r="ET21" s="536"/>
      <c r="EU21" s="531" t="s">
        <v>526</v>
      </c>
      <c r="EV21" s="4" t="s">
        <v>1020</v>
      </c>
      <c r="EW21" s="553">
        <f t="shared" si="11"/>
        <v>4776.03</v>
      </c>
      <c r="EX21" s="553">
        <f t="shared" si="12"/>
        <v>5595.1559999999999</v>
      </c>
      <c r="EY21" s="553">
        <f t="shared" si="13"/>
        <v>4914.7560000000003</v>
      </c>
      <c r="EZ21" s="553">
        <f t="shared" si="14"/>
        <v>5595.1560000000009</v>
      </c>
      <c r="FA21" s="553">
        <f t="shared" si="15"/>
        <v>5595.1559999999999</v>
      </c>
      <c r="FB21" s="553">
        <f t="shared" si="16"/>
        <v>4914.7560000000003</v>
      </c>
      <c r="FC21" s="553">
        <f t="shared" si="17"/>
        <v>5595.1560000000009</v>
      </c>
      <c r="FD21" s="553">
        <f t="shared" si="18"/>
        <v>5595.1559999999999</v>
      </c>
      <c r="FE21" s="553">
        <f t="shared" si="19"/>
        <v>4914.7560000000003</v>
      </c>
      <c r="FF21" s="553">
        <f t="shared" si="20"/>
        <v>5595.1560000000009</v>
      </c>
    </row>
    <row r="22" spans="1:162" ht="10.5" customHeight="1" x14ac:dyDescent="0.35">
      <c r="A22" s="547" t="s">
        <v>440</v>
      </c>
      <c r="B22" s="536" t="s">
        <v>43</v>
      </c>
      <c r="C22" s="553"/>
      <c r="D22" s="575"/>
      <c r="F22" s="536"/>
      <c r="G22" s="531" t="s">
        <v>513</v>
      </c>
      <c r="H22" s="4" t="s">
        <v>1021</v>
      </c>
      <c r="I22" s="553">
        <f>'Prod&amp;Consp'!L29*$C$21/1000</f>
        <v>486</v>
      </c>
      <c r="J22" s="553">
        <f>'Prod&amp;Consp'!M29*$C$21/1000</f>
        <v>486</v>
      </c>
      <c r="K22" s="553">
        <f>'Prod&amp;Consp'!N29*$C$21/1000</f>
        <v>585.09</v>
      </c>
      <c r="L22" s="553">
        <f>'Prod&amp;Consp'!O29*$C$21/1000</f>
        <v>585.09</v>
      </c>
      <c r="M22" s="553">
        <f>'Prod&amp;Consp'!P29*$C$21/1000</f>
        <v>585.09</v>
      </c>
      <c r="N22" s="553">
        <f>'Prod&amp;Consp'!Q29*$C$21/1000</f>
        <v>585.09</v>
      </c>
      <c r="O22" s="553">
        <f>'Prod&amp;Consp'!R29*$C$21/1000</f>
        <v>585.09</v>
      </c>
      <c r="P22" s="553">
        <f>'Prod&amp;Consp'!S29*$C$21/1000</f>
        <v>585.09</v>
      </c>
      <c r="Q22" s="553">
        <f>'Prod&amp;Consp'!T29*$C$21/1000</f>
        <v>585.09</v>
      </c>
      <c r="R22" s="553">
        <f>'Prod&amp;Consp'!U29*$C$21/1000</f>
        <v>585.09</v>
      </c>
      <c r="S22" s="553">
        <f>'Prod&amp;Consp'!V29*$C$21/1000</f>
        <v>585.09</v>
      </c>
      <c r="T22" s="553">
        <f>'Prod&amp;Consp'!W29*$C$21/1000</f>
        <v>585.09</v>
      </c>
      <c r="U22" s="560">
        <f t="shared" si="1"/>
        <v>6822.9000000000015</v>
      </c>
      <c r="V22" s="565"/>
      <c r="W22" s="553">
        <f>'Prod&amp;Consp'!Z29*$C$21/1000</f>
        <v>585.09</v>
      </c>
      <c r="X22" s="553">
        <f>'Prod&amp;Consp'!AA29*$C$21/1000</f>
        <v>585.09</v>
      </c>
      <c r="Y22" s="553">
        <f>'Prod&amp;Consp'!AB29*$C$21/1000</f>
        <v>585.09</v>
      </c>
      <c r="Z22" s="553">
        <f>'Prod&amp;Consp'!AC29*$C$21/1000</f>
        <v>585.09</v>
      </c>
      <c r="AA22" s="553">
        <f>'Prod&amp;Consp'!AD29*$C$21/1000</f>
        <v>585.09</v>
      </c>
      <c r="AB22" s="553">
        <f>'Prod&amp;Consp'!AE29*$C$21/1000</f>
        <v>585.09</v>
      </c>
      <c r="AC22" s="553">
        <f>'Prod&amp;Consp'!AF29*$C$21/1000</f>
        <v>1071.0899999999999</v>
      </c>
      <c r="AD22" s="562">
        <f>'Prod&amp;Consp'!AG29*$C$21/1000</f>
        <v>1071.0899999999999</v>
      </c>
      <c r="AE22" s="553">
        <f>'Prod&amp;Consp'!AH29*$C$21/1000</f>
        <v>585.09</v>
      </c>
      <c r="AF22" s="553">
        <f>'Prod&amp;Consp'!AI29*$C$21/1000</f>
        <v>585.09</v>
      </c>
      <c r="AG22" s="553">
        <f>'Prod&amp;Consp'!AJ29*$C$21/1000</f>
        <v>585.09</v>
      </c>
      <c r="AH22" s="553">
        <f>'Prod&amp;Consp'!AK29*$C$21/1000</f>
        <v>585.09</v>
      </c>
      <c r="AI22" s="560">
        <f t="shared" si="2"/>
        <v>7993.0800000000008</v>
      </c>
      <c r="AJ22" s="565"/>
      <c r="AK22" s="553">
        <f>'Prod&amp;Consp'!AN29*$C$21/1000</f>
        <v>585.09</v>
      </c>
      <c r="AL22" s="553">
        <f>'Prod&amp;Consp'!AO29*$C$21/1000</f>
        <v>585.09</v>
      </c>
      <c r="AM22" s="553">
        <f>'Prod&amp;Consp'!AP29*$C$21/1000</f>
        <v>585.09</v>
      </c>
      <c r="AN22" s="553">
        <f>'Prod&amp;Consp'!AQ29*$C$21/1000</f>
        <v>585.09</v>
      </c>
      <c r="AO22" s="553">
        <f>'Prod&amp;Consp'!AR29*$C$21/1000</f>
        <v>585.09</v>
      </c>
      <c r="AP22" s="553">
        <f>'Prod&amp;Consp'!AS29*$C$21/1000</f>
        <v>585.09</v>
      </c>
      <c r="AQ22" s="553">
        <f>'Prod&amp;Consp'!AT29*$C$21/1000</f>
        <v>585.09</v>
      </c>
      <c r="AR22" s="553">
        <f>'Prod&amp;Consp'!AU29*$C$21/1000</f>
        <v>585.09</v>
      </c>
      <c r="AS22" s="553">
        <f>'Prod&amp;Consp'!AV29*$C$21/1000</f>
        <v>585.09</v>
      </c>
      <c r="AT22" s="553">
        <f>'Prod&amp;Consp'!AW29*$C$21/1000</f>
        <v>585.09</v>
      </c>
      <c r="AU22" s="553">
        <f>'Prod&amp;Consp'!AX29*$C$21/1000</f>
        <v>585.09</v>
      </c>
      <c r="AV22" s="553">
        <f>'Prod&amp;Consp'!AY29*$C$21/1000</f>
        <v>585.09</v>
      </c>
      <c r="AW22" s="560">
        <f t="shared" si="3"/>
        <v>7021.0800000000008</v>
      </c>
      <c r="AX22" s="565"/>
      <c r="AY22" s="553">
        <f>'Prod&amp;Consp'!BB29*$C$21/1000</f>
        <v>1071.0899999999999</v>
      </c>
      <c r="AZ22" s="562">
        <f>'Prod&amp;Consp'!BC29*$C$21/1000</f>
        <v>1071.0899999999999</v>
      </c>
      <c r="BA22" s="553">
        <f>'Prod&amp;Consp'!BD29*$C$21/1000</f>
        <v>585.09</v>
      </c>
      <c r="BB22" s="553">
        <f>'Prod&amp;Consp'!BE29*$C$21/1000</f>
        <v>585.09</v>
      </c>
      <c r="BC22" s="553">
        <f>'Prod&amp;Consp'!BF29*$C$21/1000</f>
        <v>585.09</v>
      </c>
      <c r="BD22" s="553">
        <f>'Prod&amp;Consp'!BG29*$C$21/1000</f>
        <v>585.09</v>
      </c>
      <c r="BE22" s="553">
        <f>'Prod&amp;Consp'!BH29*$C$21/1000</f>
        <v>585.09</v>
      </c>
      <c r="BF22" s="553">
        <f>'Prod&amp;Consp'!BI29*$C$21/1000</f>
        <v>585.09</v>
      </c>
      <c r="BG22" s="553">
        <f>'Prod&amp;Consp'!BJ29*$C$21/1000</f>
        <v>585.09</v>
      </c>
      <c r="BH22" s="553">
        <f>'Prod&amp;Consp'!BK29*$C$21/1000</f>
        <v>585.09</v>
      </c>
      <c r="BI22" s="553">
        <f>'Prod&amp;Consp'!BL29*$C$21/1000</f>
        <v>585.09</v>
      </c>
      <c r="BJ22" s="553">
        <f>'Prod&amp;Consp'!BM29*$C$21/1000</f>
        <v>585.09</v>
      </c>
      <c r="BK22" s="560">
        <f t="shared" si="4"/>
        <v>7993.0800000000008</v>
      </c>
      <c r="BL22" s="565"/>
      <c r="BM22" s="553">
        <f>'Prod&amp;Consp'!BP29*$C$21/1000</f>
        <v>585.09</v>
      </c>
      <c r="BN22" s="553">
        <f>'Prod&amp;Consp'!BQ29*$C$21/1000</f>
        <v>585.09</v>
      </c>
      <c r="BO22" s="553">
        <f>'Prod&amp;Consp'!BR29*$C$21/1000</f>
        <v>585.09</v>
      </c>
      <c r="BP22" s="553">
        <f>'Prod&amp;Consp'!BS29*$C$21/1000</f>
        <v>585.09</v>
      </c>
      <c r="BQ22" s="553">
        <f>'Prod&amp;Consp'!BT29*$C$21/1000</f>
        <v>585.09</v>
      </c>
      <c r="BR22" s="553">
        <f>'Prod&amp;Consp'!BU29*$C$21/1000</f>
        <v>585.09</v>
      </c>
      <c r="BS22" s="553">
        <f>'Prod&amp;Consp'!BV29*$C$21/1000</f>
        <v>1071.0899999999999</v>
      </c>
      <c r="BT22" s="562">
        <f>'Prod&amp;Consp'!BW29*$C$21/1000</f>
        <v>1071.0899999999999</v>
      </c>
      <c r="BU22" s="553">
        <f>'Prod&amp;Consp'!BX29*$C$21/1000</f>
        <v>585.09</v>
      </c>
      <c r="BV22" s="553">
        <f>'Prod&amp;Consp'!BY29*$C$21/1000</f>
        <v>585.09</v>
      </c>
      <c r="BW22" s="553">
        <f>'Prod&amp;Consp'!BZ29*$C$21/1000</f>
        <v>585.09</v>
      </c>
      <c r="BX22" s="553">
        <f>'Prod&amp;Consp'!CA29*$C$21/1000</f>
        <v>585.09</v>
      </c>
      <c r="BY22" s="560">
        <f t="shared" si="5"/>
        <v>7993.0800000000008</v>
      </c>
      <c r="BZ22" s="565"/>
      <c r="CA22" s="553">
        <f>'Prod&amp;Consp'!CD29*$C$21/1000</f>
        <v>585.09</v>
      </c>
      <c r="CB22" s="553">
        <f>'Prod&amp;Consp'!CE29*$C$21/1000</f>
        <v>585.09</v>
      </c>
      <c r="CC22" s="553">
        <f>'Prod&amp;Consp'!CF29*$C$21/1000</f>
        <v>585.09</v>
      </c>
      <c r="CD22" s="553">
        <f>'Prod&amp;Consp'!CG29*$C$21/1000</f>
        <v>585.09</v>
      </c>
      <c r="CE22" s="553">
        <f>'Prod&amp;Consp'!CH29*$C$21/1000</f>
        <v>585.09</v>
      </c>
      <c r="CF22" s="553">
        <f>'Prod&amp;Consp'!CI29*$C$21/1000</f>
        <v>585.09</v>
      </c>
      <c r="CG22" s="553">
        <f>'Prod&amp;Consp'!CJ29*$C$21/1000</f>
        <v>585.09</v>
      </c>
      <c r="CH22" s="553">
        <f>'Prod&amp;Consp'!CK29*$C$21/1000</f>
        <v>585.09</v>
      </c>
      <c r="CI22" s="553">
        <f>'Prod&amp;Consp'!CL29*$C$21/1000</f>
        <v>585.09</v>
      </c>
      <c r="CJ22" s="553">
        <f>'Prod&amp;Consp'!CM29*$C$21/1000</f>
        <v>585.09</v>
      </c>
      <c r="CK22" s="553">
        <f>'Prod&amp;Consp'!CN29*$C$21/1000</f>
        <v>585.09</v>
      </c>
      <c r="CL22" s="553">
        <f>'Prod&amp;Consp'!CO29*$C$21/1000</f>
        <v>585.09</v>
      </c>
      <c r="CM22" s="560">
        <f t="shared" si="6"/>
        <v>7021.0800000000008</v>
      </c>
      <c r="CN22" s="565"/>
      <c r="CO22" s="553">
        <f>'Prod&amp;Consp'!CR29*$C$21/1000</f>
        <v>1071.0899999999999</v>
      </c>
      <c r="CP22" s="562">
        <f>'Prod&amp;Consp'!CS29*$C$21/1000</f>
        <v>1071.0899999999999</v>
      </c>
      <c r="CQ22" s="553">
        <f>'Prod&amp;Consp'!CT29*$C$21/1000</f>
        <v>585.09</v>
      </c>
      <c r="CR22" s="553">
        <f>'Prod&amp;Consp'!CU29*$C$21/1000</f>
        <v>585.09</v>
      </c>
      <c r="CS22" s="553">
        <f>'Prod&amp;Consp'!CV29*$C$21/1000</f>
        <v>585.09</v>
      </c>
      <c r="CT22" s="553">
        <f>'Prod&amp;Consp'!CW29*$C$21/1000</f>
        <v>585.09</v>
      </c>
      <c r="CU22" s="553">
        <f>'Prod&amp;Consp'!CX29*$C$21/1000</f>
        <v>585.09</v>
      </c>
      <c r="CV22" s="553">
        <f>'Prod&amp;Consp'!CY29*$C$21/1000</f>
        <v>585.09</v>
      </c>
      <c r="CW22" s="553">
        <f>'Prod&amp;Consp'!CZ29*$C$21/1000</f>
        <v>585.09</v>
      </c>
      <c r="CX22" s="553">
        <f>'Prod&amp;Consp'!DA29*$C$21/1000</f>
        <v>585.09</v>
      </c>
      <c r="CY22" s="553">
        <f>'Prod&amp;Consp'!DB29*$C$21/1000</f>
        <v>585.09</v>
      </c>
      <c r="CZ22" s="553">
        <f>'Prod&amp;Consp'!DC29*$C$21/1000</f>
        <v>585.09</v>
      </c>
      <c r="DA22" s="560">
        <f t="shared" si="7"/>
        <v>7993.0800000000008</v>
      </c>
      <c r="DB22" s="565"/>
      <c r="DC22" s="553">
        <f>'Prod&amp;Consp'!DF29*$C$21/1000</f>
        <v>585.09</v>
      </c>
      <c r="DD22" s="553">
        <f>'Prod&amp;Consp'!DG29*$C$21/1000</f>
        <v>585.09</v>
      </c>
      <c r="DE22" s="553">
        <f>'Prod&amp;Consp'!DH29*$C$21/1000</f>
        <v>585.09</v>
      </c>
      <c r="DF22" s="553">
        <f>'Prod&amp;Consp'!DI29*$C$21/1000</f>
        <v>585.09</v>
      </c>
      <c r="DG22" s="553">
        <f>'Prod&amp;Consp'!DJ29*$C$21/1000</f>
        <v>585.09</v>
      </c>
      <c r="DH22" s="553">
        <f>'Prod&amp;Consp'!DK29*$C$21/1000</f>
        <v>585.09</v>
      </c>
      <c r="DI22" s="553">
        <f>'Prod&amp;Consp'!DL29*$C$21/1000</f>
        <v>1071.0899999999999</v>
      </c>
      <c r="DJ22" s="562">
        <f>'Prod&amp;Consp'!DM29*$C$21/1000</f>
        <v>1071.0899999999999</v>
      </c>
      <c r="DK22" s="553">
        <f>'Prod&amp;Consp'!DN29*$C$21/1000</f>
        <v>585.09</v>
      </c>
      <c r="DL22" s="553">
        <f>'Prod&amp;Consp'!DO29*$C$21/1000</f>
        <v>585.09</v>
      </c>
      <c r="DM22" s="553">
        <f>'Prod&amp;Consp'!DP29*$C$21/1000</f>
        <v>585.09</v>
      </c>
      <c r="DN22" s="553">
        <f>'Prod&amp;Consp'!DQ29*$C$21/1000</f>
        <v>585.09</v>
      </c>
      <c r="DO22" s="560">
        <f t="shared" si="8"/>
        <v>7993.0800000000008</v>
      </c>
      <c r="DP22" s="565"/>
      <c r="DQ22" s="553">
        <f>'Prod&amp;Consp'!DT29*$C$21/1000</f>
        <v>585.09</v>
      </c>
      <c r="DR22" s="553">
        <f>'Prod&amp;Consp'!DU29*$C$21/1000</f>
        <v>585.09</v>
      </c>
      <c r="DS22" s="553">
        <f>'Prod&amp;Consp'!DV29*$C$21/1000</f>
        <v>585.09</v>
      </c>
      <c r="DT22" s="553">
        <f>'Prod&amp;Consp'!DW29*$C$21/1000</f>
        <v>585.09</v>
      </c>
      <c r="DU22" s="553">
        <f>'Prod&amp;Consp'!DX29*$C$21/1000</f>
        <v>585.09</v>
      </c>
      <c r="DV22" s="553">
        <f>'Prod&amp;Consp'!DY29*$C$21/1000</f>
        <v>585.09</v>
      </c>
      <c r="DW22" s="553">
        <f>'Prod&amp;Consp'!DZ29*$C$21/1000</f>
        <v>585.09</v>
      </c>
      <c r="DX22" s="553">
        <f>'Prod&amp;Consp'!EA29*$C$21/1000</f>
        <v>585.09</v>
      </c>
      <c r="DY22" s="553">
        <f>'Prod&amp;Consp'!EB29*$C$21/1000</f>
        <v>585.09</v>
      </c>
      <c r="DZ22" s="553">
        <f>'Prod&amp;Consp'!EC29*$C$21/1000</f>
        <v>585.09</v>
      </c>
      <c r="EA22" s="553">
        <f>'Prod&amp;Consp'!ED29*$C$21/1000</f>
        <v>585.09</v>
      </c>
      <c r="EB22" s="553">
        <f>'Prod&amp;Consp'!EE29*$C$21/1000</f>
        <v>585.09</v>
      </c>
      <c r="EC22" s="560">
        <f t="shared" si="9"/>
        <v>7021.0800000000008</v>
      </c>
      <c r="ED22" s="565"/>
      <c r="EE22" s="553">
        <f>'Prod&amp;Consp'!EH29*$C$21/1000</f>
        <v>1071.0899999999999</v>
      </c>
      <c r="EF22" s="562">
        <f>'Prod&amp;Consp'!EI29*$C$21/1000</f>
        <v>1071.0899999999999</v>
      </c>
      <c r="EG22" s="553">
        <f>'Prod&amp;Consp'!EJ29*$C$21/1000</f>
        <v>585.09</v>
      </c>
      <c r="EH22" s="553">
        <f>'Prod&amp;Consp'!EK29*$C$21/1000</f>
        <v>585.09</v>
      </c>
      <c r="EI22" s="553">
        <f>'Prod&amp;Consp'!EL29*$C$21/1000</f>
        <v>585.09</v>
      </c>
      <c r="EJ22" s="553">
        <f>'Prod&amp;Consp'!EM29*$C$21/1000</f>
        <v>585.09</v>
      </c>
      <c r="EK22" s="553">
        <f>'Prod&amp;Consp'!EN29*$C$21/1000</f>
        <v>585.09</v>
      </c>
      <c r="EL22" s="553">
        <f>'Prod&amp;Consp'!EO29*$C$21/1000</f>
        <v>585.09</v>
      </c>
      <c r="EM22" s="553">
        <f>'Prod&amp;Consp'!EP29*$C$21/1000</f>
        <v>585.09</v>
      </c>
      <c r="EN22" s="553">
        <f>'Prod&amp;Consp'!EQ29*$C$21/1000</f>
        <v>585.09</v>
      </c>
      <c r="EO22" s="553">
        <f>'Prod&amp;Consp'!ER29*$C$21/1000</f>
        <v>585.09</v>
      </c>
      <c r="EP22" s="553">
        <f>'Prod&amp;Consp'!ES29*$C$21/1000</f>
        <v>585.09</v>
      </c>
      <c r="EQ22" s="560">
        <f t="shared" si="10"/>
        <v>7993.0800000000008</v>
      </c>
      <c r="ER22" s="565"/>
      <c r="ET22" s="536"/>
      <c r="EU22" s="531" t="s">
        <v>513</v>
      </c>
      <c r="EV22" s="4" t="s">
        <v>1021</v>
      </c>
      <c r="EW22" s="553">
        <f t="shared" si="11"/>
        <v>6822.9000000000015</v>
      </c>
      <c r="EX22" s="553">
        <f t="shared" si="12"/>
        <v>7993.0800000000008</v>
      </c>
      <c r="EY22" s="553">
        <f t="shared" si="13"/>
        <v>7021.0800000000008</v>
      </c>
      <c r="EZ22" s="553">
        <f t="shared" si="14"/>
        <v>7993.0800000000008</v>
      </c>
      <c r="FA22" s="553">
        <f t="shared" si="15"/>
        <v>7993.0800000000008</v>
      </c>
      <c r="FB22" s="553">
        <f t="shared" si="16"/>
        <v>7021.0800000000008</v>
      </c>
      <c r="FC22" s="553">
        <f t="shared" si="17"/>
        <v>7993.0800000000008</v>
      </c>
      <c r="FD22" s="553">
        <f t="shared" si="18"/>
        <v>7993.0800000000008</v>
      </c>
      <c r="FE22" s="553">
        <f t="shared" si="19"/>
        <v>7021.0800000000008</v>
      </c>
      <c r="FF22" s="553">
        <f t="shared" si="20"/>
        <v>7993.0800000000008</v>
      </c>
    </row>
    <row r="23" spans="1:162" ht="10.5" customHeight="1" x14ac:dyDescent="0.35">
      <c r="B23" s="536" t="s">
        <v>472</v>
      </c>
      <c r="C23" s="553">
        <f>Asumsi!F63</f>
        <v>700000</v>
      </c>
      <c r="D23" s="575" t="s">
        <v>473</v>
      </c>
      <c r="F23" s="536">
        <v>1.3</v>
      </c>
      <c r="G23" s="531" t="s">
        <v>43</v>
      </c>
      <c r="H23" s="4"/>
      <c r="I23" s="576"/>
      <c r="J23" s="576"/>
      <c r="K23" s="576"/>
      <c r="L23" s="576"/>
      <c r="M23" s="576"/>
      <c r="N23" s="576"/>
      <c r="O23" s="576"/>
      <c r="P23" s="576"/>
      <c r="Q23" s="576"/>
      <c r="R23" s="576"/>
      <c r="S23" s="576"/>
      <c r="T23" s="576"/>
      <c r="U23" s="560"/>
      <c r="V23" s="565"/>
      <c r="AD23" s="561"/>
      <c r="AI23" s="560"/>
      <c r="AJ23" s="565"/>
      <c r="AW23" s="560"/>
      <c r="AX23" s="565"/>
      <c r="AZ23" s="561"/>
      <c r="BK23" s="560"/>
      <c r="BL23" s="565"/>
      <c r="BT23" s="561"/>
      <c r="BY23" s="560"/>
      <c r="BZ23" s="565"/>
      <c r="CM23" s="560"/>
      <c r="CN23" s="565"/>
      <c r="CP23" s="561"/>
      <c r="DA23" s="560"/>
      <c r="DB23" s="565"/>
      <c r="DJ23" s="561"/>
      <c r="DO23" s="560"/>
      <c r="DP23" s="565"/>
      <c r="EC23" s="560"/>
      <c r="ED23" s="565"/>
      <c r="EF23" s="561"/>
      <c r="EQ23" s="560"/>
      <c r="ER23" s="565"/>
      <c r="ET23" s="536">
        <v>1.3</v>
      </c>
      <c r="EU23" s="531" t="s">
        <v>43</v>
      </c>
      <c r="EV23" s="4"/>
      <c r="EW23" s="576">
        <f>SUM(EW24:EW26)</f>
        <v>5640</v>
      </c>
      <c r="EX23" s="576">
        <f t="shared" ref="EX23:FF23" si="21">SUM(EX24:EX26)</f>
        <v>4140</v>
      </c>
      <c r="EY23" s="576">
        <f t="shared" si="21"/>
        <v>1500</v>
      </c>
      <c r="EZ23" s="576">
        <f t="shared" si="21"/>
        <v>5640</v>
      </c>
      <c r="FA23" s="576">
        <f t="shared" si="21"/>
        <v>4140</v>
      </c>
      <c r="FB23" s="576">
        <f t="shared" si="21"/>
        <v>1500</v>
      </c>
      <c r="FC23" s="576">
        <f t="shared" si="21"/>
        <v>5640</v>
      </c>
      <c r="FD23" s="576">
        <f t="shared" si="21"/>
        <v>4140</v>
      </c>
      <c r="FE23" s="576">
        <f t="shared" si="21"/>
        <v>1500</v>
      </c>
      <c r="FF23" s="576">
        <f t="shared" si="21"/>
        <v>5640</v>
      </c>
    </row>
    <row r="24" spans="1:162" ht="10.5" customHeight="1" x14ac:dyDescent="0.35">
      <c r="B24" s="536" t="s">
        <v>474</v>
      </c>
      <c r="C24" s="553">
        <f>Asumsi!F64</f>
        <v>680000</v>
      </c>
      <c r="D24" s="575" t="s">
        <v>473</v>
      </c>
      <c r="F24" s="536"/>
      <c r="G24" s="531" t="s">
        <v>9</v>
      </c>
      <c r="H24" s="4" t="s">
        <v>1081</v>
      </c>
      <c r="I24" s="553">
        <f>'Prod&amp;Consp'!L31*$C$23/1000</f>
        <v>2100</v>
      </c>
      <c r="J24" s="553">
        <f>'Prod&amp;Consp'!M31*$C$23/1000</f>
        <v>0</v>
      </c>
      <c r="K24" s="553">
        <f>'Prod&amp;Consp'!N31*$C$23/1000</f>
        <v>0</v>
      </c>
      <c r="L24" s="553">
        <f>'Prod&amp;Consp'!O31*$C$23/1000</f>
        <v>0</v>
      </c>
      <c r="M24" s="553">
        <f>'Prod&amp;Consp'!P31*$C$23/1000</f>
        <v>0</v>
      </c>
      <c r="N24" s="553">
        <f>'Prod&amp;Consp'!Q31*$C$23/1000</f>
        <v>0</v>
      </c>
      <c r="O24" s="553">
        <f>'Prod&amp;Consp'!R31*$C$23/1000</f>
        <v>0</v>
      </c>
      <c r="P24" s="553">
        <f>'Prod&amp;Consp'!S31*$C$23/1000</f>
        <v>0</v>
      </c>
      <c r="Q24" s="553">
        <f>'Prod&amp;Consp'!T31*$C$23/1000</f>
        <v>0</v>
      </c>
      <c r="R24" s="553">
        <f>'Prod&amp;Consp'!U31*$C$23/1000</f>
        <v>0</v>
      </c>
      <c r="S24" s="553">
        <f>'Prod&amp;Consp'!V31*$C$23/1000</f>
        <v>0</v>
      </c>
      <c r="T24" s="553">
        <f>'Prod&amp;Consp'!W31*$C$23/1000</f>
        <v>0</v>
      </c>
      <c r="U24" s="560">
        <f t="shared" si="1"/>
        <v>2100</v>
      </c>
      <c r="V24" s="565"/>
      <c r="W24" s="553">
        <f>'Prod&amp;Consp'!Z31*$C$23/1000</f>
        <v>0</v>
      </c>
      <c r="X24" s="553">
        <f>'Prod&amp;Consp'!AA31*$C$23/1000</f>
        <v>0</v>
      </c>
      <c r="Y24" s="553">
        <f>'Prod&amp;Consp'!AB31*$C$23/1000</f>
        <v>0</v>
      </c>
      <c r="Z24" s="553">
        <f>'Prod&amp;Consp'!AC31*$C$23/1000</f>
        <v>0</v>
      </c>
      <c r="AA24" s="553">
        <f>'Prod&amp;Consp'!AD31*$C$23/1000</f>
        <v>0</v>
      </c>
      <c r="AB24" s="553">
        <f>'Prod&amp;Consp'!AE31*$C$23/1000</f>
        <v>0</v>
      </c>
      <c r="AC24" s="553">
        <f>'Prod&amp;Consp'!AF31*$C$23/1000</f>
        <v>2100</v>
      </c>
      <c r="AD24" s="562">
        <f>'Prod&amp;Consp'!AG31*$C$23/1000</f>
        <v>0</v>
      </c>
      <c r="AE24" s="553">
        <f>'Prod&amp;Consp'!AH31*$C$23/1000</f>
        <v>0</v>
      </c>
      <c r="AF24" s="553">
        <f>'Prod&amp;Consp'!AI31*$C$23/1000</f>
        <v>0</v>
      </c>
      <c r="AG24" s="553">
        <f>'Prod&amp;Consp'!AJ31*$C$23/1000</f>
        <v>0</v>
      </c>
      <c r="AH24" s="553">
        <f>'Prod&amp;Consp'!AK31*$C$23/1000</f>
        <v>0</v>
      </c>
      <c r="AI24" s="560">
        <f t="shared" ref="AI24:AI26" si="22">SUM(W24:AH24)</f>
        <v>2100</v>
      </c>
      <c r="AJ24" s="565"/>
      <c r="AK24" s="553">
        <f>'Prod&amp;Consp'!AN31*$C$23/1000</f>
        <v>0</v>
      </c>
      <c r="AL24" s="553">
        <f>'Prod&amp;Consp'!AO31*$C$23/1000</f>
        <v>0</v>
      </c>
      <c r="AM24" s="553">
        <f>'Prod&amp;Consp'!AP31*$C$23/1000</f>
        <v>0</v>
      </c>
      <c r="AN24" s="553">
        <f>'Prod&amp;Consp'!AQ31*$C$23/1000</f>
        <v>0</v>
      </c>
      <c r="AO24" s="553">
        <f>'Prod&amp;Consp'!AR31*$C$23/1000</f>
        <v>0</v>
      </c>
      <c r="AP24" s="553">
        <f>'Prod&amp;Consp'!AS31*$C$23/1000</f>
        <v>0</v>
      </c>
      <c r="AQ24" s="553">
        <f>'Prod&amp;Consp'!AT31*$C$23/1000</f>
        <v>0</v>
      </c>
      <c r="AR24" s="553">
        <f>'Prod&amp;Consp'!AU31*$C$23/1000</f>
        <v>0</v>
      </c>
      <c r="AS24" s="553">
        <f>'Prod&amp;Consp'!AV31*$C$23/1000</f>
        <v>0</v>
      </c>
      <c r="AT24" s="553">
        <f>'Prod&amp;Consp'!AW31*$C$23/1000</f>
        <v>0</v>
      </c>
      <c r="AU24" s="553">
        <f>'Prod&amp;Consp'!AX31*$C$23/1000</f>
        <v>0</v>
      </c>
      <c r="AV24" s="553">
        <f>'Prod&amp;Consp'!AY31*$C$23/1000</f>
        <v>0</v>
      </c>
      <c r="AW24" s="560">
        <f t="shared" ref="AW24:AW26" si="23">SUM(AK24:AV24)</f>
        <v>0</v>
      </c>
      <c r="AX24" s="565"/>
      <c r="AY24" s="553">
        <f>'Prod&amp;Consp'!BB31*$C$23/1000</f>
        <v>2100</v>
      </c>
      <c r="AZ24" s="562">
        <f>'Prod&amp;Consp'!BC31*$C$23/1000</f>
        <v>0</v>
      </c>
      <c r="BA24" s="553">
        <f>'Prod&amp;Consp'!BD31*$C$23/1000</f>
        <v>0</v>
      </c>
      <c r="BB24" s="553">
        <f>'Prod&amp;Consp'!BE31*$C$23/1000</f>
        <v>0</v>
      </c>
      <c r="BC24" s="553">
        <f>'Prod&amp;Consp'!BF31*$C$23/1000</f>
        <v>0</v>
      </c>
      <c r="BD24" s="553">
        <f>'Prod&amp;Consp'!BG31*$C$23/1000</f>
        <v>0</v>
      </c>
      <c r="BE24" s="553">
        <f>'Prod&amp;Consp'!BH31*$C$23/1000</f>
        <v>0</v>
      </c>
      <c r="BF24" s="553">
        <f>'Prod&amp;Consp'!BI31*$C$23/1000</f>
        <v>0</v>
      </c>
      <c r="BG24" s="553">
        <f>'Prod&amp;Consp'!BJ31*$C$23/1000</f>
        <v>0</v>
      </c>
      <c r="BH24" s="553">
        <f>'Prod&amp;Consp'!BK31*$C$23/1000</f>
        <v>0</v>
      </c>
      <c r="BI24" s="553">
        <f>'Prod&amp;Consp'!BL31*$C$23/1000</f>
        <v>0</v>
      </c>
      <c r="BJ24" s="553">
        <f>'Prod&amp;Consp'!BM31*$C$23/1000</f>
        <v>0</v>
      </c>
      <c r="BK24" s="560">
        <f t="shared" ref="BK24:BK26" si="24">SUM(AY24:BJ24)</f>
        <v>2100</v>
      </c>
      <c r="BL24" s="565"/>
      <c r="BM24" s="553">
        <f>'Prod&amp;Consp'!BP31*$C$23/1000</f>
        <v>0</v>
      </c>
      <c r="BN24" s="553">
        <f>'Prod&amp;Consp'!BQ31*$C$23/1000</f>
        <v>0</v>
      </c>
      <c r="BO24" s="553">
        <f>'Prod&amp;Consp'!BR31*$C$23/1000</f>
        <v>0</v>
      </c>
      <c r="BP24" s="553">
        <f>'Prod&amp;Consp'!BS31*$C$23/1000</f>
        <v>0</v>
      </c>
      <c r="BQ24" s="553">
        <f>'Prod&amp;Consp'!BT31*$C$23/1000</f>
        <v>0</v>
      </c>
      <c r="BR24" s="553">
        <f>'Prod&amp;Consp'!BU31*$C$23/1000</f>
        <v>0</v>
      </c>
      <c r="BS24" s="553">
        <f>'Prod&amp;Consp'!BV31*$C$23/1000</f>
        <v>2100</v>
      </c>
      <c r="BT24" s="562">
        <f>'Prod&amp;Consp'!BW31*$C$23/1000</f>
        <v>0</v>
      </c>
      <c r="BU24" s="553">
        <f>'Prod&amp;Consp'!BX31*$C$23/1000</f>
        <v>0</v>
      </c>
      <c r="BV24" s="553">
        <f>'Prod&amp;Consp'!BY31*$C$23/1000</f>
        <v>0</v>
      </c>
      <c r="BW24" s="553">
        <f>'Prod&amp;Consp'!BZ31*$C$23/1000</f>
        <v>0</v>
      </c>
      <c r="BX24" s="553">
        <f>'Prod&amp;Consp'!CA31*$C$23/1000</f>
        <v>0</v>
      </c>
      <c r="BY24" s="560">
        <f t="shared" ref="BY24:BY26" si="25">SUM(BM24:BX24)</f>
        <v>2100</v>
      </c>
      <c r="BZ24" s="565"/>
      <c r="CA24" s="553">
        <f>'Prod&amp;Consp'!CD31*$C$23/1000</f>
        <v>0</v>
      </c>
      <c r="CB24" s="553">
        <f>'Prod&amp;Consp'!CE31*$C$23/1000</f>
        <v>0</v>
      </c>
      <c r="CC24" s="553">
        <f>'Prod&amp;Consp'!CF31*$C$23/1000</f>
        <v>0</v>
      </c>
      <c r="CD24" s="553">
        <f>'Prod&amp;Consp'!CG31*$C$23/1000</f>
        <v>0</v>
      </c>
      <c r="CE24" s="553">
        <f>'Prod&amp;Consp'!CH31*$C$23/1000</f>
        <v>0</v>
      </c>
      <c r="CF24" s="553">
        <f>'Prod&amp;Consp'!CI31*$C$23/1000</f>
        <v>0</v>
      </c>
      <c r="CG24" s="553">
        <f>'Prod&amp;Consp'!CJ31*$C$23/1000</f>
        <v>0</v>
      </c>
      <c r="CH24" s="553">
        <f>'Prod&amp;Consp'!CK31*$C$23/1000</f>
        <v>0</v>
      </c>
      <c r="CI24" s="553">
        <f>'Prod&amp;Consp'!CL31*$C$23/1000</f>
        <v>0</v>
      </c>
      <c r="CJ24" s="553">
        <f>'Prod&amp;Consp'!CM31*$C$23/1000</f>
        <v>0</v>
      </c>
      <c r="CK24" s="553">
        <f>'Prod&amp;Consp'!CN31*$C$23/1000</f>
        <v>0</v>
      </c>
      <c r="CL24" s="553">
        <f>'Prod&amp;Consp'!CO31*$C$23/1000</f>
        <v>0</v>
      </c>
      <c r="CM24" s="560">
        <f t="shared" ref="CM24:CM26" si="26">SUM(CA24:CL24)</f>
        <v>0</v>
      </c>
      <c r="CN24" s="565"/>
      <c r="CO24" s="553">
        <f>'Prod&amp;Consp'!CR31*$C$23/1000</f>
        <v>2100</v>
      </c>
      <c r="CP24" s="562">
        <f>'Prod&amp;Consp'!CS31*$C$23/1000</f>
        <v>0</v>
      </c>
      <c r="CQ24" s="553">
        <f>'Prod&amp;Consp'!CT31*$C$23/1000</f>
        <v>0</v>
      </c>
      <c r="CR24" s="553">
        <f>'Prod&amp;Consp'!CU31*$C$23/1000</f>
        <v>0</v>
      </c>
      <c r="CS24" s="553">
        <f>'Prod&amp;Consp'!CV31*$C$23/1000</f>
        <v>0</v>
      </c>
      <c r="CT24" s="553">
        <f>'Prod&amp;Consp'!CW31*$C$23/1000</f>
        <v>0</v>
      </c>
      <c r="CU24" s="553">
        <f>'Prod&amp;Consp'!CX31*$C$23/1000</f>
        <v>0</v>
      </c>
      <c r="CV24" s="553">
        <f>'Prod&amp;Consp'!CY31*$C$23/1000</f>
        <v>0</v>
      </c>
      <c r="CW24" s="553">
        <f>'Prod&amp;Consp'!CZ31*$C$23/1000</f>
        <v>0</v>
      </c>
      <c r="CX24" s="553">
        <f>'Prod&amp;Consp'!DA31*$C$23/1000</f>
        <v>0</v>
      </c>
      <c r="CY24" s="553">
        <f>'Prod&amp;Consp'!DB31*$C$23/1000</f>
        <v>0</v>
      </c>
      <c r="CZ24" s="553">
        <f>'Prod&amp;Consp'!DC31*$C$23/1000</f>
        <v>0</v>
      </c>
      <c r="DA24" s="560">
        <f t="shared" ref="DA24:DA26" si="27">SUM(CO24:CZ24)</f>
        <v>2100</v>
      </c>
      <c r="DB24" s="565"/>
      <c r="DC24" s="553">
        <f>'Prod&amp;Consp'!DF31*$C$23/1000</f>
        <v>0</v>
      </c>
      <c r="DD24" s="553">
        <f>'Prod&amp;Consp'!DG31*$C$23/1000</f>
        <v>0</v>
      </c>
      <c r="DE24" s="553">
        <f>'Prod&amp;Consp'!DH31*$C$23/1000</f>
        <v>0</v>
      </c>
      <c r="DF24" s="553">
        <f>'Prod&amp;Consp'!DI31*$C$23/1000</f>
        <v>0</v>
      </c>
      <c r="DG24" s="553">
        <f>'Prod&amp;Consp'!DJ31*$C$23/1000</f>
        <v>0</v>
      </c>
      <c r="DH24" s="553">
        <f>'Prod&amp;Consp'!DK31*$C$23/1000</f>
        <v>0</v>
      </c>
      <c r="DI24" s="553">
        <f>'Prod&amp;Consp'!DL31*$C$23/1000</f>
        <v>2100</v>
      </c>
      <c r="DJ24" s="562">
        <f>'Prod&amp;Consp'!DM31*$C$23/1000</f>
        <v>0</v>
      </c>
      <c r="DK24" s="553">
        <f>'Prod&amp;Consp'!DN31*$C$23/1000</f>
        <v>0</v>
      </c>
      <c r="DL24" s="553">
        <f>'Prod&amp;Consp'!DO31*$C$23/1000</f>
        <v>0</v>
      </c>
      <c r="DM24" s="553">
        <f>'Prod&amp;Consp'!DP31*$C$23/1000</f>
        <v>0</v>
      </c>
      <c r="DN24" s="553">
        <f>'Prod&amp;Consp'!DQ31*$C$23/1000</f>
        <v>0</v>
      </c>
      <c r="DO24" s="560">
        <f t="shared" ref="DO24:DO26" si="28">SUM(DC24:DN24)</f>
        <v>2100</v>
      </c>
      <c r="DP24" s="565"/>
      <c r="DQ24" s="553">
        <f>'Prod&amp;Consp'!DT31*$C$23/1000</f>
        <v>0</v>
      </c>
      <c r="DR24" s="553">
        <f>'Prod&amp;Consp'!DU31*$C$23/1000</f>
        <v>0</v>
      </c>
      <c r="DS24" s="553">
        <f>'Prod&amp;Consp'!DV31*$C$23/1000</f>
        <v>0</v>
      </c>
      <c r="DT24" s="553">
        <f>'Prod&amp;Consp'!DW31*$C$23/1000</f>
        <v>0</v>
      </c>
      <c r="DU24" s="553">
        <f>'Prod&amp;Consp'!DX31*$C$23/1000</f>
        <v>0</v>
      </c>
      <c r="DV24" s="553">
        <f>'Prod&amp;Consp'!DY31*$C$23/1000</f>
        <v>0</v>
      </c>
      <c r="DW24" s="553">
        <f>'Prod&amp;Consp'!DZ31*$C$23/1000</f>
        <v>0</v>
      </c>
      <c r="DX24" s="553">
        <f>'Prod&amp;Consp'!EA31*$C$23/1000</f>
        <v>0</v>
      </c>
      <c r="DY24" s="553">
        <f>'Prod&amp;Consp'!EB31*$C$23/1000</f>
        <v>0</v>
      </c>
      <c r="DZ24" s="553">
        <f>'Prod&amp;Consp'!EC31*$C$23/1000</f>
        <v>0</v>
      </c>
      <c r="EA24" s="553">
        <f>'Prod&amp;Consp'!ED31*$C$23/1000</f>
        <v>0</v>
      </c>
      <c r="EB24" s="553">
        <f>'Prod&amp;Consp'!EE31*$C$23/1000</f>
        <v>0</v>
      </c>
      <c r="EC24" s="560">
        <f t="shared" ref="EC24:EC26" si="29">SUM(DQ24:EB24)</f>
        <v>0</v>
      </c>
      <c r="ED24" s="565"/>
      <c r="EE24" s="553">
        <f>'Prod&amp;Consp'!EH31*$C$23/1000</f>
        <v>2100</v>
      </c>
      <c r="EF24" s="562">
        <f>'Prod&amp;Consp'!EI31*$C$23/1000</f>
        <v>0</v>
      </c>
      <c r="EG24" s="553">
        <f>'Prod&amp;Consp'!EJ31*$C$23/1000</f>
        <v>0</v>
      </c>
      <c r="EH24" s="553">
        <f>'Prod&amp;Consp'!EK31*$C$23/1000</f>
        <v>0</v>
      </c>
      <c r="EI24" s="553">
        <f>'Prod&amp;Consp'!EL31*$C$23/1000</f>
        <v>0</v>
      </c>
      <c r="EJ24" s="553">
        <f>'Prod&amp;Consp'!EM31*$C$23/1000</f>
        <v>0</v>
      </c>
      <c r="EK24" s="553">
        <f>'Prod&amp;Consp'!EN31*$C$23/1000</f>
        <v>0</v>
      </c>
      <c r="EL24" s="553">
        <f>'Prod&amp;Consp'!EO31*$C$23/1000</f>
        <v>0</v>
      </c>
      <c r="EM24" s="553">
        <f>'Prod&amp;Consp'!EP31*$C$23/1000</f>
        <v>0</v>
      </c>
      <c r="EN24" s="553">
        <f>'Prod&amp;Consp'!EQ31*$C$23/1000</f>
        <v>0</v>
      </c>
      <c r="EO24" s="553">
        <f>'Prod&amp;Consp'!ER31*$C$23/1000</f>
        <v>0</v>
      </c>
      <c r="EP24" s="553">
        <f>'Prod&amp;Consp'!ES31*$C$23/1000</f>
        <v>0</v>
      </c>
      <c r="EQ24" s="560">
        <f t="shared" ref="EQ24:EQ26" si="30">SUM(EE24:EP24)</f>
        <v>2100</v>
      </c>
      <c r="ER24" s="565"/>
      <c r="ET24" s="536"/>
      <c r="EU24" s="531" t="s">
        <v>9</v>
      </c>
      <c r="EV24" s="4" t="s">
        <v>1081</v>
      </c>
      <c r="EW24" s="553">
        <f t="shared" si="11"/>
        <v>2100</v>
      </c>
      <c r="EX24" s="553">
        <f t="shared" si="12"/>
        <v>2100</v>
      </c>
      <c r="EY24" s="553">
        <f t="shared" si="13"/>
        <v>0</v>
      </c>
      <c r="EZ24" s="553">
        <f t="shared" si="14"/>
        <v>2100</v>
      </c>
      <c r="FA24" s="553">
        <f t="shared" si="15"/>
        <v>2100</v>
      </c>
      <c r="FB24" s="553">
        <f t="shared" si="16"/>
        <v>0</v>
      </c>
      <c r="FC24" s="553">
        <f t="shared" si="17"/>
        <v>2100</v>
      </c>
      <c r="FD24" s="553">
        <f t="shared" si="18"/>
        <v>2100</v>
      </c>
      <c r="FE24" s="553">
        <f t="shared" si="19"/>
        <v>0</v>
      </c>
      <c r="FF24" s="553">
        <f t="shared" si="20"/>
        <v>2100</v>
      </c>
    </row>
    <row r="25" spans="1:162" ht="10.5" customHeight="1" x14ac:dyDescent="0.35">
      <c r="B25" s="536" t="s">
        <v>475</v>
      </c>
      <c r="C25" s="553">
        <f>Asumsi!F65</f>
        <v>50000</v>
      </c>
      <c r="D25" s="575" t="s">
        <v>479</v>
      </c>
      <c r="F25" s="536"/>
      <c r="G25" s="531" t="s">
        <v>10</v>
      </c>
      <c r="H25" s="4" t="s">
        <v>1082</v>
      </c>
      <c r="I25" s="553">
        <f>'Prod&amp;Consp'!L32*$C$24/1000</f>
        <v>0</v>
      </c>
      <c r="J25" s="553">
        <f>'Prod&amp;Consp'!M32*$C$24/1000</f>
        <v>2040</v>
      </c>
      <c r="K25" s="553">
        <f>'Prod&amp;Consp'!N32*$C$24/1000</f>
        <v>0</v>
      </c>
      <c r="L25" s="553">
        <f>'Prod&amp;Consp'!O32*$C$24/1000</f>
        <v>0</v>
      </c>
      <c r="M25" s="553">
        <f>'Prod&amp;Consp'!P32*$C$24/1000</f>
        <v>0</v>
      </c>
      <c r="N25" s="553">
        <f>'Prod&amp;Consp'!Q32*$C$24/1000</f>
        <v>0</v>
      </c>
      <c r="O25" s="553">
        <f>'Prod&amp;Consp'!R32*$C$24/1000</f>
        <v>0</v>
      </c>
      <c r="P25" s="553">
        <f>'Prod&amp;Consp'!S32*$C$24/1000</f>
        <v>0</v>
      </c>
      <c r="Q25" s="553">
        <f>'Prod&amp;Consp'!T32*$C$24/1000</f>
        <v>0</v>
      </c>
      <c r="R25" s="553">
        <f>'Prod&amp;Consp'!U32*$C$24/1000</f>
        <v>0</v>
      </c>
      <c r="S25" s="553">
        <f>'Prod&amp;Consp'!V32*$C$24/1000</f>
        <v>0</v>
      </c>
      <c r="T25" s="553">
        <f>'Prod&amp;Consp'!W32*$C$24/1000</f>
        <v>0</v>
      </c>
      <c r="U25" s="560">
        <f t="shared" si="1"/>
        <v>2040</v>
      </c>
      <c r="V25" s="565"/>
      <c r="W25" s="553">
        <f>'Prod&amp;Consp'!Z32*$C$24/1000</f>
        <v>0</v>
      </c>
      <c r="X25" s="553">
        <f>'Prod&amp;Consp'!AA32*$C$24/1000</f>
        <v>0</v>
      </c>
      <c r="Y25" s="553">
        <f>'Prod&amp;Consp'!AB32*$C$24/1000</f>
        <v>0</v>
      </c>
      <c r="Z25" s="553">
        <f>'Prod&amp;Consp'!AC32*$C$24/1000</f>
        <v>0</v>
      </c>
      <c r="AA25" s="553">
        <f>'Prod&amp;Consp'!AD32*$C$24/1000</f>
        <v>0</v>
      </c>
      <c r="AB25" s="553">
        <f>'Prod&amp;Consp'!AE32*$C$24/1000</f>
        <v>0</v>
      </c>
      <c r="AC25" s="553">
        <f>'Prod&amp;Consp'!AF32*$C$24/1000</f>
        <v>0</v>
      </c>
      <c r="AD25" s="562">
        <f>'Prod&amp;Consp'!AG32*$C$24/1000</f>
        <v>2040</v>
      </c>
      <c r="AE25" s="553">
        <f>'Prod&amp;Consp'!AH32*$C$24/1000</f>
        <v>0</v>
      </c>
      <c r="AF25" s="553">
        <f>'Prod&amp;Consp'!AI32*$C$24/1000</f>
        <v>0</v>
      </c>
      <c r="AG25" s="553">
        <f>'Prod&amp;Consp'!AJ32*$C$24/1000</f>
        <v>0</v>
      </c>
      <c r="AH25" s="553">
        <f>'Prod&amp;Consp'!AK32*$C$24/1000</f>
        <v>0</v>
      </c>
      <c r="AI25" s="560">
        <f t="shared" si="22"/>
        <v>2040</v>
      </c>
      <c r="AJ25" s="565"/>
      <c r="AK25" s="553">
        <f>'Prod&amp;Consp'!AN32*$C$24/1000</f>
        <v>0</v>
      </c>
      <c r="AL25" s="553">
        <f>'Prod&amp;Consp'!AO32*$C$24/1000</f>
        <v>0</v>
      </c>
      <c r="AM25" s="553">
        <f>'Prod&amp;Consp'!AP32*$C$24/1000</f>
        <v>0</v>
      </c>
      <c r="AN25" s="553">
        <f>'Prod&amp;Consp'!AQ32*$C$24/1000</f>
        <v>0</v>
      </c>
      <c r="AO25" s="553">
        <f>'Prod&amp;Consp'!AR32*$C$24/1000</f>
        <v>0</v>
      </c>
      <c r="AP25" s="553">
        <f>'Prod&amp;Consp'!AS32*$C$24/1000</f>
        <v>0</v>
      </c>
      <c r="AQ25" s="553">
        <f>'Prod&amp;Consp'!AT32*$C$24/1000</f>
        <v>0</v>
      </c>
      <c r="AR25" s="553">
        <f>'Prod&amp;Consp'!AU32*$C$24/1000</f>
        <v>0</v>
      </c>
      <c r="AS25" s="553">
        <f>'Prod&amp;Consp'!AV32*$C$24/1000</f>
        <v>0</v>
      </c>
      <c r="AT25" s="553">
        <f>'Prod&amp;Consp'!AW32*$C$24/1000</f>
        <v>0</v>
      </c>
      <c r="AU25" s="553">
        <f>'Prod&amp;Consp'!AX32*$C$24/1000</f>
        <v>0</v>
      </c>
      <c r="AV25" s="553">
        <f>'Prod&amp;Consp'!AY32*$C$24/1000</f>
        <v>0</v>
      </c>
      <c r="AW25" s="560">
        <f t="shared" si="23"/>
        <v>0</v>
      </c>
      <c r="AX25" s="565"/>
      <c r="AY25" s="553">
        <f>'Prod&amp;Consp'!BB32*$C$24/1000</f>
        <v>0</v>
      </c>
      <c r="AZ25" s="562">
        <f>'Prod&amp;Consp'!BC32*$C$24/1000</f>
        <v>2040</v>
      </c>
      <c r="BA25" s="553">
        <f>'Prod&amp;Consp'!BD32*$C$24/1000</f>
        <v>0</v>
      </c>
      <c r="BB25" s="553">
        <f>'Prod&amp;Consp'!BE32*$C$24/1000</f>
        <v>0</v>
      </c>
      <c r="BC25" s="553">
        <f>'Prod&amp;Consp'!BF32*$C$24/1000</f>
        <v>0</v>
      </c>
      <c r="BD25" s="553">
        <f>'Prod&amp;Consp'!BG32*$C$24/1000</f>
        <v>0</v>
      </c>
      <c r="BE25" s="553">
        <f>'Prod&amp;Consp'!BH32*$C$24/1000</f>
        <v>0</v>
      </c>
      <c r="BF25" s="553">
        <f>'Prod&amp;Consp'!BI32*$C$24/1000</f>
        <v>0</v>
      </c>
      <c r="BG25" s="553">
        <f>'Prod&amp;Consp'!BJ32*$C$24/1000</f>
        <v>0</v>
      </c>
      <c r="BH25" s="553">
        <f>'Prod&amp;Consp'!BK32*$C$24/1000</f>
        <v>0</v>
      </c>
      <c r="BI25" s="553">
        <f>'Prod&amp;Consp'!BL32*$C$24/1000</f>
        <v>0</v>
      </c>
      <c r="BJ25" s="553">
        <f>'Prod&amp;Consp'!BM32*$C$24/1000</f>
        <v>0</v>
      </c>
      <c r="BK25" s="560">
        <f t="shared" si="24"/>
        <v>2040</v>
      </c>
      <c r="BL25" s="565"/>
      <c r="BM25" s="553">
        <f>'Prod&amp;Consp'!BP32*$C$24/1000</f>
        <v>0</v>
      </c>
      <c r="BN25" s="553">
        <f>'Prod&amp;Consp'!BQ32*$C$24/1000</f>
        <v>0</v>
      </c>
      <c r="BO25" s="553">
        <f>'Prod&amp;Consp'!BR32*$C$24/1000</f>
        <v>0</v>
      </c>
      <c r="BP25" s="553">
        <f>'Prod&amp;Consp'!BS32*$C$24/1000</f>
        <v>0</v>
      </c>
      <c r="BQ25" s="553">
        <f>'Prod&amp;Consp'!BT32*$C$24/1000</f>
        <v>0</v>
      </c>
      <c r="BR25" s="553">
        <f>'Prod&amp;Consp'!BU32*$C$24/1000</f>
        <v>0</v>
      </c>
      <c r="BS25" s="553">
        <f>'Prod&amp;Consp'!BV32*$C$24/1000</f>
        <v>0</v>
      </c>
      <c r="BT25" s="562">
        <f>'Prod&amp;Consp'!BW32*$C$24/1000</f>
        <v>2040</v>
      </c>
      <c r="BU25" s="553">
        <f>'Prod&amp;Consp'!BX32*$C$24/1000</f>
        <v>0</v>
      </c>
      <c r="BV25" s="553">
        <f>'Prod&amp;Consp'!BY32*$C$24/1000</f>
        <v>0</v>
      </c>
      <c r="BW25" s="553">
        <f>'Prod&amp;Consp'!BZ32*$C$24/1000</f>
        <v>0</v>
      </c>
      <c r="BX25" s="553">
        <f>'Prod&amp;Consp'!CA32*$C$24/1000</f>
        <v>0</v>
      </c>
      <c r="BY25" s="560">
        <f t="shared" si="25"/>
        <v>2040</v>
      </c>
      <c r="BZ25" s="565"/>
      <c r="CA25" s="553">
        <f>'Prod&amp;Consp'!CD32*$C$24/1000</f>
        <v>0</v>
      </c>
      <c r="CB25" s="553">
        <f>'Prod&amp;Consp'!CE32*$C$24/1000</f>
        <v>0</v>
      </c>
      <c r="CC25" s="553">
        <f>'Prod&amp;Consp'!CF32*$C$24/1000</f>
        <v>0</v>
      </c>
      <c r="CD25" s="553">
        <f>'Prod&amp;Consp'!CG32*$C$24/1000</f>
        <v>0</v>
      </c>
      <c r="CE25" s="553">
        <f>'Prod&amp;Consp'!CH32*$C$24/1000</f>
        <v>0</v>
      </c>
      <c r="CF25" s="553">
        <f>'Prod&amp;Consp'!CI32*$C$24/1000</f>
        <v>0</v>
      </c>
      <c r="CG25" s="553">
        <f>'Prod&amp;Consp'!CJ32*$C$24/1000</f>
        <v>0</v>
      </c>
      <c r="CH25" s="553">
        <f>'Prod&amp;Consp'!CK32*$C$24/1000</f>
        <v>0</v>
      </c>
      <c r="CI25" s="553">
        <f>'Prod&amp;Consp'!CL32*$C$24/1000</f>
        <v>0</v>
      </c>
      <c r="CJ25" s="553">
        <f>'Prod&amp;Consp'!CM32*$C$24/1000</f>
        <v>0</v>
      </c>
      <c r="CK25" s="553">
        <f>'Prod&amp;Consp'!CN32*$C$24/1000</f>
        <v>0</v>
      </c>
      <c r="CL25" s="553">
        <f>'Prod&amp;Consp'!CO32*$C$24/1000</f>
        <v>0</v>
      </c>
      <c r="CM25" s="560">
        <f t="shared" si="26"/>
        <v>0</v>
      </c>
      <c r="CN25" s="565"/>
      <c r="CO25" s="553">
        <f>'Prod&amp;Consp'!CR32*$C$24/1000</f>
        <v>0</v>
      </c>
      <c r="CP25" s="562">
        <f>'Prod&amp;Consp'!CS32*$C$24/1000</f>
        <v>2040</v>
      </c>
      <c r="CQ25" s="553">
        <f>'Prod&amp;Consp'!CT32*$C$24/1000</f>
        <v>0</v>
      </c>
      <c r="CR25" s="553">
        <f>'Prod&amp;Consp'!CU32*$C$24/1000</f>
        <v>0</v>
      </c>
      <c r="CS25" s="553">
        <f>'Prod&amp;Consp'!CV32*$C$24/1000</f>
        <v>0</v>
      </c>
      <c r="CT25" s="553">
        <f>'Prod&amp;Consp'!CW32*$C$24/1000</f>
        <v>0</v>
      </c>
      <c r="CU25" s="553">
        <f>'Prod&amp;Consp'!CX32*$C$24/1000</f>
        <v>0</v>
      </c>
      <c r="CV25" s="553">
        <f>'Prod&amp;Consp'!CY32*$C$24/1000</f>
        <v>0</v>
      </c>
      <c r="CW25" s="553">
        <f>'Prod&amp;Consp'!CZ32*$C$24/1000</f>
        <v>0</v>
      </c>
      <c r="CX25" s="553">
        <f>'Prod&amp;Consp'!DA32*$C$24/1000</f>
        <v>0</v>
      </c>
      <c r="CY25" s="553">
        <f>'Prod&amp;Consp'!DB32*$C$24/1000</f>
        <v>0</v>
      </c>
      <c r="CZ25" s="553">
        <f>'Prod&amp;Consp'!DC32*$C$24/1000</f>
        <v>0</v>
      </c>
      <c r="DA25" s="560">
        <f t="shared" si="27"/>
        <v>2040</v>
      </c>
      <c r="DB25" s="565"/>
      <c r="DC25" s="553">
        <f>'Prod&amp;Consp'!DF32*$C$24/1000</f>
        <v>0</v>
      </c>
      <c r="DD25" s="553">
        <f>'Prod&amp;Consp'!DG32*$C$24/1000</f>
        <v>0</v>
      </c>
      <c r="DE25" s="553">
        <f>'Prod&amp;Consp'!DH32*$C$24/1000</f>
        <v>0</v>
      </c>
      <c r="DF25" s="553">
        <f>'Prod&amp;Consp'!DI32*$C$24/1000</f>
        <v>0</v>
      </c>
      <c r="DG25" s="553">
        <f>'Prod&amp;Consp'!DJ32*$C$24/1000</f>
        <v>0</v>
      </c>
      <c r="DH25" s="553">
        <f>'Prod&amp;Consp'!DK32*$C$24/1000</f>
        <v>0</v>
      </c>
      <c r="DI25" s="553">
        <f>'Prod&amp;Consp'!DL32*$C$24/1000</f>
        <v>0</v>
      </c>
      <c r="DJ25" s="562">
        <f>'Prod&amp;Consp'!DM32*$C$24/1000</f>
        <v>2040</v>
      </c>
      <c r="DK25" s="553">
        <f>'Prod&amp;Consp'!DN32*$C$24/1000</f>
        <v>0</v>
      </c>
      <c r="DL25" s="553">
        <f>'Prod&amp;Consp'!DO32*$C$24/1000</f>
        <v>0</v>
      </c>
      <c r="DM25" s="553">
        <f>'Prod&amp;Consp'!DP32*$C$24/1000</f>
        <v>0</v>
      </c>
      <c r="DN25" s="553">
        <f>'Prod&amp;Consp'!DQ32*$C$24/1000</f>
        <v>0</v>
      </c>
      <c r="DO25" s="560">
        <f t="shared" si="28"/>
        <v>2040</v>
      </c>
      <c r="DP25" s="565"/>
      <c r="DQ25" s="553">
        <f>'Prod&amp;Consp'!DT32*$C$24/1000</f>
        <v>0</v>
      </c>
      <c r="DR25" s="553">
        <f>'Prod&amp;Consp'!DU32*$C$24/1000</f>
        <v>0</v>
      </c>
      <c r="DS25" s="553">
        <f>'Prod&amp;Consp'!DV32*$C$24/1000</f>
        <v>0</v>
      </c>
      <c r="DT25" s="553">
        <f>'Prod&amp;Consp'!DW32*$C$24/1000</f>
        <v>0</v>
      </c>
      <c r="DU25" s="553">
        <f>'Prod&amp;Consp'!DX32*$C$24/1000</f>
        <v>0</v>
      </c>
      <c r="DV25" s="553">
        <f>'Prod&amp;Consp'!DY32*$C$24/1000</f>
        <v>0</v>
      </c>
      <c r="DW25" s="553">
        <f>'Prod&amp;Consp'!DZ32*$C$24/1000</f>
        <v>0</v>
      </c>
      <c r="DX25" s="553">
        <f>'Prod&amp;Consp'!EA32*$C$24/1000</f>
        <v>0</v>
      </c>
      <c r="DY25" s="553">
        <f>'Prod&amp;Consp'!EB32*$C$24/1000</f>
        <v>0</v>
      </c>
      <c r="DZ25" s="553">
        <f>'Prod&amp;Consp'!EC32*$C$24/1000</f>
        <v>0</v>
      </c>
      <c r="EA25" s="553">
        <f>'Prod&amp;Consp'!ED32*$C$24/1000</f>
        <v>0</v>
      </c>
      <c r="EB25" s="553">
        <f>'Prod&amp;Consp'!EE32*$C$24/1000</f>
        <v>0</v>
      </c>
      <c r="EC25" s="560">
        <f t="shared" si="29"/>
        <v>0</v>
      </c>
      <c r="ED25" s="565"/>
      <c r="EE25" s="553">
        <f>'Prod&amp;Consp'!EH32*$C$24/1000</f>
        <v>0</v>
      </c>
      <c r="EF25" s="562">
        <f>'Prod&amp;Consp'!EI32*$C$24/1000</f>
        <v>2040</v>
      </c>
      <c r="EG25" s="553">
        <f>'Prod&amp;Consp'!EJ32*$C$24/1000</f>
        <v>0</v>
      </c>
      <c r="EH25" s="553">
        <f>'Prod&amp;Consp'!EK32*$C$24/1000</f>
        <v>0</v>
      </c>
      <c r="EI25" s="553">
        <f>'Prod&amp;Consp'!EL32*$C$24/1000</f>
        <v>0</v>
      </c>
      <c r="EJ25" s="553">
        <f>'Prod&amp;Consp'!EM32*$C$24/1000</f>
        <v>0</v>
      </c>
      <c r="EK25" s="553">
        <f>'Prod&amp;Consp'!EN32*$C$24/1000</f>
        <v>0</v>
      </c>
      <c r="EL25" s="553">
        <f>'Prod&amp;Consp'!EO32*$C$24/1000</f>
        <v>0</v>
      </c>
      <c r="EM25" s="553">
        <f>'Prod&amp;Consp'!EP32*$C$24/1000</f>
        <v>0</v>
      </c>
      <c r="EN25" s="553">
        <f>'Prod&amp;Consp'!EQ32*$C$24/1000</f>
        <v>0</v>
      </c>
      <c r="EO25" s="553">
        <f>'Prod&amp;Consp'!ER32*$C$24/1000</f>
        <v>0</v>
      </c>
      <c r="EP25" s="553">
        <f>'Prod&amp;Consp'!ES32*$C$24/1000</f>
        <v>0</v>
      </c>
      <c r="EQ25" s="560">
        <f t="shared" si="30"/>
        <v>2040</v>
      </c>
      <c r="ER25" s="565"/>
      <c r="ET25" s="536"/>
      <c r="EU25" s="531" t="s">
        <v>10</v>
      </c>
      <c r="EV25" s="4" t="s">
        <v>1082</v>
      </c>
      <c r="EW25" s="553">
        <f t="shared" si="11"/>
        <v>2040</v>
      </c>
      <c r="EX25" s="553">
        <f t="shared" si="12"/>
        <v>2040</v>
      </c>
      <c r="EY25" s="553">
        <f t="shared" si="13"/>
        <v>0</v>
      </c>
      <c r="EZ25" s="553">
        <f t="shared" si="14"/>
        <v>2040</v>
      </c>
      <c r="FA25" s="553">
        <f t="shared" si="15"/>
        <v>2040</v>
      </c>
      <c r="FB25" s="553">
        <f t="shared" si="16"/>
        <v>0</v>
      </c>
      <c r="FC25" s="553">
        <f t="shared" si="17"/>
        <v>2040</v>
      </c>
      <c r="FD25" s="553">
        <f t="shared" si="18"/>
        <v>2040</v>
      </c>
      <c r="FE25" s="553">
        <f t="shared" si="19"/>
        <v>0</v>
      </c>
      <c r="FF25" s="553">
        <f t="shared" si="20"/>
        <v>2040</v>
      </c>
    </row>
    <row r="26" spans="1:162" ht="10.5" customHeight="1" x14ac:dyDescent="0.35">
      <c r="A26" s="547" t="s">
        <v>441</v>
      </c>
      <c r="B26" s="536" t="s">
        <v>51</v>
      </c>
      <c r="C26" s="553"/>
      <c r="D26" s="575"/>
      <c r="F26" s="536"/>
      <c r="G26" s="531" t="s">
        <v>13</v>
      </c>
      <c r="H26" s="4" t="s">
        <v>1083</v>
      </c>
      <c r="I26" s="553">
        <f>'Prod&amp;Consp'!L33*$C$25/1000</f>
        <v>0</v>
      </c>
      <c r="J26" s="553">
        <f>'Prod&amp;Consp'!M33*$C$25/1000</f>
        <v>0</v>
      </c>
      <c r="K26" s="553">
        <f>'Prod&amp;Consp'!N33*$C$25/1000</f>
        <v>0</v>
      </c>
      <c r="L26" s="553">
        <f>'Prod&amp;Consp'!O33*$C$25/1000</f>
        <v>0</v>
      </c>
      <c r="M26" s="553">
        <f>'Prod&amp;Consp'!P33*$C$25/1000</f>
        <v>0</v>
      </c>
      <c r="N26" s="553">
        <f>'Prod&amp;Consp'!Q33*$C$25/1000</f>
        <v>0</v>
      </c>
      <c r="O26" s="553">
        <f>'Prod&amp;Consp'!R33*$C$25/1000</f>
        <v>0</v>
      </c>
      <c r="P26" s="553">
        <f>'Prod&amp;Consp'!S33*$C$25/1000</f>
        <v>1500</v>
      </c>
      <c r="Q26" s="553">
        <f>'Prod&amp;Consp'!T33*$C$25/1000</f>
        <v>0</v>
      </c>
      <c r="R26" s="553">
        <f>'Prod&amp;Consp'!U33*$C$25/1000</f>
        <v>0</v>
      </c>
      <c r="S26" s="553">
        <f>'Prod&amp;Consp'!V33*$C$25/1000</f>
        <v>0</v>
      </c>
      <c r="T26" s="553">
        <f>'Prod&amp;Consp'!W33*$C$25/1000</f>
        <v>0</v>
      </c>
      <c r="U26" s="560">
        <f t="shared" si="1"/>
        <v>1500</v>
      </c>
      <c r="V26" s="565"/>
      <c r="W26" s="553">
        <f>'Prod&amp;Consp'!Z33*$C$25/1000</f>
        <v>0</v>
      </c>
      <c r="X26" s="553">
        <f>'Prod&amp;Consp'!AA33*$C$25/1000</f>
        <v>0</v>
      </c>
      <c r="Y26" s="553">
        <f>'Prod&amp;Consp'!AB33*$C$25/1000</f>
        <v>0</v>
      </c>
      <c r="Z26" s="553">
        <f>'Prod&amp;Consp'!AC33*$C$25/1000</f>
        <v>0</v>
      </c>
      <c r="AA26" s="553">
        <f>'Prod&amp;Consp'!AD33*$C$25/1000</f>
        <v>0</v>
      </c>
      <c r="AB26" s="553">
        <f>'Prod&amp;Consp'!AE33*$C$25/1000</f>
        <v>0</v>
      </c>
      <c r="AC26" s="553">
        <f>'Prod&amp;Consp'!AF33*$C$25/1000</f>
        <v>0</v>
      </c>
      <c r="AD26" s="562">
        <f>'Prod&amp;Consp'!AG33*$C$25/1000</f>
        <v>0</v>
      </c>
      <c r="AE26" s="553">
        <f>'Prod&amp;Consp'!AH33*$C$25/1000</f>
        <v>0</v>
      </c>
      <c r="AF26" s="553">
        <f>'Prod&amp;Consp'!AI33*$C$25/1000</f>
        <v>0</v>
      </c>
      <c r="AG26" s="553">
        <f>'Prod&amp;Consp'!AJ33*$C$25/1000</f>
        <v>0</v>
      </c>
      <c r="AH26" s="553">
        <f>'Prod&amp;Consp'!AK33*$C$25/1000</f>
        <v>0</v>
      </c>
      <c r="AI26" s="560">
        <f t="shared" si="22"/>
        <v>0</v>
      </c>
      <c r="AJ26" s="565"/>
      <c r="AK26" s="553">
        <f>'Prod&amp;Consp'!AN33*$C$25/1000</f>
        <v>0</v>
      </c>
      <c r="AL26" s="553">
        <f>'Prod&amp;Consp'!AO33*$C$25/1000</f>
        <v>1500</v>
      </c>
      <c r="AM26" s="553">
        <f>'Prod&amp;Consp'!AP33*$C$25/1000</f>
        <v>0</v>
      </c>
      <c r="AN26" s="553">
        <f>'Prod&amp;Consp'!AQ33*$C$25/1000</f>
        <v>0</v>
      </c>
      <c r="AO26" s="553">
        <f>'Prod&amp;Consp'!AR33*$C$25/1000</f>
        <v>0</v>
      </c>
      <c r="AP26" s="553">
        <f>'Prod&amp;Consp'!AS33*$C$25/1000</f>
        <v>0</v>
      </c>
      <c r="AQ26" s="553">
        <f>'Prod&amp;Consp'!AT33*$C$25/1000</f>
        <v>0</v>
      </c>
      <c r="AR26" s="553">
        <f>'Prod&amp;Consp'!AU33*$C$25/1000</f>
        <v>0</v>
      </c>
      <c r="AS26" s="553">
        <f>'Prod&amp;Consp'!AV33*$C$25/1000</f>
        <v>0</v>
      </c>
      <c r="AT26" s="553">
        <f>'Prod&amp;Consp'!AW33*$C$25/1000</f>
        <v>0</v>
      </c>
      <c r="AU26" s="553">
        <f>'Prod&amp;Consp'!AX33*$C$25/1000</f>
        <v>0</v>
      </c>
      <c r="AV26" s="553">
        <f>'Prod&amp;Consp'!AY33*$C$25/1000</f>
        <v>0</v>
      </c>
      <c r="AW26" s="560">
        <f t="shared" si="23"/>
        <v>1500</v>
      </c>
      <c r="AX26" s="565"/>
      <c r="AY26" s="553">
        <f>'Prod&amp;Consp'!BB33*$C$25/1000</f>
        <v>0</v>
      </c>
      <c r="AZ26" s="562">
        <f>'Prod&amp;Consp'!BC33*$C$25/1000</f>
        <v>0</v>
      </c>
      <c r="BA26" s="553">
        <f>'Prod&amp;Consp'!BD33*$C$25/1000</f>
        <v>0</v>
      </c>
      <c r="BB26" s="553">
        <f>'Prod&amp;Consp'!BE33*$C$25/1000</f>
        <v>0</v>
      </c>
      <c r="BC26" s="553">
        <f>'Prod&amp;Consp'!BF33*$C$25/1000</f>
        <v>0</v>
      </c>
      <c r="BD26" s="553">
        <f>'Prod&amp;Consp'!BG33*$C$25/1000</f>
        <v>0</v>
      </c>
      <c r="BE26" s="553">
        <f>'Prod&amp;Consp'!BH33*$C$25/1000</f>
        <v>0</v>
      </c>
      <c r="BF26" s="553">
        <f>'Prod&amp;Consp'!BI33*$C$25/1000</f>
        <v>1500</v>
      </c>
      <c r="BG26" s="553">
        <f>'Prod&amp;Consp'!BJ33*$C$25/1000</f>
        <v>0</v>
      </c>
      <c r="BH26" s="553">
        <f>'Prod&amp;Consp'!BK33*$C$25/1000</f>
        <v>0</v>
      </c>
      <c r="BI26" s="553">
        <f>'Prod&amp;Consp'!BL33*$C$25/1000</f>
        <v>0</v>
      </c>
      <c r="BJ26" s="553">
        <f>'Prod&amp;Consp'!BM33*$C$25/1000</f>
        <v>0</v>
      </c>
      <c r="BK26" s="560">
        <f t="shared" si="24"/>
        <v>1500</v>
      </c>
      <c r="BL26" s="565"/>
      <c r="BM26" s="553">
        <f>'Prod&amp;Consp'!BP33*$C$25/1000</f>
        <v>0</v>
      </c>
      <c r="BN26" s="553">
        <f>'Prod&amp;Consp'!BQ33*$C$25/1000</f>
        <v>0</v>
      </c>
      <c r="BO26" s="553">
        <f>'Prod&amp;Consp'!BR33*$C$25/1000</f>
        <v>0</v>
      </c>
      <c r="BP26" s="553">
        <f>'Prod&amp;Consp'!BS33*$C$25/1000</f>
        <v>0</v>
      </c>
      <c r="BQ26" s="553">
        <f>'Prod&amp;Consp'!BT33*$C$25/1000</f>
        <v>0</v>
      </c>
      <c r="BR26" s="553">
        <f>'Prod&amp;Consp'!BU33*$C$25/1000</f>
        <v>0</v>
      </c>
      <c r="BS26" s="553">
        <f>'Prod&amp;Consp'!BV33*$C$25/1000</f>
        <v>0</v>
      </c>
      <c r="BT26" s="562">
        <f>'Prod&amp;Consp'!BW33*$C$25/1000</f>
        <v>0</v>
      </c>
      <c r="BU26" s="553">
        <f>'Prod&amp;Consp'!BX33*$C$25/1000</f>
        <v>0</v>
      </c>
      <c r="BV26" s="553">
        <f>'Prod&amp;Consp'!BY33*$C$25/1000</f>
        <v>0</v>
      </c>
      <c r="BW26" s="553">
        <f>'Prod&amp;Consp'!BZ33*$C$25/1000</f>
        <v>0</v>
      </c>
      <c r="BX26" s="553">
        <f>'Prod&amp;Consp'!CA33*$C$25/1000</f>
        <v>0</v>
      </c>
      <c r="BY26" s="560">
        <f t="shared" si="25"/>
        <v>0</v>
      </c>
      <c r="BZ26" s="565"/>
      <c r="CA26" s="553">
        <f>'Prod&amp;Consp'!CD33*$C$25/1000</f>
        <v>0</v>
      </c>
      <c r="CB26" s="553">
        <f>'Prod&amp;Consp'!CE33*$C$25/1000</f>
        <v>0</v>
      </c>
      <c r="CC26" s="553">
        <f>'Prod&amp;Consp'!CF33*$C$25/1000</f>
        <v>1500</v>
      </c>
      <c r="CD26" s="553">
        <f>'Prod&amp;Consp'!CG33*$C$25/1000</f>
        <v>0</v>
      </c>
      <c r="CE26" s="553">
        <f>'Prod&amp;Consp'!CH33*$C$25/1000</f>
        <v>0</v>
      </c>
      <c r="CF26" s="553">
        <f>'Prod&amp;Consp'!CI33*$C$25/1000</f>
        <v>0</v>
      </c>
      <c r="CG26" s="553">
        <f>'Prod&amp;Consp'!CJ33*$C$25/1000</f>
        <v>0</v>
      </c>
      <c r="CH26" s="553">
        <f>'Prod&amp;Consp'!CK33*$C$25/1000</f>
        <v>0</v>
      </c>
      <c r="CI26" s="553">
        <f>'Prod&amp;Consp'!CL33*$C$25/1000</f>
        <v>0</v>
      </c>
      <c r="CJ26" s="553">
        <f>'Prod&amp;Consp'!CM33*$C$25/1000</f>
        <v>0</v>
      </c>
      <c r="CK26" s="553">
        <f>'Prod&amp;Consp'!CN33*$C$25/1000</f>
        <v>0</v>
      </c>
      <c r="CL26" s="553">
        <f>'Prod&amp;Consp'!CO33*$C$25/1000</f>
        <v>0</v>
      </c>
      <c r="CM26" s="560">
        <f t="shared" si="26"/>
        <v>1500</v>
      </c>
      <c r="CN26" s="565"/>
      <c r="CO26" s="553">
        <f>'Prod&amp;Consp'!CR33*$C$25/1000</f>
        <v>0</v>
      </c>
      <c r="CP26" s="562">
        <f>'Prod&amp;Consp'!CS33*$C$25/1000</f>
        <v>0</v>
      </c>
      <c r="CQ26" s="553">
        <f>'Prod&amp;Consp'!CT33*$C$25/1000</f>
        <v>0</v>
      </c>
      <c r="CR26" s="553">
        <f>'Prod&amp;Consp'!CU33*$C$25/1000</f>
        <v>0</v>
      </c>
      <c r="CS26" s="553">
        <f>'Prod&amp;Consp'!CV33*$C$25/1000</f>
        <v>0</v>
      </c>
      <c r="CT26" s="553">
        <f>'Prod&amp;Consp'!CW33*$C$25/1000</f>
        <v>0</v>
      </c>
      <c r="CU26" s="553">
        <f>'Prod&amp;Consp'!CX33*$C$25/1000</f>
        <v>0</v>
      </c>
      <c r="CV26" s="553">
        <f>'Prod&amp;Consp'!CY33*$C$25/1000</f>
        <v>1500</v>
      </c>
      <c r="CW26" s="553">
        <f>'Prod&amp;Consp'!CZ33*$C$25/1000</f>
        <v>0</v>
      </c>
      <c r="CX26" s="553">
        <f>'Prod&amp;Consp'!DA33*$C$25/1000</f>
        <v>0</v>
      </c>
      <c r="CY26" s="553">
        <f>'Prod&amp;Consp'!DB33*$C$25/1000</f>
        <v>0</v>
      </c>
      <c r="CZ26" s="553">
        <f>'Prod&amp;Consp'!DC33*$C$25/1000</f>
        <v>0</v>
      </c>
      <c r="DA26" s="560">
        <f t="shared" si="27"/>
        <v>1500</v>
      </c>
      <c r="DB26" s="565"/>
      <c r="DC26" s="553">
        <f>'Prod&amp;Consp'!DF33*$C$25/1000</f>
        <v>0</v>
      </c>
      <c r="DD26" s="553">
        <f>'Prod&amp;Consp'!DG33*$C$25/1000</f>
        <v>0</v>
      </c>
      <c r="DE26" s="553">
        <f>'Prod&amp;Consp'!DH33*$C$25/1000</f>
        <v>0</v>
      </c>
      <c r="DF26" s="553">
        <f>'Prod&amp;Consp'!DI33*$C$25/1000</f>
        <v>0</v>
      </c>
      <c r="DG26" s="553">
        <f>'Prod&amp;Consp'!DJ33*$C$25/1000</f>
        <v>0</v>
      </c>
      <c r="DH26" s="553">
        <f>'Prod&amp;Consp'!DK33*$C$25/1000</f>
        <v>0</v>
      </c>
      <c r="DI26" s="553">
        <f>'Prod&amp;Consp'!DL33*$C$25/1000</f>
        <v>0</v>
      </c>
      <c r="DJ26" s="562">
        <f>'Prod&amp;Consp'!DM33*$C$25/1000</f>
        <v>0</v>
      </c>
      <c r="DK26" s="553">
        <f>'Prod&amp;Consp'!DN33*$C$25/1000</f>
        <v>0</v>
      </c>
      <c r="DL26" s="553">
        <f>'Prod&amp;Consp'!DO33*$C$25/1000</f>
        <v>0</v>
      </c>
      <c r="DM26" s="553">
        <f>'Prod&amp;Consp'!DP33*$C$25/1000</f>
        <v>0</v>
      </c>
      <c r="DN26" s="553">
        <f>'Prod&amp;Consp'!DQ33*$C$25/1000</f>
        <v>0</v>
      </c>
      <c r="DO26" s="560">
        <f t="shared" si="28"/>
        <v>0</v>
      </c>
      <c r="DP26" s="565"/>
      <c r="DQ26" s="553">
        <f>'Prod&amp;Consp'!DT33*$C$25/1000</f>
        <v>0</v>
      </c>
      <c r="DR26" s="553">
        <f>'Prod&amp;Consp'!DU33*$C$25/1000</f>
        <v>1500</v>
      </c>
      <c r="DS26" s="553">
        <f>'Prod&amp;Consp'!DV33*$C$25/1000</f>
        <v>0</v>
      </c>
      <c r="DT26" s="553">
        <f>'Prod&amp;Consp'!DW33*$C$25/1000</f>
        <v>0</v>
      </c>
      <c r="DU26" s="553">
        <f>'Prod&amp;Consp'!DX33*$C$25/1000</f>
        <v>0</v>
      </c>
      <c r="DV26" s="553">
        <f>'Prod&amp;Consp'!DY33*$C$25/1000</f>
        <v>0</v>
      </c>
      <c r="DW26" s="553">
        <f>'Prod&amp;Consp'!DZ33*$C$25/1000</f>
        <v>0</v>
      </c>
      <c r="DX26" s="553">
        <f>'Prod&amp;Consp'!EA33*$C$25/1000</f>
        <v>0</v>
      </c>
      <c r="DY26" s="553">
        <f>'Prod&amp;Consp'!EB33*$C$25/1000</f>
        <v>0</v>
      </c>
      <c r="DZ26" s="553">
        <f>'Prod&amp;Consp'!EC33*$C$25/1000</f>
        <v>0</v>
      </c>
      <c r="EA26" s="553">
        <f>'Prod&amp;Consp'!ED33*$C$25/1000</f>
        <v>0</v>
      </c>
      <c r="EB26" s="553">
        <f>'Prod&amp;Consp'!EE33*$C$25/1000</f>
        <v>0</v>
      </c>
      <c r="EC26" s="560">
        <f t="shared" si="29"/>
        <v>1500</v>
      </c>
      <c r="ED26" s="565"/>
      <c r="EE26" s="553">
        <f>'Prod&amp;Consp'!EH33*$C$25/1000</f>
        <v>0</v>
      </c>
      <c r="EF26" s="562">
        <f>'Prod&amp;Consp'!EI33*$C$25/1000</f>
        <v>0</v>
      </c>
      <c r="EG26" s="553">
        <f>'Prod&amp;Consp'!EJ33*$C$25/1000</f>
        <v>0</v>
      </c>
      <c r="EH26" s="553">
        <f>'Prod&amp;Consp'!EK33*$C$25/1000</f>
        <v>0</v>
      </c>
      <c r="EI26" s="553">
        <f>'Prod&amp;Consp'!EL33*$C$25/1000</f>
        <v>0</v>
      </c>
      <c r="EJ26" s="553">
        <f>'Prod&amp;Consp'!EM33*$C$25/1000</f>
        <v>0</v>
      </c>
      <c r="EK26" s="553">
        <f>'Prod&amp;Consp'!EN33*$C$25/1000</f>
        <v>0</v>
      </c>
      <c r="EL26" s="553">
        <f>'Prod&amp;Consp'!EO33*$C$25/1000</f>
        <v>1500</v>
      </c>
      <c r="EM26" s="553">
        <f>'Prod&amp;Consp'!EP33*$C$25/1000</f>
        <v>0</v>
      </c>
      <c r="EN26" s="553">
        <f>'Prod&amp;Consp'!EQ33*$C$25/1000</f>
        <v>0</v>
      </c>
      <c r="EO26" s="553">
        <f>'Prod&amp;Consp'!ER33*$C$25/1000</f>
        <v>0</v>
      </c>
      <c r="EP26" s="553">
        <f>'Prod&amp;Consp'!ES33*$C$25/1000</f>
        <v>0</v>
      </c>
      <c r="EQ26" s="560">
        <f t="shared" si="30"/>
        <v>1500</v>
      </c>
      <c r="ER26" s="565"/>
      <c r="ET26" s="536"/>
      <c r="EU26" s="531" t="s">
        <v>13</v>
      </c>
      <c r="EV26" s="4" t="s">
        <v>1083</v>
      </c>
      <c r="EW26" s="553">
        <f t="shared" si="11"/>
        <v>1500</v>
      </c>
      <c r="EX26" s="553">
        <f t="shared" si="12"/>
        <v>0</v>
      </c>
      <c r="EY26" s="553">
        <f t="shared" si="13"/>
        <v>1500</v>
      </c>
      <c r="EZ26" s="553">
        <f t="shared" si="14"/>
        <v>1500</v>
      </c>
      <c r="FA26" s="553">
        <f t="shared" si="15"/>
        <v>0</v>
      </c>
      <c r="FB26" s="553">
        <f t="shared" si="16"/>
        <v>1500</v>
      </c>
      <c r="FC26" s="553">
        <f t="shared" si="17"/>
        <v>1500</v>
      </c>
      <c r="FD26" s="553">
        <f t="shared" si="18"/>
        <v>0</v>
      </c>
      <c r="FE26" s="553">
        <f t="shared" si="19"/>
        <v>1500</v>
      </c>
      <c r="FF26" s="553">
        <f t="shared" si="20"/>
        <v>1500</v>
      </c>
    </row>
    <row r="27" spans="1:162" ht="10.5" customHeight="1" x14ac:dyDescent="0.35">
      <c r="B27" s="536" t="s">
        <v>480</v>
      </c>
      <c r="C27" s="553">
        <f>Asumsi!F67</f>
        <v>60000</v>
      </c>
      <c r="D27" s="575" t="s">
        <v>254</v>
      </c>
      <c r="F27" s="536">
        <v>1.4</v>
      </c>
      <c r="G27" s="531" t="s">
        <v>51</v>
      </c>
      <c r="H27" s="4"/>
      <c r="I27" s="576"/>
      <c r="J27" s="576"/>
      <c r="K27" s="576"/>
      <c r="L27" s="576"/>
      <c r="M27" s="576"/>
      <c r="N27" s="576"/>
      <c r="O27" s="576"/>
      <c r="P27" s="576"/>
      <c r="Q27" s="576"/>
      <c r="R27" s="576"/>
      <c r="S27" s="576"/>
      <c r="T27" s="576"/>
      <c r="U27" s="560"/>
      <c r="V27" s="565"/>
      <c r="W27" s="553"/>
      <c r="X27" s="553"/>
      <c r="Y27" s="553"/>
      <c r="Z27" s="553"/>
      <c r="AA27" s="553"/>
      <c r="AB27" s="553"/>
      <c r="AC27" s="553"/>
      <c r="AD27" s="562"/>
      <c r="AE27" s="553"/>
      <c r="AF27" s="553"/>
      <c r="AG27" s="553"/>
      <c r="AH27" s="553"/>
      <c r="AI27" s="560"/>
      <c r="AJ27" s="565"/>
      <c r="AK27" s="553"/>
      <c r="AL27" s="553"/>
      <c r="AM27" s="553"/>
      <c r="AN27" s="553"/>
      <c r="AO27" s="553"/>
      <c r="AP27" s="553"/>
      <c r="AQ27" s="553"/>
      <c r="AR27" s="553"/>
      <c r="AS27" s="553"/>
      <c r="AT27" s="553"/>
      <c r="AU27" s="553"/>
      <c r="AV27" s="553"/>
      <c r="AW27" s="560"/>
      <c r="AX27" s="565"/>
      <c r="AY27" s="553"/>
      <c r="AZ27" s="562"/>
      <c r="BA27" s="553"/>
      <c r="BB27" s="553"/>
      <c r="BC27" s="553"/>
      <c r="BD27" s="553"/>
      <c r="BE27" s="553"/>
      <c r="BF27" s="553"/>
      <c r="BG27" s="553"/>
      <c r="BH27" s="553"/>
      <c r="BI27" s="553"/>
      <c r="BJ27" s="553"/>
      <c r="BK27" s="560"/>
      <c r="BL27" s="565"/>
      <c r="BM27" s="553"/>
      <c r="BN27" s="553"/>
      <c r="BO27" s="553"/>
      <c r="BP27" s="553"/>
      <c r="BQ27" s="553"/>
      <c r="BR27" s="553"/>
      <c r="BS27" s="553"/>
      <c r="BT27" s="562"/>
      <c r="BU27" s="553"/>
      <c r="BV27" s="553"/>
      <c r="BW27" s="553"/>
      <c r="BX27" s="553"/>
      <c r="BY27" s="560"/>
      <c r="BZ27" s="565"/>
      <c r="CA27" s="553"/>
      <c r="CB27" s="553"/>
      <c r="CC27" s="553"/>
      <c r="CD27" s="553"/>
      <c r="CE27" s="553"/>
      <c r="CF27" s="553"/>
      <c r="CG27" s="553"/>
      <c r="CH27" s="553"/>
      <c r="CI27" s="553"/>
      <c r="CJ27" s="553"/>
      <c r="CK27" s="553"/>
      <c r="CL27" s="553"/>
      <c r="CM27" s="560"/>
      <c r="CN27" s="565"/>
      <c r="CO27" s="553"/>
      <c r="CP27" s="562"/>
      <c r="CQ27" s="553"/>
      <c r="CR27" s="553"/>
      <c r="CS27" s="553"/>
      <c r="CT27" s="553"/>
      <c r="CU27" s="553"/>
      <c r="CV27" s="553"/>
      <c r="CW27" s="553"/>
      <c r="CX27" s="553"/>
      <c r="CY27" s="553"/>
      <c r="CZ27" s="553"/>
      <c r="DA27" s="560"/>
      <c r="DB27" s="565"/>
      <c r="DC27" s="553"/>
      <c r="DD27" s="553"/>
      <c r="DE27" s="553"/>
      <c r="DF27" s="553"/>
      <c r="DG27" s="553"/>
      <c r="DH27" s="553"/>
      <c r="DI27" s="553"/>
      <c r="DJ27" s="562"/>
      <c r="DK27" s="553"/>
      <c r="DL27" s="553"/>
      <c r="DM27" s="553"/>
      <c r="DN27" s="553"/>
      <c r="DO27" s="560"/>
      <c r="DP27" s="565"/>
      <c r="DQ27" s="553"/>
      <c r="DR27" s="553"/>
      <c r="DS27" s="553"/>
      <c r="DT27" s="553"/>
      <c r="DU27" s="553"/>
      <c r="DV27" s="553"/>
      <c r="DW27" s="553"/>
      <c r="DX27" s="553"/>
      <c r="DY27" s="553"/>
      <c r="DZ27" s="553"/>
      <c r="EA27" s="553"/>
      <c r="EB27" s="553"/>
      <c r="EC27" s="560"/>
      <c r="ED27" s="565"/>
      <c r="EE27" s="553"/>
      <c r="EF27" s="562"/>
      <c r="EG27" s="553"/>
      <c r="EH27" s="553"/>
      <c r="EI27" s="553"/>
      <c r="EJ27" s="553"/>
      <c r="EK27" s="553"/>
      <c r="EL27" s="553"/>
      <c r="EM27" s="553"/>
      <c r="EN27" s="553"/>
      <c r="EO27" s="553"/>
      <c r="EP27" s="553"/>
      <c r="EQ27" s="560"/>
      <c r="ER27" s="565"/>
      <c r="ET27" s="536">
        <v>1.4</v>
      </c>
      <c r="EU27" s="531" t="s">
        <v>51</v>
      </c>
      <c r="EV27" s="4"/>
      <c r="EW27" s="576">
        <f>SUM(EW28:EW29)</f>
        <v>1845</v>
      </c>
      <c r="EX27" s="576">
        <f t="shared" ref="EX27:FF27" si="31">SUM(EX28:EX29)</f>
        <v>1485</v>
      </c>
      <c r="EY27" s="576">
        <f t="shared" si="31"/>
        <v>360</v>
      </c>
      <c r="EZ27" s="576">
        <f t="shared" si="31"/>
        <v>1845</v>
      </c>
      <c r="FA27" s="576">
        <f t="shared" si="31"/>
        <v>1485</v>
      </c>
      <c r="FB27" s="576">
        <f t="shared" si="31"/>
        <v>360</v>
      </c>
      <c r="FC27" s="576">
        <f t="shared" si="31"/>
        <v>1845</v>
      </c>
      <c r="FD27" s="576">
        <f t="shared" si="31"/>
        <v>1485</v>
      </c>
      <c r="FE27" s="576">
        <f t="shared" si="31"/>
        <v>360</v>
      </c>
      <c r="FF27" s="576">
        <f t="shared" si="31"/>
        <v>1845</v>
      </c>
    </row>
    <row r="28" spans="1:162" ht="10.5" customHeight="1" x14ac:dyDescent="0.35">
      <c r="B28" s="531" t="s">
        <v>481</v>
      </c>
      <c r="C28" s="553">
        <f>Asumsi!F68</f>
        <v>75000</v>
      </c>
      <c r="D28" s="575" t="s">
        <v>254</v>
      </c>
      <c r="F28" s="536"/>
      <c r="G28" s="531" t="s">
        <v>9</v>
      </c>
      <c r="H28" s="4" t="s">
        <v>491</v>
      </c>
      <c r="I28" s="553">
        <f>'Prod&amp;Consp'!L35*$C$27/1000</f>
        <v>360</v>
      </c>
      <c r="J28" s="553">
        <f>'Prod&amp;Consp'!M35*$C$27/1000</f>
        <v>0</v>
      </c>
      <c r="K28" s="553">
        <f>'Prod&amp;Consp'!N35*$C$27/1000</f>
        <v>0</v>
      </c>
      <c r="L28" s="553">
        <f>'Prod&amp;Consp'!O35*$C$27/1000</f>
        <v>0</v>
      </c>
      <c r="M28" s="553">
        <f>'Prod&amp;Consp'!P35*$C$27/1000</f>
        <v>0</v>
      </c>
      <c r="N28" s="553">
        <f>'Prod&amp;Consp'!Q35*$C$27/1000</f>
        <v>0</v>
      </c>
      <c r="O28" s="553">
        <f>'Prod&amp;Consp'!R35*$C$27/1000</f>
        <v>0</v>
      </c>
      <c r="P28" s="553">
        <f>'Prod&amp;Consp'!S35*$C$27/1000</f>
        <v>360</v>
      </c>
      <c r="Q28" s="553">
        <f>'Prod&amp;Consp'!T35*$C$27/1000</f>
        <v>0</v>
      </c>
      <c r="R28" s="553">
        <f>'Prod&amp;Consp'!U35*$C$27/1000</f>
        <v>0</v>
      </c>
      <c r="S28" s="553">
        <f>'Prod&amp;Consp'!V35*$C$27/1000</f>
        <v>0</v>
      </c>
      <c r="T28" s="553">
        <f>'Prod&amp;Consp'!W35*$C$27/1000</f>
        <v>0</v>
      </c>
      <c r="U28" s="560">
        <f t="shared" si="1"/>
        <v>720</v>
      </c>
      <c r="V28" s="565"/>
      <c r="W28" s="553">
        <f>'Prod&amp;Consp'!Z35*$C$27/1000</f>
        <v>0</v>
      </c>
      <c r="X28" s="553">
        <f>'Prod&amp;Consp'!AA35*$C$27/1000</f>
        <v>0</v>
      </c>
      <c r="Y28" s="553">
        <f>'Prod&amp;Consp'!AB35*$C$27/1000</f>
        <v>0</v>
      </c>
      <c r="Z28" s="553">
        <f>'Prod&amp;Consp'!AC35*$C$27/1000</f>
        <v>0</v>
      </c>
      <c r="AA28" s="553">
        <f>'Prod&amp;Consp'!AD35*$C$27/1000</f>
        <v>0</v>
      </c>
      <c r="AB28" s="553">
        <f>'Prod&amp;Consp'!AE35*$C$27/1000</f>
        <v>0</v>
      </c>
      <c r="AC28" s="553">
        <f>'Prod&amp;Consp'!AF35*$C$27/1000</f>
        <v>360</v>
      </c>
      <c r="AD28" s="562">
        <f>'Prod&amp;Consp'!AG35*$C$27/1000</f>
        <v>0</v>
      </c>
      <c r="AE28" s="553">
        <f>'Prod&amp;Consp'!AH35*$C$27/1000</f>
        <v>0</v>
      </c>
      <c r="AF28" s="553">
        <f>'Prod&amp;Consp'!AI35*$C$27/1000</f>
        <v>0</v>
      </c>
      <c r="AG28" s="553">
        <f>'Prod&amp;Consp'!AJ35*$C$27/1000</f>
        <v>0</v>
      </c>
      <c r="AH28" s="553">
        <f>'Prod&amp;Consp'!AK35*$C$27/1000</f>
        <v>0</v>
      </c>
      <c r="AI28" s="560">
        <f t="shared" ref="AI28:AI34" si="32">SUM(W28:AH28)</f>
        <v>360</v>
      </c>
      <c r="AJ28" s="565"/>
      <c r="AK28" s="553">
        <f>'Prod&amp;Consp'!AN35*$C$27/1000</f>
        <v>0</v>
      </c>
      <c r="AL28" s="553">
        <f>'Prod&amp;Consp'!AO35*$C$27/1000</f>
        <v>360</v>
      </c>
      <c r="AM28" s="553">
        <f>'Prod&amp;Consp'!AP35*$C$27/1000</f>
        <v>0</v>
      </c>
      <c r="AN28" s="553">
        <f>'Prod&amp;Consp'!AQ35*$C$27/1000</f>
        <v>0</v>
      </c>
      <c r="AO28" s="553">
        <f>'Prod&amp;Consp'!AR35*$C$27/1000</f>
        <v>0</v>
      </c>
      <c r="AP28" s="553">
        <f>'Prod&amp;Consp'!AS35*$C$27/1000</f>
        <v>0</v>
      </c>
      <c r="AQ28" s="553">
        <f>'Prod&amp;Consp'!AT35*$C$27/1000</f>
        <v>0</v>
      </c>
      <c r="AR28" s="553">
        <f>'Prod&amp;Consp'!AU35*$C$27/1000</f>
        <v>0</v>
      </c>
      <c r="AS28" s="553">
        <f>'Prod&amp;Consp'!AV35*$C$27/1000</f>
        <v>0</v>
      </c>
      <c r="AT28" s="553">
        <f>'Prod&amp;Consp'!AW35*$C$27/1000</f>
        <v>0</v>
      </c>
      <c r="AU28" s="553">
        <f>'Prod&amp;Consp'!AX35*$C$27/1000</f>
        <v>0</v>
      </c>
      <c r="AV28" s="553">
        <f>'Prod&amp;Consp'!AY35*$C$27/1000</f>
        <v>0</v>
      </c>
      <c r="AW28" s="560">
        <f t="shared" ref="AW28:AW34" si="33">SUM(AK28:AV28)</f>
        <v>360</v>
      </c>
      <c r="AX28" s="565"/>
      <c r="AY28" s="553">
        <f>'Prod&amp;Consp'!BB35*$C$27/1000</f>
        <v>360</v>
      </c>
      <c r="AZ28" s="562">
        <f>'Prod&amp;Consp'!BC35*$C$27/1000</f>
        <v>0</v>
      </c>
      <c r="BA28" s="553">
        <f>'Prod&amp;Consp'!BD35*$C$27/1000</f>
        <v>0</v>
      </c>
      <c r="BB28" s="553">
        <f>'Prod&amp;Consp'!BE35*$C$27/1000</f>
        <v>0</v>
      </c>
      <c r="BC28" s="553">
        <f>'Prod&amp;Consp'!BF35*$C$27/1000</f>
        <v>0</v>
      </c>
      <c r="BD28" s="553">
        <f>'Prod&amp;Consp'!BG35*$C$27/1000</f>
        <v>0</v>
      </c>
      <c r="BE28" s="553">
        <f>'Prod&amp;Consp'!BH35*$C$27/1000</f>
        <v>0</v>
      </c>
      <c r="BF28" s="553">
        <f>'Prod&amp;Consp'!BI35*$C$27/1000</f>
        <v>360</v>
      </c>
      <c r="BG28" s="553">
        <f>'Prod&amp;Consp'!BJ35*$C$27/1000</f>
        <v>0</v>
      </c>
      <c r="BH28" s="553">
        <f>'Prod&amp;Consp'!BK35*$C$27/1000</f>
        <v>0</v>
      </c>
      <c r="BI28" s="553">
        <f>'Prod&amp;Consp'!BL35*$C$27/1000</f>
        <v>0</v>
      </c>
      <c r="BJ28" s="553">
        <f>'Prod&amp;Consp'!BM35*$C$27/1000</f>
        <v>0</v>
      </c>
      <c r="BK28" s="560">
        <f t="shared" ref="BK28:BK34" si="34">SUM(AY28:BJ28)</f>
        <v>720</v>
      </c>
      <c r="BL28" s="565"/>
      <c r="BM28" s="553">
        <f>'Prod&amp;Consp'!BP35*$C$27/1000</f>
        <v>0</v>
      </c>
      <c r="BN28" s="553">
        <f>'Prod&amp;Consp'!BQ35*$C$27/1000</f>
        <v>0</v>
      </c>
      <c r="BO28" s="553">
        <f>'Prod&amp;Consp'!BR35*$C$27/1000</f>
        <v>0</v>
      </c>
      <c r="BP28" s="553">
        <f>'Prod&amp;Consp'!BS35*$C$27/1000</f>
        <v>0</v>
      </c>
      <c r="BQ28" s="553">
        <f>'Prod&amp;Consp'!BT35*$C$27/1000</f>
        <v>0</v>
      </c>
      <c r="BR28" s="553">
        <f>'Prod&amp;Consp'!BU35*$C$27/1000</f>
        <v>0</v>
      </c>
      <c r="BS28" s="553">
        <f>'Prod&amp;Consp'!BV35*$C$27/1000</f>
        <v>360</v>
      </c>
      <c r="BT28" s="562">
        <f>'Prod&amp;Consp'!BW35*$C$27/1000</f>
        <v>0</v>
      </c>
      <c r="BU28" s="553">
        <f>'Prod&amp;Consp'!BX35*$C$27/1000</f>
        <v>0</v>
      </c>
      <c r="BV28" s="553">
        <f>'Prod&amp;Consp'!BY35*$C$27/1000</f>
        <v>0</v>
      </c>
      <c r="BW28" s="553">
        <f>'Prod&amp;Consp'!BZ35*$C$27/1000</f>
        <v>0</v>
      </c>
      <c r="BX28" s="553">
        <f>'Prod&amp;Consp'!CA35*$C$27/1000</f>
        <v>0</v>
      </c>
      <c r="BY28" s="560">
        <f t="shared" ref="BY28:BY34" si="35">SUM(BM28:BX28)</f>
        <v>360</v>
      </c>
      <c r="BZ28" s="565"/>
      <c r="CA28" s="553">
        <f>'Prod&amp;Consp'!CD35*$C$27/1000</f>
        <v>0</v>
      </c>
      <c r="CB28" s="553">
        <f>'Prod&amp;Consp'!CE35*$C$27/1000</f>
        <v>0</v>
      </c>
      <c r="CC28" s="553">
        <f>'Prod&amp;Consp'!CF35*$C$27/1000</f>
        <v>360</v>
      </c>
      <c r="CD28" s="553">
        <f>'Prod&amp;Consp'!CG35*$C$27/1000</f>
        <v>0</v>
      </c>
      <c r="CE28" s="553">
        <f>'Prod&amp;Consp'!CH35*$C$27/1000</f>
        <v>0</v>
      </c>
      <c r="CF28" s="553">
        <f>'Prod&amp;Consp'!CI35*$C$27/1000</f>
        <v>0</v>
      </c>
      <c r="CG28" s="553">
        <f>'Prod&amp;Consp'!CJ35*$C$27/1000</f>
        <v>0</v>
      </c>
      <c r="CH28" s="553">
        <f>'Prod&amp;Consp'!CK35*$C$27/1000</f>
        <v>0</v>
      </c>
      <c r="CI28" s="553">
        <f>'Prod&amp;Consp'!CL35*$C$27/1000</f>
        <v>0</v>
      </c>
      <c r="CJ28" s="553">
        <f>'Prod&amp;Consp'!CM35*$C$27/1000</f>
        <v>0</v>
      </c>
      <c r="CK28" s="553">
        <f>'Prod&amp;Consp'!CN35*$C$27/1000</f>
        <v>0</v>
      </c>
      <c r="CL28" s="553">
        <f>'Prod&amp;Consp'!CO35*$C$27/1000</f>
        <v>0</v>
      </c>
      <c r="CM28" s="560">
        <f t="shared" ref="CM28:CM34" si="36">SUM(CA28:CL28)</f>
        <v>360</v>
      </c>
      <c r="CN28" s="565"/>
      <c r="CO28" s="553">
        <f>'Prod&amp;Consp'!CR35*$C$27/1000</f>
        <v>360</v>
      </c>
      <c r="CP28" s="562">
        <f>'Prod&amp;Consp'!CS35*$C$27/1000</f>
        <v>0</v>
      </c>
      <c r="CQ28" s="553">
        <f>'Prod&amp;Consp'!CT35*$C$27/1000</f>
        <v>0</v>
      </c>
      <c r="CR28" s="553">
        <f>'Prod&amp;Consp'!CU35*$C$27/1000</f>
        <v>0</v>
      </c>
      <c r="CS28" s="553">
        <f>'Prod&amp;Consp'!CV35*$C$27/1000</f>
        <v>0</v>
      </c>
      <c r="CT28" s="553">
        <f>'Prod&amp;Consp'!CW35*$C$27/1000</f>
        <v>0</v>
      </c>
      <c r="CU28" s="553">
        <f>'Prod&amp;Consp'!CX35*$C$27/1000</f>
        <v>0</v>
      </c>
      <c r="CV28" s="553">
        <f>'Prod&amp;Consp'!CY35*$C$27/1000</f>
        <v>360</v>
      </c>
      <c r="CW28" s="553">
        <f>'Prod&amp;Consp'!CZ35*$C$27/1000</f>
        <v>0</v>
      </c>
      <c r="CX28" s="553">
        <f>'Prod&amp;Consp'!DA35*$C$27/1000</f>
        <v>0</v>
      </c>
      <c r="CY28" s="553">
        <f>'Prod&amp;Consp'!DB35*$C$27/1000</f>
        <v>0</v>
      </c>
      <c r="CZ28" s="553">
        <f>'Prod&amp;Consp'!DC35*$C$27/1000</f>
        <v>0</v>
      </c>
      <c r="DA28" s="560">
        <f t="shared" ref="DA28:DA34" si="37">SUM(CO28:CZ28)</f>
        <v>720</v>
      </c>
      <c r="DB28" s="565"/>
      <c r="DC28" s="553">
        <f>'Prod&amp;Consp'!DF35*$C$27/1000</f>
        <v>0</v>
      </c>
      <c r="DD28" s="553">
        <f>'Prod&amp;Consp'!DG35*$C$27/1000</f>
        <v>0</v>
      </c>
      <c r="DE28" s="553">
        <f>'Prod&amp;Consp'!DH35*$C$27/1000</f>
        <v>0</v>
      </c>
      <c r="DF28" s="553">
        <f>'Prod&amp;Consp'!DI35*$C$27/1000</f>
        <v>0</v>
      </c>
      <c r="DG28" s="553">
        <f>'Prod&amp;Consp'!DJ35*$C$27/1000</f>
        <v>0</v>
      </c>
      <c r="DH28" s="553">
        <f>'Prod&amp;Consp'!DK35*$C$27/1000</f>
        <v>0</v>
      </c>
      <c r="DI28" s="553">
        <f>'Prod&amp;Consp'!DL35*$C$27/1000</f>
        <v>360</v>
      </c>
      <c r="DJ28" s="562">
        <f>'Prod&amp;Consp'!DM35*$C$27/1000</f>
        <v>0</v>
      </c>
      <c r="DK28" s="553">
        <f>'Prod&amp;Consp'!DN35*$C$27/1000</f>
        <v>0</v>
      </c>
      <c r="DL28" s="553">
        <f>'Prod&amp;Consp'!DO35*$C$27/1000</f>
        <v>0</v>
      </c>
      <c r="DM28" s="553">
        <f>'Prod&amp;Consp'!DP35*$C$27/1000</f>
        <v>0</v>
      </c>
      <c r="DN28" s="553">
        <f>'Prod&amp;Consp'!DQ35*$C$27/1000</f>
        <v>0</v>
      </c>
      <c r="DO28" s="560">
        <f t="shared" ref="DO28:DO34" si="38">SUM(DC28:DN28)</f>
        <v>360</v>
      </c>
      <c r="DP28" s="565"/>
      <c r="DQ28" s="553">
        <f>'Prod&amp;Consp'!DT35*$C$27/1000</f>
        <v>0</v>
      </c>
      <c r="DR28" s="553">
        <f>'Prod&amp;Consp'!DU35*$C$27/1000</f>
        <v>360</v>
      </c>
      <c r="DS28" s="553">
        <f>'Prod&amp;Consp'!DV35*$C$27/1000</f>
        <v>0</v>
      </c>
      <c r="DT28" s="553">
        <f>'Prod&amp;Consp'!DW35*$C$27/1000</f>
        <v>0</v>
      </c>
      <c r="DU28" s="553">
        <f>'Prod&amp;Consp'!DX35*$C$27/1000</f>
        <v>0</v>
      </c>
      <c r="DV28" s="553">
        <f>'Prod&amp;Consp'!DY35*$C$27/1000</f>
        <v>0</v>
      </c>
      <c r="DW28" s="553">
        <f>'Prod&amp;Consp'!DZ35*$C$27/1000</f>
        <v>0</v>
      </c>
      <c r="DX28" s="553">
        <f>'Prod&amp;Consp'!EA35*$C$27/1000</f>
        <v>0</v>
      </c>
      <c r="DY28" s="553">
        <f>'Prod&amp;Consp'!EB35*$C$27/1000</f>
        <v>0</v>
      </c>
      <c r="DZ28" s="553">
        <f>'Prod&amp;Consp'!EC35*$C$27/1000</f>
        <v>0</v>
      </c>
      <c r="EA28" s="553">
        <f>'Prod&amp;Consp'!ED35*$C$27/1000</f>
        <v>0</v>
      </c>
      <c r="EB28" s="553">
        <f>'Prod&amp;Consp'!EE35*$C$27/1000</f>
        <v>0</v>
      </c>
      <c r="EC28" s="560">
        <f t="shared" ref="EC28:EC34" si="39">SUM(DQ28:EB28)</f>
        <v>360</v>
      </c>
      <c r="ED28" s="565"/>
      <c r="EE28" s="553">
        <f>'Prod&amp;Consp'!EH35*$C$27/1000</f>
        <v>360</v>
      </c>
      <c r="EF28" s="562">
        <f>'Prod&amp;Consp'!EI35*$C$27/1000</f>
        <v>0</v>
      </c>
      <c r="EG28" s="553">
        <f>'Prod&amp;Consp'!EJ35*$C$27/1000</f>
        <v>0</v>
      </c>
      <c r="EH28" s="553">
        <f>'Prod&amp;Consp'!EK35*$C$27/1000</f>
        <v>0</v>
      </c>
      <c r="EI28" s="553">
        <f>'Prod&amp;Consp'!EL35*$C$27/1000</f>
        <v>0</v>
      </c>
      <c r="EJ28" s="553">
        <f>'Prod&amp;Consp'!EM35*$C$27/1000</f>
        <v>0</v>
      </c>
      <c r="EK28" s="553">
        <f>'Prod&amp;Consp'!EN35*$C$27/1000</f>
        <v>0</v>
      </c>
      <c r="EL28" s="553">
        <f>'Prod&amp;Consp'!EO35*$C$27/1000</f>
        <v>360</v>
      </c>
      <c r="EM28" s="553">
        <f>'Prod&amp;Consp'!EP35*$C$27/1000</f>
        <v>0</v>
      </c>
      <c r="EN28" s="553">
        <f>'Prod&amp;Consp'!EQ35*$C$27/1000</f>
        <v>0</v>
      </c>
      <c r="EO28" s="553">
        <f>'Prod&amp;Consp'!ER35*$C$27/1000</f>
        <v>0</v>
      </c>
      <c r="EP28" s="553">
        <f>'Prod&amp;Consp'!ES35*$C$27/1000</f>
        <v>0</v>
      </c>
      <c r="EQ28" s="560">
        <f t="shared" ref="EQ28:EQ34" si="40">SUM(EE28:EP28)</f>
        <v>720</v>
      </c>
      <c r="ER28" s="565"/>
      <c r="ET28" s="536"/>
      <c r="EU28" s="531" t="s">
        <v>9</v>
      </c>
      <c r="EV28" s="4" t="s">
        <v>491</v>
      </c>
      <c r="EW28" s="553">
        <f t="shared" si="11"/>
        <v>720</v>
      </c>
      <c r="EX28" s="553">
        <f t="shared" si="12"/>
        <v>360</v>
      </c>
      <c r="EY28" s="553">
        <f t="shared" si="13"/>
        <v>360</v>
      </c>
      <c r="EZ28" s="553">
        <f t="shared" si="14"/>
        <v>720</v>
      </c>
      <c r="FA28" s="553">
        <f t="shared" si="15"/>
        <v>360</v>
      </c>
      <c r="FB28" s="553">
        <f t="shared" si="16"/>
        <v>360</v>
      </c>
      <c r="FC28" s="553">
        <f t="shared" si="17"/>
        <v>720</v>
      </c>
      <c r="FD28" s="553">
        <f t="shared" si="18"/>
        <v>360</v>
      </c>
      <c r="FE28" s="553">
        <f t="shared" si="19"/>
        <v>360</v>
      </c>
      <c r="FF28" s="553">
        <f t="shared" si="20"/>
        <v>720</v>
      </c>
    </row>
    <row r="29" spans="1:162" ht="10.5" customHeight="1" x14ac:dyDescent="0.35">
      <c r="A29" s="547" t="s">
        <v>1183</v>
      </c>
      <c r="B29" s="531" t="s">
        <v>486</v>
      </c>
      <c r="C29" s="553">
        <f>Asumsi!F69</f>
        <v>325000</v>
      </c>
      <c r="D29" s="575" t="s">
        <v>485</v>
      </c>
      <c r="F29" s="536"/>
      <c r="G29" s="531" t="s">
        <v>10</v>
      </c>
      <c r="H29" s="4" t="s">
        <v>468</v>
      </c>
      <c r="I29" s="553">
        <f>'Prod&amp;Consp'!L36*$C$28/1000</f>
        <v>0</v>
      </c>
      <c r="J29" s="553">
        <f>'Prod&amp;Consp'!M36*$C$28/1000</f>
        <v>0</v>
      </c>
      <c r="K29" s="553">
        <f>'Prod&amp;Consp'!N36*$C$28/1000</f>
        <v>1125</v>
      </c>
      <c r="L29" s="553">
        <f>'Prod&amp;Consp'!O36*$C$28/1000</f>
        <v>0</v>
      </c>
      <c r="M29" s="553">
        <f>'Prod&amp;Consp'!P36*$C$28/1000</f>
        <v>0</v>
      </c>
      <c r="N29" s="553">
        <f>'Prod&amp;Consp'!Q36*$C$28/1000</f>
        <v>0</v>
      </c>
      <c r="O29" s="553">
        <f>'Prod&amp;Consp'!R36*$C$28/1000</f>
        <v>0</v>
      </c>
      <c r="P29" s="553">
        <f>'Prod&amp;Consp'!S36*$C$28/1000</f>
        <v>0</v>
      </c>
      <c r="Q29" s="553">
        <f>'Prod&amp;Consp'!T36*$C$28/1000</f>
        <v>0</v>
      </c>
      <c r="R29" s="553">
        <f>'Prod&amp;Consp'!U36*$C$28/1000</f>
        <v>0</v>
      </c>
      <c r="S29" s="553">
        <f>'Prod&amp;Consp'!V36*$C$28/1000</f>
        <v>0</v>
      </c>
      <c r="T29" s="553">
        <f>'Prod&amp;Consp'!W36*$C$28/1000</f>
        <v>0</v>
      </c>
      <c r="U29" s="560">
        <f t="shared" si="1"/>
        <v>1125</v>
      </c>
      <c r="V29" s="565"/>
      <c r="W29" s="553">
        <f>'Prod&amp;Consp'!Z36*$C$28/1000</f>
        <v>0</v>
      </c>
      <c r="X29" s="553">
        <f>'Prod&amp;Consp'!AA36*$C$28/1000</f>
        <v>0</v>
      </c>
      <c r="Y29" s="553">
        <f>'Prod&amp;Consp'!AB36*$C$28/1000</f>
        <v>0</v>
      </c>
      <c r="Z29" s="553">
        <f>'Prod&amp;Consp'!AC36*$C$28/1000</f>
        <v>0</v>
      </c>
      <c r="AA29" s="553">
        <f>'Prod&amp;Consp'!AD36*$C$28/1000</f>
        <v>0</v>
      </c>
      <c r="AB29" s="553">
        <f>'Prod&amp;Consp'!AE36*$C$28/1000</f>
        <v>0</v>
      </c>
      <c r="AC29" s="553">
        <f>'Prod&amp;Consp'!AF36*$C$28/1000</f>
        <v>0</v>
      </c>
      <c r="AD29" s="562">
        <f>'Prod&amp;Consp'!AG36*$C$28/1000</f>
        <v>0</v>
      </c>
      <c r="AE29" s="553">
        <f>'Prod&amp;Consp'!AH36*$C$28/1000</f>
        <v>1125</v>
      </c>
      <c r="AF29" s="553">
        <f>'Prod&amp;Consp'!AI36*$C$28/1000</f>
        <v>0</v>
      </c>
      <c r="AG29" s="553">
        <f>'Prod&amp;Consp'!AJ36*$C$28/1000</f>
        <v>0</v>
      </c>
      <c r="AH29" s="553">
        <f>'Prod&amp;Consp'!AK36*$C$28/1000</f>
        <v>0</v>
      </c>
      <c r="AI29" s="560">
        <f t="shared" si="32"/>
        <v>1125</v>
      </c>
      <c r="AJ29" s="565"/>
      <c r="AK29" s="553">
        <f>'Prod&amp;Consp'!AN36*$C$28/1000</f>
        <v>0</v>
      </c>
      <c r="AL29" s="553">
        <f>'Prod&amp;Consp'!AO36*$C$28/1000</f>
        <v>0</v>
      </c>
      <c r="AM29" s="553">
        <f>'Prod&amp;Consp'!AP36*$C$28/1000</f>
        <v>0</v>
      </c>
      <c r="AN29" s="553">
        <f>'Prod&amp;Consp'!AQ36*$C$28/1000</f>
        <v>0</v>
      </c>
      <c r="AO29" s="553">
        <f>'Prod&amp;Consp'!AR36*$C$28/1000</f>
        <v>0</v>
      </c>
      <c r="AP29" s="553">
        <f>'Prod&amp;Consp'!AS36*$C$28/1000</f>
        <v>0</v>
      </c>
      <c r="AQ29" s="553">
        <f>'Prod&amp;Consp'!AT36*$C$28/1000</f>
        <v>0</v>
      </c>
      <c r="AR29" s="553">
        <f>'Prod&amp;Consp'!AU36*$C$28/1000</f>
        <v>0</v>
      </c>
      <c r="AS29" s="553">
        <f>'Prod&amp;Consp'!AV36*$C$28/1000</f>
        <v>0</v>
      </c>
      <c r="AT29" s="553">
        <f>'Prod&amp;Consp'!AW36*$C$28/1000</f>
        <v>0</v>
      </c>
      <c r="AU29" s="553">
        <f>'Prod&amp;Consp'!AX36*$C$28/1000</f>
        <v>0</v>
      </c>
      <c r="AV29" s="553">
        <f>'Prod&amp;Consp'!AY36*$C$28/1000</f>
        <v>0</v>
      </c>
      <c r="AW29" s="560">
        <f t="shared" si="33"/>
        <v>0</v>
      </c>
      <c r="AX29" s="565"/>
      <c r="AY29" s="553">
        <f>'Prod&amp;Consp'!BB36*$C$28/1000</f>
        <v>0</v>
      </c>
      <c r="AZ29" s="562">
        <f>'Prod&amp;Consp'!BC36*$C$28/1000</f>
        <v>0</v>
      </c>
      <c r="BA29" s="553">
        <f>'Prod&amp;Consp'!BD36*$C$28/1000</f>
        <v>1125</v>
      </c>
      <c r="BB29" s="553">
        <f>'Prod&amp;Consp'!BE36*$C$28/1000</f>
        <v>0</v>
      </c>
      <c r="BC29" s="553">
        <f>'Prod&amp;Consp'!BF36*$C$28/1000</f>
        <v>0</v>
      </c>
      <c r="BD29" s="553">
        <f>'Prod&amp;Consp'!BG36*$C$28/1000</f>
        <v>0</v>
      </c>
      <c r="BE29" s="553">
        <f>'Prod&amp;Consp'!BH36*$C$28/1000</f>
        <v>0</v>
      </c>
      <c r="BF29" s="553">
        <f>'Prod&amp;Consp'!BI36*$C$28/1000</f>
        <v>0</v>
      </c>
      <c r="BG29" s="553">
        <f>'Prod&amp;Consp'!BJ36*$C$28/1000</f>
        <v>0</v>
      </c>
      <c r="BH29" s="553">
        <f>'Prod&amp;Consp'!BK36*$C$28/1000</f>
        <v>0</v>
      </c>
      <c r="BI29" s="553">
        <f>'Prod&amp;Consp'!BL36*$C$28/1000</f>
        <v>0</v>
      </c>
      <c r="BJ29" s="553">
        <f>'Prod&amp;Consp'!BM36*$C$28/1000</f>
        <v>0</v>
      </c>
      <c r="BK29" s="560">
        <f t="shared" si="34"/>
        <v>1125</v>
      </c>
      <c r="BL29" s="565"/>
      <c r="BM29" s="553">
        <f>'Prod&amp;Consp'!BP36*$C$28/1000</f>
        <v>0</v>
      </c>
      <c r="BN29" s="553">
        <f>'Prod&amp;Consp'!BQ36*$C$28/1000</f>
        <v>0</v>
      </c>
      <c r="BO29" s="553">
        <f>'Prod&amp;Consp'!BR36*$C$28/1000</f>
        <v>0</v>
      </c>
      <c r="BP29" s="553">
        <f>'Prod&amp;Consp'!BS36*$C$28/1000</f>
        <v>0</v>
      </c>
      <c r="BQ29" s="553">
        <f>'Prod&amp;Consp'!BT36*$C$28/1000</f>
        <v>0</v>
      </c>
      <c r="BR29" s="553">
        <f>'Prod&amp;Consp'!BU36*$C$28/1000</f>
        <v>0</v>
      </c>
      <c r="BS29" s="553">
        <f>'Prod&amp;Consp'!BV36*$C$28/1000</f>
        <v>0</v>
      </c>
      <c r="BT29" s="562">
        <f>'Prod&amp;Consp'!BW36*$C$28/1000</f>
        <v>0</v>
      </c>
      <c r="BU29" s="553">
        <f>'Prod&amp;Consp'!BX36*$C$28/1000</f>
        <v>1125</v>
      </c>
      <c r="BV29" s="553">
        <f>'Prod&amp;Consp'!BY36*$C$28/1000</f>
        <v>0</v>
      </c>
      <c r="BW29" s="553">
        <f>'Prod&amp;Consp'!BZ36*$C$28/1000</f>
        <v>0</v>
      </c>
      <c r="BX29" s="553">
        <f>'Prod&amp;Consp'!CA36*$C$28/1000</f>
        <v>0</v>
      </c>
      <c r="BY29" s="560">
        <f t="shared" si="35"/>
        <v>1125</v>
      </c>
      <c r="BZ29" s="565"/>
      <c r="CA29" s="553">
        <f>'Prod&amp;Consp'!CD36*$C$28/1000</f>
        <v>0</v>
      </c>
      <c r="CB29" s="553">
        <f>'Prod&amp;Consp'!CE36*$C$28/1000</f>
        <v>0</v>
      </c>
      <c r="CC29" s="553">
        <f>'Prod&amp;Consp'!CF36*$C$28/1000</f>
        <v>0</v>
      </c>
      <c r="CD29" s="553">
        <f>'Prod&amp;Consp'!CG36*$C$28/1000</f>
        <v>0</v>
      </c>
      <c r="CE29" s="553">
        <f>'Prod&amp;Consp'!CH36*$C$28/1000</f>
        <v>0</v>
      </c>
      <c r="CF29" s="553">
        <f>'Prod&amp;Consp'!CI36*$C$28/1000</f>
        <v>0</v>
      </c>
      <c r="CG29" s="553">
        <f>'Prod&amp;Consp'!CJ36*$C$28/1000</f>
        <v>0</v>
      </c>
      <c r="CH29" s="553">
        <f>'Prod&amp;Consp'!CK36*$C$28/1000</f>
        <v>0</v>
      </c>
      <c r="CI29" s="553">
        <f>'Prod&amp;Consp'!CL36*$C$28/1000</f>
        <v>0</v>
      </c>
      <c r="CJ29" s="553">
        <f>'Prod&amp;Consp'!CM36*$C$28/1000</f>
        <v>0</v>
      </c>
      <c r="CK29" s="553">
        <f>'Prod&amp;Consp'!CN36*$C$28/1000</f>
        <v>0</v>
      </c>
      <c r="CL29" s="553">
        <f>'Prod&amp;Consp'!CO36*$C$28/1000</f>
        <v>0</v>
      </c>
      <c r="CM29" s="560">
        <f t="shared" si="36"/>
        <v>0</v>
      </c>
      <c r="CN29" s="565"/>
      <c r="CO29" s="553">
        <f>'Prod&amp;Consp'!CR36*$C$28/1000</f>
        <v>0</v>
      </c>
      <c r="CP29" s="562">
        <f>'Prod&amp;Consp'!CS36*$C$28/1000</f>
        <v>0</v>
      </c>
      <c r="CQ29" s="553">
        <f>'Prod&amp;Consp'!CT36*$C$28/1000</f>
        <v>1125</v>
      </c>
      <c r="CR29" s="553">
        <f>'Prod&amp;Consp'!CU36*$C$28/1000</f>
        <v>0</v>
      </c>
      <c r="CS29" s="553">
        <f>'Prod&amp;Consp'!CV36*$C$28/1000</f>
        <v>0</v>
      </c>
      <c r="CT29" s="553">
        <f>'Prod&amp;Consp'!CW36*$C$28/1000</f>
        <v>0</v>
      </c>
      <c r="CU29" s="553">
        <f>'Prod&amp;Consp'!CX36*$C$28/1000</f>
        <v>0</v>
      </c>
      <c r="CV29" s="553">
        <f>'Prod&amp;Consp'!CY36*$C$28/1000</f>
        <v>0</v>
      </c>
      <c r="CW29" s="553">
        <f>'Prod&amp;Consp'!CZ36*$C$28/1000</f>
        <v>0</v>
      </c>
      <c r="CX29" s="553">
        <f>'Prod&amp;Consp'!DA36*$C$28/1000</f>
        <v>0</v>
      </c>
      <c r="CY29" s="553">
        <f>'Prod&amp;Consp'!DB36*$C$28/1000</f>
        <v>0</v>
      </c>
      <c r="CZ29" s="553">
        <f>'Prod&amp;Consp'!DC36*$C$28/1000</f>
        <v>0</v>
      </c>
      <c r="DA29" s="560">
        <f t="shared" si="37"/>
        <v>1125</v>
      </c>
      <c r="DB29" s="565"/>
      <c r="DC29" s="553">
        <f>'Prod&amp;Consp'!DF36*$C$28/1000</f>
        <v>0</v>
      </c>
      <c r="DD29" s="553">
        <f>'Prod&amp;Consp'!DG36*$C$28/1000</f>
        <v>0</v>
      </c>
      <c r="DE29" s="553">
        <f>'Prod&amp;Consp'!DH36*$C$28/1000</f>
        <v>0</v>
      </c>
      <c r="DF29" s="553">
        <f>'Prod&amp;Consp'!DI36*$C$28/1000</f>
        <v>0</v>
      </c>
      <c r="DG29" s="553">
        <f>'Prod&amp;Consp'!DJ36*$C$28/1000</f>
        <v>0</v>
      </c>
      <c r="DH29" s="553">
        <f>'Prod&amp;Consp'!DK36*$C$28/1000</f>
        <v>0</v>
      </c>
      <c r="DI29" s="553">
        <f>'Prod&amp;Consp'!DL36*$C$28/1000</f>
        <v>0</v>
      </c>
      <c r="DJ29" s="562">
        <f>'Prod&amp;Consp'!DM36*$C$28/1000</f>
        <v>0</v>
      </c>
      <c r="DK29" s="553">
        <f>'Prod&amp;Consp'!DN36*$C$28/1000</f>
        <v>1125</v>
      </c>
      <c r="DL29" s="553">
        <f>'Prod&amp;Consp'!DO36*$C$28/1000</f>
        <v>0</v>
      </c>
      <c r="DM29" s="553">
        <f>'Prod&amp;Consp'!DP36*$C$28/1000</f>
        <v>0</v>
      </c>
      <c r="DN29" s="553">
        <f>'Prod&amp;Consp'!DQ36*$C$28/1000</f>
        <v>0</v>
      </c>
      <c r="DO29" s="560">
        <f t="shared" si="38"/>
        <v>1125</v>
      </c>
      <c r="DP29" s="565"/>
      <c r="DQ29" s="553">
        <f>'Prod&amp;Consp'!DT36*$C$28/1000</f>
        <v>0</v>
      </c>
      <c r="DR29" s="553">
        <f>'Prod&amp;Consp'!DU36*$C$28/1000</f>
        <v>0</v>
      </c>
      <c r="DS29" s="553">
        <f>'Prod&amp;Consp'!DV36*$C$28/1000</f>
        <v>0</v>
      </c>
      <c r="DT29" s="553">
        <f>'Prod&amp;Consp'!DW36*$C$28/1000</f>
        <v>0</v>
      </c>
      <c r="DU29" s="553">
        <f>'Prod&amp;Consp'!DX36*$C$28/1000</f>
        <v>0</v>
      </c>
      <c r="DV29" s="553">
        <f>'Prod&amp;Consp'!DY36*$C$28/1000</f>
        <v>0</v>
      </c>
      <c r="DW29" s="553">
        <f>'Prod&amp;Consp'!DZ36*$C$28/1000</f>
        <v>0</v>
      </c>
      <c r="DX29" s="553">
        <f>'Prod&amp;Consp'!EA36*$C$28/1000</f>
        <v>0</v>
      </c>
      <c r="DY29" s="553">
        <f>'Prod&amp;Consp'!EB36*$C$28/1000</f>
        <v>0</v>
      </c>
      <c r="DZ29" s="553">
        <f>'Prod&amp;Consp'!EC36*$C$28/1000</f>
        <v>0</v>
      </c>
      <c r="EA29" s="553">
        <f>'Prod&amp;Consp'!ED36*$C$28/1000</f>
        <v>0</v>
      </c>
      <c r="EB29" s="553">
        <f>'Prod&amp;Consp'!EE36*$C$28/1000</f>
        <v>0</v>
      </c>
      <c r="EC29" s="560">
        <f t="shared" si="39"/>
        <v>0</v>
      </c>
      <c r="ED29" s="565"/>
      <c r="EE29" s="553">
        <f>'Prod&amp;Consp'!EH36*$C$28/1000</f>
        <v>0</v>
      </c>
      <c r="EF29" s="562">
        <f>'Prod&amp;Consp'!EI36*$C$28/1000</f>
        <v>0</v>
      </c>
      <c r="EG29" s="553">
        <f>'Prod&amp;Consp'!EJ36*$C$28/1000</f>
        <v>1125</v>
      </c>
      <c r="EH29" s="553">
        <f>'Prod&amp;Consp'!EK36*$C$28/1000</f>
        <v>0</v>
      </c>
      <c r="EI29" s="553">
        <f>'Prod&amp;Consp'!EL36*$C$28/1000</f>
        <v>0</v>
      </c>
      <c r="EJ29" s="553">
        <f>'Prod&amp;Consp'!EM36*$C$28/1000</f>
        <v>0</v>
      </c>
      <c r="EK29" s="553">
        <f>'Prod&amp;Consp'!EN36*$C$28/1000</f>
        <v>0</v>
      </c>
      <c r="EL29" s="553">
        <f>'Prod&amp;Consp'!EO36*$C$28/1000</f>
        <v>0</v>
      </c>
      <c r="EM29" s="553">
        <f>'Prod&amp;Consp'!EP36*$C$28/1000</f>
        <v>0</v>
      </c>
      <c r="EN29" s="553">
        <f>'Prod&amp;Consp'!EQ36*$C$28/1000</f>
        <v>0</v>
      </c>
      <c r="EO29" s="553">
        <f>'Prod&amp;Consp'!ER36*$C$28/1000</f>
        <v>0</v>
      </c>
      <c r="EP29" s="553">
        <f>'Prod&amp;Consp'!ES36*$C$28/1000</f>
        <v>0</v>
      </c>
      <c r="EQ29" s="560">
        <f t="shared" si="40"/>
        <v>1125</v>
      </c>
      <c r="ER29" s="565"/>
      <c r="ET29" s="536"/>
      <c r="EU29" s="531" t="s">
        <v>10</v>
      </c>
      <c r="EV29" s="4" t="s">
        <v>468</v>
      </c>
      <c r="EW29" s="553">
        <f t="shared" si="11"/>
        <v>1125</v>
      </c>
      <c r="EX29" s="553">
        <f t="shared" si="12"/>
        <v>1125</v>
      </c>
      <c r="EY29" s="553">
        <f t="shared" si="13"/>
        <v>0</v>
      </c>
      <c r="EZ29" s="553">
        <f t="shared" si="14"/>
        <v>1125</v>
      </c>
      <c r="FA29" s="553">
        <f t="shared" si="15"/>
        <v>1125</v>
      </c>
      <c r="FB29" s="553">
        <f t="shared" si="16"/>
        <v>0</v>
      </c>
      <c r="FC29" s="553">
        <f t="shared" si="17"/>
        <v>1125</v>
      </c>
      <c r="FD29" s="553">
        <f t="shared" si="18"/>
        <v>1125</v>
      </c>
      <c r="FE29" s="553">
        <f t="shared" si="19"/>
        <v>0</v>
      </c>
      <c r="FF29" s="553">
        <f t="shared" si="20"/>
        <v>1125</v>
      </c>
    </row>
    <row r="30" spans="1:162" ht="10.5" customHeight="1" x14ac:dyDescent="0.35">
      <c r="A30" s="547" t="s">
        <v>1184</v>
      </c>
      <c r="B30" s="531" t="s">
        <v>487</v>
      </c>
      <c r="C30" s="553">
        <f>Asumsi!F70</f>
        <v>200000</v>
      </c>
      <c r="D30" s="575" t="s">
        <v>12</v>
      </c>
      <c r="F30" s="536">
        <v>1.5</v>
      </c>
      <c r="G30" s="531" t="s">
        <v>484</v>
      </c>
      <c r="H30" s="461"/>
      <c r="I30" s="553">
        <f>'Prod&amp;Consp'!L37*$C$29/1000</f>
        <v>0</v>
      </c>
      <c r="J30" s="553">
        <f>'Prod&amp;Consp'!M37*$C$29/1000</f>
        <v>0</v>
      </c>
      <c r="K30" s="553">
        <f>'Prod&amp;Consp'!N37*$C$29/1000</f>
        <v>0</v>
      </c>
      <c r="L30" s="553">
        <f>'Prod&amp;Consp'!O37*$C$29/1000</f>
        <v>0</v>
      </c>
      <c r="M30" s="553">
        <f>'Prod&amp;Consp'!P37*$C$29/1000</f>
        <v>0</v>
      </c>
      <c r="N30" s="553">
        <f>'Prod&amp;Consp'!Q37*$C$29/1000</f>
        <v>0</v>
      </c>
      <c r="O30" s="553">
        <f>'Prod&amp;Consp'!R37*$C$29/1000</f>
        <v>0</v>
      </c>
      <c r="P30" s="553">
        <f>'Prod&amp;Consp'!S37*$C$29/1000</f>
        <v>975</v>
      </c>
      <c r="Q30" s="553">
        <f>'Prod&amp;Consp'!T37*$C$29/1000</f>
        <v>0</v>
      </c>
      <c r="R30" s="553">
        <f>'Prod&amp;Consp'!U37*$C$29/1000</f>
        <v>0</v>
      </c>
      <c r="S30" s="553">
        <f>'Prod&amp;Consp'!V37*$C$29/1000</f>
        <v>0</v>
      </c>
      <c r="T30" s="553">
        <f>'Prod&amp;Consp'!W37*$C$29/1000</f>
        <v>0</v>
      </c>
      <c r="U30" s="560">
        <f t="shared" si="1"/>
        <v>975</v>
      </c>
      <c r="V30" s="565"/>
      <c r="W30" s="553">
        <f>'Prod&amp;Consp'!Z37*$C$29/1000</f>
        <v>0</v>
      </c>
      <c r="X30" s="553">
        <f>'Prod&amp;Consp'!AA37*$C$29/1000</f>
        <v>0</v>
      </c>
      <c r="Y30" s="553">
        <f>'Prod&amp;Consp'!AB37*$C$29/1000</f>
        <v>0</v>
      </c>
      <c r="Z30" s="553">
        <f>'Prod&amp;Consp'!AC37*$C$29/1000</f>
        <v>0</v>
      </c>
      <c r="AA30" s="553">
        <f>'Prod&amp;Consp'!AD37*$C$29/1000</f>
        <v>0</v>
      </c>
      <c r="AB30" s="553">
        <f>'Prod&amp;Consp'!AE37*$C$29/1000</f>
        <v>0</v>
      </c>
      <c r="AC30" s="553">
        <f>'Prod&amp;Consp'!AF37*$C$29/1000</f>
        <v>0</v>
      </c>
      <c r="AD30" s="562">
        <f>'Prod&amp;Consp'!AG37*$C$29/1000</f>
        <v>0</v>
      </c>
      <c r="AE30" s="553">
        <f>'Prod&amp;Consp'!AH37*$C$29/1000</f>
        <v>0</v>
      </c>
      <c r="AF30" s="553">
        <f>'Prod&amp;Consp'!AI37*$C$29/1000</f>
        <v>0</v>
      </c>
      <c r="AG30" s="553">
        <f>'Prod&amp;Consp'!AJ37*$C$29/1000</f>
        <v>0</v>
      </c>
      <c r="AH30" s="553">
        <f>'Prod&amp;Consp'!AK37*$C$29/1000</f>
        <v>0</v>
      </c>
      <c r="AI30" s="560">
        <f t="shared" si="32"/>
        <v>0</v>
      </c>
      <c r="AJ30" s="565"/>
      <c r="AK30" s="553">
        <f>'Prod&amp;Consp'!AN37*$C$29/1000</f>
        <v>0</v>
      </c>
      <c r="AL30" s="553">
        <f>'Prod&amp;Consp'!AO37*$C$29/1000</f>
        <v>975</v>
      </c>
      <c r="AM30" s="553">
        <f>'Prod&amp;Consp'!AP37*$C$29/1000</f>
        <v>0</v>
      </c>
      <c r="AN30" s="553">
        <f>'Prod&amp;Consp'!AQ37*$C$29/1000</f>
        <v>0</v>
      </c>
      <c r="AO30" s="553">
        <f>'Prod&amp;Consp'!AR37*$C$29/1000</f>
        <v>0</v>
      </c>
      <c r="AP30" s="553">
        <f>'Prod&amp;Consp'!AS37*$C$29/1000</f>
        <v>0</v>
      </c>
      <c r="AQ30" s="553">
        <f>'Prod&amp;Consp'!AT37*$C$29/1000</f>
        <v>0</v>
      </c>
      <c r="AR30" s="553">
        <f>'Prod&amp;Consp'!AU37*$C$29/1000</f>
        <v>0</v>
      </c>
      <c r="AS30" s="553">
        <f>'Prod&amp;Consp'!AV37*$C$29/1000</f>
        <v>0</v>
      </c>
      <c r="AT30" s="553">
        <f>'Prod&amp;Consp'!AW37*$C$29/1000</f>
        <v>0</v>
      </c>
      <c r="AU30" s="553">
        <f>'Prod&amp;Consp'!AX37*$C$29/1000</f>
        <v>0</v>
      </c>
      <c r="AV30" s="553">
        <f>'Prod&amp;Consp'!AY37*$C$29/1000</f>
        <v>0</v>
      </c>
      <c r="AW30" s="560">
        <f t="shared" si="33"/>
        <v>975</v>
      </c>
      <c r="AX30" s="565"/>
      <c r="AY30" s="553">
        <f>'Prod&amp;Consp'!BB37*$C$29/1000</f>
        <v>0</v>
      </c>
      <c r="AZ30" s="562">
        <f>'Prod&amp;Consp'!BC37*$C$29/1000</f>
        <v>0</v>
      </c>
      <c r="BA30" s="553">
        <f>'Prod&amp;Consp'!BD37*$C$29/1000</f>
        <v>0</v>
      </c>
      <c r="BB30" s="553">
        <f>'Prod&amp;Consp'!BE37*$C$29/1000</f>
        <v>0</v>
      </c>
      <c r="BC30" s="553">
        <f>'Prod&amp;Consp'!BF37*$C$29/1000</f>
        <v>0</v>
      </c>
      <c r="BD30" s="553">
        <f>'Prod&amp;Consp'!BG37*$C$29/1000</f>
        <v>0</v>
      </c>
      <c r="BE30" s="553">
        <f>'Prod&amp;Consp'!BH37*$C$29/1000</f>
        <v>0</v>
      </c>
      <c r="BF30" s="553">
        <f>'Prod&amp;Consp'!BI37*$C$29/1000</f>
        <v>975</v>
      </c>
      <c r="BG30" s="553">
        <f>'Prod&amp;Consp'!BJ37*$C$29/1000</f>
        <v>0</v>
      </c>
      <c r="BH30" s="553">
        <f>'Prod&amp;Consp'!BK37*$C$29/1000</f>
        <v>0</v>
      </c>
      <c r="BI30" s="553">
        <f>'Prod&amp;Consp'!BL37*$C$29/1000</f>
        <v>0</v>
      </c>
      <c r="BJ30" s="553">
        <f>'Prod&amp;Consp'!BM37*$C$29/1000</f>
        <v>0</v>
      </c>
      <c r="BK30" s="560">
        <f t="shared" si="34"/>
        <v>975</v>
      </c>
      <c r="BL30" s="565"/>
      <c r="BM30" s="553">
        <f>'Prod&amp;Consp'!BP37*$C$29/1000</f>
        <v>0</v>
      </c>
      <c r="BN30" s="553">
        <f>'Prod&amp;Consp'!BQ37*$C$29/1000</f>
        <v>0</v>
      </c>
      <c r="BO30" s="553">
        <f>'Prod&amp;Consp'!BR37*$C$29/1000</f>
        <v>0</v>
      </c>
      <c r="BP30" s="553">
        <f>'Prod&amp;Consp'!BS37*$C$29/1000</f>
        <v>0</v>
      </c>
      <c r="BQ30" s="553">
        <f>'Prod&amp;Consp'!BT37*$C$29/1000</f>
        <v>0</v>
      </c>
      <c r="BR30" s="553">
        <f>'Prod&amp;Consp'!BU37*$C$29/1000</f>
        <v>0</v>
      </c>
      <c r="BS30" s="553">
        <f>'Prod&amp;Consp'!BV37*$C$29/1000</f>
        <v>0</v>
      </c>
      <c r="BT30" s="562">
        <f>'Prod&amp;Consp'!BW37*$C$29/1000</f>
        <v>0</v>
      </c>
      <c r="BU30" s="553">
        <f>'Prod&amp;Consp'!BX37*$C$29/1000</f>
        <v>0</v>
      </c>
      <c r="BV30" s="553">
        <f>'Prod&amp;Consp'!BY37*$C$29/1000</f>
        <v>0</v>
      </c>
      <c r="BW30" s="553">
        <f>'Prod&amp;Consp'!BZ37*$C$29/1000</f>
        <v>0</v>
      </c>
      <c r="BX30" s="553">
        <f>'Prod&amp;Consp'!CA37*$C$29/1000</f>
        <v>0</v>
      </c>
      <c r="BY30" s="560">
        <f t="shared" si="35"/>
        <v>0</v>
      </c>
      <c r="BZ30" s="565"/>
      <c r="CA30" s="553">
        <f>'Prod&amp;Consp'!CD37*$C$29/1000</f>
        <v>0</v>
      </c>
      <c r="CB30" s="553">
        <f>'Prod&amp;Consp'!CE37*$C$29/1000</f>
        <v>0</v>
      </c>
      <c r="CC30" s="553">
        <f>'Prod&amp;Consp'!CF37*$C$29/1000</f>
        <v>975</v>
      </c>
      <c r="CD30" s="553">
        <f>'Prod&amp;Consp'!CG37*$C$29/1000</f>
        <v>0</v>
      </c>
      <c r="CE30" s="553">
        <f>'Prod&amp;Consp'!CH37*$C$29/1000</f>
        <v>0</v>
      </c>
      <c r="CF30" s="553">
        <f>'Prod&amp;Consp'!CI37*$C$29/1000</f>
        <v>0</v>
      </c>
      <c r="CG30" s="553">
        <f>'Prod&amp;Consp'!CJ37*$C$29/1000</f>
        <v>0</v>
      </c>
      <c r="CH30" s="553">
        <f>'Prod&amp;Consp'!CK37*$C$29/1000</f>
        <v>0</v>
      </c>
      <c r="CI30" s="553">
        <f>'Prod&amp;Consp'!CL37*$C$29/1000</f>
        <v>0</v>
      </c>
      <c r="CJ30" s="553">
        <f>'Prod&amp;Consp'!CM37*$C$29/1000</f>
        <v>0</v>
      </c>
      <c r="CK30" s="553">
        <f>'Prod&amp;Consp'!CN37*$C$29/1000</f>
        <v>0</v>
      </c>
      <c r="CL30" s="553">
        <f>'Prod&amp;Consp'!CO37*$C$29/1000</f>
        <v>0</v>
      </c>
      <c r="CM30" s="560">
        <f t="shared" si="36"/>
        <v>975</v>
      </c>
      <c r="CN30" s="565"/>
      <c r="CO30" s="553">
        <f>'Prod&amp;Consp'!CR37*$C$29/1000</f>
        <v>0</v>
      </c>
      <c r="CP30" s="562">
        <f>'Prod&amp;Consp'!CS37*$C$29/1000</f>
        <v>0</v>
      </c>
      <c r="CQ30" s="553">
        <f>'Prod&amp;Consp'!CT37*$C$29/1000</f>
        <v>0</v>
      </c>
      <c r="CR30" s="553">
        <f>'Prod&amp;Consp'!CU37*$C$29/1000</f>
        <v>0</v>
      </c>
      <c r="CS30" s="553">
        <f>'Prod&amp;Consp'!CV37*$C$29/1000</f>
        <v>0</v>
      </c>
      <c r="CT30" s="553">
        <f>'Prod&amp;Consp'!CW37*$C$29/1000</f>
        <v>0</v>
      </c>
      <c r="CU30" s="553">
        <f>'Prod&amp;Consp'!CX37*$C$29/1000</f>
        <v>0</v>
      </c>
      <c r="CV30" s="553">
        <f>'Prod&amp;Consp'!CY37*$C$29/1000</f>
        <v>975</v>
      </c>
      <c r="CW30" s="553">
        <f>'Prod&amp;Consp'!CZ37*$C$29/1000</f>
        <v>0</v>
      </c>
      <c r="CX30" s="553">
        <f>'Prod&amp;Consp'!DA37*$C$29/1000</f>
        <v>0</v>
      </c>
      <c r="CY30" s="553">
        <f>'Prod&amp;Consp'!DB37*$C$29/1000</f>
        <v>0</v>
      </c>
      <c r="CZ30" s="553">
        <f>'Prod&amp;Consp'!DC37*$C$29/1000</f>
        <v>0</v>
      </c>
      <c r="DA30" s="560">
        <f t="shared" si="37"/>
        <v>975</v>
      </c>
      <c r="DB30" s="565"/>
      <c r="DC30" s="553">
        <f>'Prod&amp;Consp'!DF37*$C$29/1000</f>
        <v>0</v>
      </c>
      <c r="DD30" s="553">
        <f>'Prod&amp;Consp'!DG37*$C$29/1000</f>
        <v>0</v>
      </c>
      <c r="DE30" s="553">
        <f>'Prod&amp;Consp'!DH37*$C$29/1000</f>
        <v>0</v>
      </c>
      <c r="DF30" s="553">
        <f>'Prod&amp;Consp'!DI37*$C$29/1000</f>
        <v>0</v>
      </c>
      <c r="DG30" s="553">
        <f>'Prod&amp;Consp'!DJ37*$C$29/1000</f>
        <v>0</v>
      </c>
      <c r="DH30" s="553">
        <f>'Prod&amp;Consp'!DK37*$C$29/1000</f>
        <v>0</v>
      </c>
      <c r="DI30" s="553">
        <f>'Prod&amp;Consp'!DL37*$C$29/1000</f>
        <v>0</v>
      </c>
      <c r="DJ30" s="562">
        <f>'Prod&amp;Consp'!DM37*$C$29/1000</f>
        <v>0</v>
      </c>
      <c r="DK30" s="553">
        <f>'Prod&amp;Consp'!DN37*$C$29/1000</f>
        <v>0</v>
      </c>
      <c r="DL30" s="553">
        <f>'Prod&amp;Consp'!DO37*$C$29/1000</f>
        <v>0</v>
      </c>
      <c r="DM30" s="553">
        <f>'Prod&amp;Consp'!DP37*$C$29/1000</f>
        <v>0</v>
      </c>
      <c r="DN30" s="553">
        <f>'Prod&amp;Consp'!DQ37*$C$29/1000</f>
        <v>0</v>
      </c>
      <c r="DO30" s="560">
        <f t="shared" si="38"/>
        <v>0</v>
      </c>
      <c r="DP30" s="565"/>
      <c r="DQ30" s="553">
        <f>'Prod&amp;Consp'!DT37*$C$29/1000</f>
        <v>0</v>
      </c>
      <c r="DR30" s="553">
        <f>'Prod&amp;Consp'!DU37*$C$29/1000</f>
        <v>975</v>
      </c>
      <c r="DS30" s="553">
        <f>'Prod&amp;Consp'!DV37*$C$29/1000</f>
        <v>0</v>
      </c>
      <c r="DT30" s="553">
        <f>'Prod&amp;Consp'!DW37*$C$29/1000</f>
        <v>0</v>
      </c>
      <c r="DU30" s="553">
        <f>'Prod&amp;Consp'!DX37*$C$29/1000</f>
        <v>0</v>
      </c>
      <c r="DV30" s="553">
        <f>'Prod&amp;Consp'!DY37*$C$29/1000</f>
        <v>0</v>
      </c>
      <c r="DW30" s="553">
        <f>'Prod&amp;Consp'!DZ37*$C$29/1000</f>
        <v>0</v>
      </c>
      <c r="DX30" s="553">
        <f>'Prod&amp;Consp'!EA37*$C$29/1000</f>
        <v>0</v>
      </c>
      <c r="DY30" s="553">
        <f>'Prod&amp;Consp'!EB37*$C$29/1000</f>
        <v>0</v>
      </c>
      <c r="DZ30" s="553">
        <f>'Prod&amp;Consp'!EC37*$C$29/1000</f>
        <v>0</v>
      </c>
      <c r="EA30" s="553">
        <f>'Prod&amp;Consp'!ED37*$C$29/1000</f>
        <v>0</v>
      </c>
      <c r="EB30" s="553">
        <f>'Prod&amp;Consp'!EE37*$C$29/1000</f>
        <v>0</v>
      </c>
      <c r="EC30" s="560">
        <f t="shared" si="39"/>
        <v>975</v>
      </c>
      <c r="ED30" s="565"/>
      <c r="EE30" s="553">
        <f>'Prod&amp;Consp'!EH37*$C$29/1000</f>
        <v>0</v>
      </c>
      <c r="EF30" s="562">
        <f>'Prod&amp;Consp'!EI37*$C$29/1000</f>
        <v>0</v>
      </c>
      <c r="EG30" s="553">
        <f>'Prod&amp;Consp'!EJ37*$C$29/1000</f>
        <v>0</v>
      </c>
      <c r="EH30" s="553">
        <f>'Prod&amp;Consp'!EK37*$C$29/1000</f>
        <v>0</v>
      </c>
      <c r="EI30" s="553">
        <f>'Prod&amp;Consp'!EL37*$C$29/1000</f>
        <v>0</v>
      </c>
      <c r="EJ30" s="553">
        <f>'Prod&amp;Consp'!EM37*$C$29/1000</f>
        <v>0</v>
      </c>
      <c r="EK30" s="553">
        <f>'Prod&amp;Consp'!EN37*$C$29/1000</f>
        <v>0</v>
      </c>
      <c r="EL30" s="553">
        <f>'Prod&amp;Consp'!EO37*$C$29/1000</f>
        <v>975</v>
      </c>
      <c r="EM30" s="553">
        <f>'Prod&amp;Consp'!EP37*$C$29/1000</f>
        <v>0</v>
      </c>
      <c r="EN30" s="553">
        <f>'Prod&amp;Consp'!EQ37*$C$29/1000</f>
        <v>0</v>
      </c>
      <c r="EO30" s="553">
        <f>'Prod&amp;Consp'!ER37*$C$29/1000</f>
        <v>0</v>
      </c>
      <c r="EP30" s="553">
        <f>'Prod&amp;Consp'!ES37*$C$29/1000</f>
        <v>0</v>
      </c>
      <c r="EQ30" s="560">
        <f t="shared" si="40"/>
        <v>975</v>
      </c>
      <c r="ER30" s="565"/>
      <c r="ET30" s="536">
        <v>1.5</v>
      </c>
      <c r="EU30" s="531" t="s">
        <v>484</v>
      </c>
      <c r="EV30" s="461"/>
      <c r="EW30" s="576">
        <f t="shared" si="11"/>
        <v>975</v>
      </c>
      <c r="EX30" s="576">
        <f t="shared" si="12"/>
        <v>0</v>
      </c>
      <c r="EY30" s="576">
        <f t="shared" si="13"/>
        <v>975</v>
      </c>
      <c r="EZ30" s="576">
        <f t="shared" si="14"/>
        <v>975</v>
      </c>
      <c r="FA30" s="576">
        <f t="shared" si="15"/>
        <v>0</v>
      </c>
      <c r="FB30" s="576">
        <f t="shared" si="16"/>
        <v>975</v>
      </c>
      <c r="FC30" s="576">
        <f t="shared" si="17"/>
        <v>975</v>
      </c>
      <c r="FD30" s="576">
        <f t="shared" si="18"/>
        <v>0</v>
      </c>
      <c r="FE30" s="576">
        <f t="shared" si="19"/>
        <v>975</v>
      </c>
      <c r="FF30" s="576">
        <f t="shared" si="20"/>
        <v>975</v>
      </c>
    </row>
    <row r="31" spans="1:162" ht="10.5" customHeight="1" x14ac:dyDescent="0.35">
      <c r="A31" s="547" t="s">
        <v>1185</v>
      </c>
      <c r="B31" s="531" t="s">
        <v>34</v>
      </c>
      <c r="C31" s="553">
        <f>Asumsi!F71</f>
        <v>1000</v>
      </c>
      <c r="D31" s="531" t="s">
        <v>496</v>
      </c>
      <c r="F31" s="536">
        <v>1.6</v>
      </c>
      <c r="G31" s="531" t="s">
        <v>469</v>
      </c>
      <c r="H31" s="461"/>
      <c r="I31" s="553">
        <f>'Prod&amp;Consp'!L38*$C$30/1000</f>
        <v>1800</v>
      </c>
      <c r="J31" s="553">
        <f>'Prod&amp;Consp'!M38*$C$30/1000</f>
        <v>0</v>
      </c>
      <c r="K31" s="553">
        <f>'Prod&amp;Consp'!N38*$C$30/1000</f>
        <v>0</v>
      </c>
      <c r="L31" s="553">
        <f>'Prod&amp;Consp'!O38*$C$30/1000</f>
        <v>0</v>
      </c>
      <c r="M31" s="553">
        <f>'Prod&amp;Consp'!P38*$C$30/1000</f>
        <v>0</v>
      </c>
      <c r="N31" s="553">
        <f>'Prod&amp;Consp'!Q38*$C$30/1000</f>
        <v>0</v>
      </c>
      <c r="O31" s="553">
        <f>'Prod&amp;Consp'!R38*$C$30/1000</f>
        <v>0</v>
      </c>
      <c r="P31" s="553">
        <f>'Prod&amp;Consp'!S38*$C$30/1000</f>
        <v>1800</v>
      </c>
      <c r="Q31" s="553">
        <f>'Prod&amp;Consp'!T38*$C$30/1000</f>
        <v>0</v>
      </c>
      <c r="R31" s="553">
        <f>'Prod&amp;Consp'!U38*$C$30/1000</f>
        <v>0</v>
      </c>
      <c r="S31" s="553">
        <f>'Prod&amp;Consp'!V38*$C$30/1000</f>
        <v>0</v>
      </c>
      <c r="T31" s="553">
        <f>'Prod&amp;Consp'!W38*$C$30/1000</f>
        <v>0</v>
      </c>
      <c r="U31" s="560">
        <f t="shared" si="1"/>
        <v>3600</v>
      </c>
      <c r="V31" s="565"/>
      <c r="W31" s="553">
        <f>'Prod&amp;Consp'!Z38*$C$30/1000</f>
        <v>0</v>
      </c>
      <c r="X31" s="553">
        <f>'Prod&amp;Consp'!AA38*$C$30/1000</f>
        <v>0</v>
      </c>
      <c r="Y31" s="553">
        <f>'Prod&amp;Consp'!AB38*$C$30/1000</f>
        <v>0</v>
      </c>
      <c r="Z31" s="553">
        <f>'Prod&amp;Consp'!AC38*$C$30/1000</f>
        <v>0</v>
      </c>
      <c r="AA31" s="553">
        <f>'Prod&amp;Consp'!AD38*$C$30/1000</f>
        <v>0</v>
      </c>
      <c r="AB31" s="553">
        <f>'Prod&amp;Consp'!AE38*$C$30/1000</f>
        <v>0</v>
      </c>
      <c r="AC31" s="553">
        <f>'Prod&amp;Consp'!AF38*$C$30/1000</f>
        <v>1800</v>
      </c>
      <c r="AD31" s="562">
        <f>'Prod&amp;Consp'!AG38*$C$30/1000</f>
        <v>0</v>
      </c>
      <c r="AE31" s="553">
        <f>'Prod&amp;Consp'!AH38*$C$30/1000</f>
        <v>0</v>
      </c>
      <c r="AF31" s="553">
        <f>'Prod&amp;Consp'!AI38*$C$30/1000</f>
        <v>0</v>
      </c>
      <c r="AG31" s="553">
        <f>'Prod&amp;Consp'!AJ38*$C$30/1000</f>
        <v>0</v>
      </c>
      <c r="AH31" s="553">
        <f>'Prod&amp;Consp'!AK38*$C$30/1000</f>
        <v>0</v>
      </c>
      <c r="AI31" s="560">
        <f t="shared" si="32"/>
        <v>1800</v>
      </c>
      <c r="AJ31" s="565"/>
      <c r="AK31" s="553">
        <f>'Prod&amp;Consp'!AN38*$C$30/1000</f>
        <v>0</v>
      </c>
      <c r="AL31" s="553">
        <f>'Prod&amp;Consp'!AO38*$C$30/1000</f>
        <v>1800</v>
      </c>
      <c r="AM31" s="553">
        <f>'Prod&amp;Consp'!AP38*$C$30/1000</f>
        <v>0</v>
      </c>
      <c r="AN31" s="553">
        <f>'Prod&amp;Consp'!AQ38*$C$30/1000</f>
        <v>0</v>
      </c>
      <c r="AO31" s="553">
        <f>'Prod&amp;Consp'!AR38*$C$30/1000</f>
        <v>0</v>
      </c>
      <c r="AP31" s="553">
        <f>'Prod&amp;Consp'!AS38*$C$30/1000</f>
        <v>0</v>
      </c>
      <c r="AQ31" s="553">
        <f>'Prod&amp;Consp'!AT38*$C$30/1000</f>
        <v>0</v>
      </c>
      <c r="AR31" s="553">
        <f>'Prod&amp;Consp'!AU38*$C$30/1000</f>
        <v>0</v>
      </c>
      <c r="AS31" s="553">
        <f>'Prod&amp;Consp'!AV38*$C$30/1000</f>
        <v>0</v>
      </c>
      <c r="AT31" s="553">
        <f>'Prod&amp;Consp'!AW38*$C$30/1000</f>
        <v>0</v>
      </c>
      <c r="AU31" s="553">
        <f>'Prod&amp;Consp'!AX38*$C$30/1000</f>
        <v>0</v>
      </c>
      <c r="AV31" s="553">
        <f>'Prod&amp;Consp'!AY38*$C$30/1000</f>
        <v>0</v>
      </c>
      <c r="AW31" s="560">
        <f t="shared" si="33"/>
        <v>1800</v>
      </c>
      <c r="AX31" s="565"/>
      <c r="AY31" s="553">
        <f>'Prod&amp;Consp'!BB38*$C$30/1000</f>
        <v>1800</v>
      </c>
      <c r="AZ31" s="562">
        <f>'Prod&amp;Consp'!BC38*$C$30/1000</f>
        <v>0</v>
      </c>
      <c r="BA31" s="553">
        <f>'Prod&amp;Consp'!BD38*$C$30/1000</f>
        <v>0</v>
      </c>
      <c r="BB31" s="553">
        <f>'Prod&amp;Consp'!BE38*$C$30/1000</f>
        <v>0</v>
      </c>
      <c r="BC31" s="553">
        <f>'Prod&amp;Consp'!BF38*$C$30/1000</f>
        <v>0</v>
      </c>
      <c r="BD31" s="553">
        <f>'Prod&amp;Consp'!BG38*$C$30/1000</f>
        <v>0</v>
      </c>
      <c r="BE31" s="553">
        <f>'Prod&amp;Consp'!BH38*$C$30/1000</f>
        <v>0</v>
      </c>
      <c r="BF31" s="553">
        <f>'Prod&amp;Consp'!BI38*$C$30/1000</f>
        <v>1800</v>
      </c>
      <c r="BG31" s="553">
        <f>'Prod&amp;Consp'!BJ38*$C$30/1000</f>
        <v>0</v>
      </c>
      <c r="BH31" s="553">
        <f>'Prod&amp;Consp'!BK38*$C$30/1000</f>
        <v>0</v>
      </c>
      <c r="BI31" s="553">
        <f>'Prod&amp;Consp'!BL38*$C$30/1000</f>
        <v>0</v>
      </c>
      <c r="BJ31" s="553">
        <f>'Prod&amp;Consp'!BM38*$C$30/1000</f>
        <v>0</v>
      </c>
      <c r="BK31" s="560">
        <f t="shared" si="34"/>
        <v>3600</v>
      </c>
      <c r="BL31" s="565"/>
      <c r="BM31" s="553">
        <f>'Prod&amp;Consp'!BP38*$C$30/1000</f>
        <v>0</v>
      </c>
      <c r="BN31" s="553">
        <f>'Prod&amp;Consp'!BQ38*$C$30/1000</f>
        <v>0</v>
      </c>
      <c r="BO31" s="553">
        <f>'Prod&amp;Consp'!BR38*$C$30/1000</f>
        <v>0</v>
      </c>
      <c r="BP31" s="553">
        <f>'Prod&amp;Consp'!BS38*$C$30/1000</f>
        <v>0</v>
      </c>
      <c r="BQ31" s="553">
        <f>'Prod&amp;Consp'!BT38*$C$30/1000</f>
        <v>0</v>
      </c>
      <c r="BR31" s="553">
        <f>'Prod&amp;Consp'!BU38*$C$30/1000</f>
        <v>0</v>
      </c>
      <c r="BS31" s="553">
        <f>'Prod&amp;Consp'!BV38*$C$30/1000</f>
        <v>1800</v>
      </c>
      <c r="BT31" s="562">
        <f>'Prod&amp;Consp'!BW38*$C$30/1000</f>
        <v>0</v>
      </c>
      <c r="BU31" s="553">
        <f>'Prod&amp;Consp'!BX38*$C$30/1000</f>
        <v>0</v>
      </c>
      <c r="BV31" s="553">
        <f>'Prod&amp;Consp'!BY38*$C$30/1000</f>
        <v>0</v>
      </c>
      <c r="BW31" s="553">
        <f>'Prod&amp;Consp'!BZ38*$C$30/1000</f>
        <v>0</v>
      </c>
      <c r="BX31" s="553">
        <f>'Prod&amp;Consp'!CA38*$C$30/1000</f>
        <v>0</v>
      </c>
      <c r="BY31" s="560">
        <f t="shared" si="35"/>
        <v>1800</v>
      </c>
      <c r="BZ31" s="565"/>
      <c r="CA31" s="553">
        <f>'Prod&amp;Consp'!CD38*$C$30/1000</f>
        <v>0</v>
      </c>
      <c r="CB31" s="553">
        <f>'Prod&amp;Consp'!CE38*$C$30/1000</f>
        <v>0</v>
      </c>
      <c r="CC31" s="553">
        <f>'Prod&amp;Consp'!CF38*$C$30/1000</f>
        <v>1800</v>
      </c>
      <c r="CD31" s="553">
        <f>'Prod&amp;Consp'!CG38*$C$30/1000</f>
        <v>0</v>
      </c>
      <c r="CE31" s="553">
        <f>'Prod&amp;Consp'!CH38*$C$30/1000</f>
        <v>0</v>
      </c>
      <c r="CF31" s="553">
        <f>'Prod&amp;Consp'!CI38*$C$30/1000</f>
        <v>0</v>
      </c>
      <c r="CG31" s="553">
        <f>'Prod&amp;Consp'!CJ38*$C$30/1000</f>
        <v>0</v>
      </c>
      <c r="CH31" s="553">
        <f>'Prod&amp;Consp'!CK38*$C$30/1000</f>
        <v>0</v>
      </c>
      <c r="CI31" s="553">
        <f>'Prod&amp;Consp'!CL38*$C$30/1000</f>
        <v>0</v>
      </c>
      <c r="CJ31" s="553">
        <f>'Prod&amp;Consp'!CM38*$C$30/1000</f>
        <v>0</v>
      </c>
      <c r="CK31" s="553">
        <f>'Prod&amp;Consp'!CN38*$C$30/1000</f>
        <v>0</v>
      </c>
      <c r="CL31" s="553">
        <f>'Prod&amp;Consp'!CO38*$C$30/1000</f>
        <v>0</v>
      </c>
      <c r="CM31" s="560">
        <f t="shared" si="36"/>
        <v>1800</v>
      </c>
      <c r="CN31" s="565"/>
      <c r="CO31" s="553">
        <f>'Prod&amp;Consp'!CR38*$C$30/1000</f>
        <v>1800</v>
      </c>
      <c r="CP31" s="562">
        <f>'Prod&amp;Consp'!CS38*$C$30/1000</f>
        <v>0</v>
      </c>
      <c r="CQ31" s="553">
        <f>'Prod&amp;Consp'!CT38*$C$30/1000</f>
        <v>0</v>
      </c>
      <c r="CR31" s="553">
        <f>'Prod&amp;Consp'!CU38*$C$30/1000</f>
        <v>0</v>
      </c>
      <c r="CS31" s="553">
        <f>'Prod&amp;Consp'!CV38*$C$30/1000</f>
        <v>0</v>
      </c>
      <c r="CT31" s="553">
        <f>'Prod&amp;Consp'!CW38*$C$30/1000</f>
        <v>0</v>
      </c>
      <c r="CU31" s="553">
        <f>'Prod&amp;Consp'!CX38*$C$30/1000</f>
        <v>0</v>
      </c>
      <c r="CV31" s="553">
        <f>'Prod&amp;Consp'!CY38*$C$30/1000</f>
        <v>1800</v>
      </c>
      <c r="CW31" s="553">
        <f>'Prod&amp;Consp'!CZ38*$C$30/1000</f>
        <v>0</v>
      </c>
      <c r="CX31" s="553">
        <f>'Prod&amp;Consp'!DA38*$C$30/1000</f>
        <v>0</v>
      </c>
      <c r="CY31" s="553">
        <f>'Prod&amp;Consp'!DB38*$C$30/1000</f>
        <v>0</v>
      </c>
      <c r="CZ31" s="553">
        <f>'Prod&amp;Consp'!DC38*$C$30/1000</f>
        <v>0</v>
      </c>
      <c r="DA31" s="560">
        <f t="shared" si="37"/>
        <v>3600</v>
      </c>
      <c r="DB31" s="565"/>
      <c r="DC31" s="553">
        <f>'Prod&amp;Consp'!DF38*$C$30/1000</f>
        <v>0</v>
      </c>
      <c r="DD31" s="553">
        <f>'Prod&amp;Consp'!DG38*$C$30/1000</f>
        <v>0</v>
      </c>
      <c r="DE31" s="553">
        <f>'Prod&amp;Consp'!DH38*$C$30/1000</f>
        <v>0</v>
      </c>
      <c r="DF31" s="553">
        <f>'Prod&amp;Consp'!DI38*$C$30/1000</f>
        <v>0</v>
      </c>
      <c r="DG31" s="553">
        <f>'Prod&amp;Consp'!DJ38*$C$30/1000</f>
        <v>0</v>
      </c>
      <c r="DH31" s="553">
        <f>'Prod&amp;Consp'!DK38*$C$30/1000</f>
        <v>0</v>
      </c>
      <c r="DI31" s="553">
        <f>'Prod&amp;Consp'!DL38*$C$30/1000</f>
        <v>1800</v>
      </c>
      <c r="DJ31" s="562">
        <f>'Prod&amp;Consp'!DM38*$C$30/1000</f>
        <v>0</v>
      </c>
      <c r="DK31" s="553">
        <f>'Prod&amp;Consp'!DN38*$C$30/1000</f>
        <v>0</v>
      </c>
      <c r="DL31" s="553">
        <f>'Prod&amp;Consp'!DO38*$C$30/1000</f>
        <v>0</v>
      </c>
      <c r="DM31" s="553">
        <f>'Prod&amp;Consp'!DP38*$C$30/1000</f>
        <v>0</v>
      </c>
      <c r="DN31" s="553">
        <f>'Prod&amp;Consp'!DQ38*$C$30/1000</f>
        <v>0</v>
      </c>
      <c r="DO31" s="560">
        <f t="shared" si="38"/>
        <v>1800</v>
      </c>
      <c r="DP31" s="565"/>
      <c r="DQ31" s="553">
        <f>'Prod&amp;Consp'!DT38*$C$30/1000</f>
        <v>0</v>
      </c>
      <c r="DR31" s="553">
        <f>'Prod&amp;Consp'!DU38*$C$30/1000</f>
        <v>1800</v>
      </c>
      <c r="DS31" s="553">
        <f>'Prod&amp;Consp'!DV38*$C$30/1000</f>
        <v>0</v>
      </c>
      <c r="DT31" s="553">
        <f>'Prod&amp;Consp'!DW38*$C$30/1000</f>
        <v>0</v>
      </c>
      <c r="DU31" s="553">
        <f>'Prod&amp;Consp'!DX38*$C$30/1000</f>
        <v>0</v>
      </c>
      <c r="DV31" s="553">
        <f>'Prod&amp;Consp'!DY38*$C$30/1000</f>
        <v>0</v>
      </c>
      <c r="DW31" s="553">
        <f>'Prod&amp;Consp'!DZ38*$C$30/1000</f>
        <v>0</v>
      </c>
      <c r="DX31" s="553">
        <f>'Prod&amp;Consp'!EA38*$C$30/1000</f>
        <v>0</v>
      </c>
      <c r="DY31" s="553">
        <f>'Prod&amp;Consp'!EB38*$C$30/1000</f>
        <v>0</v>
      </c>
      <c r="DZ31" s="553">
        <f>'Prod&amp;Consp'!EC38*$C$30/1000</f>
        <v>0</v>
      </c>
      <c r="EA31" s="553">
        <f>'Prod&amp;Consp'!ED38*$C$30/1000</f>
        <v>0</v>
      </c>
      <c r="EB31" s="553">
        <f>'Prod&amp;Consp'!EE38*$C$30/1000</f>
        <v>0</v>
      </c>
      <c r="EC31" s="560">
        <f t="shared" si="39"/>
        <v>1800</v>
      </c>
      <c r="ED31" s="565"/>
      <c r="EE31" s="553">
        <f>'Prod&amp;Consp'!EH38*$C$30/1000</f>
        <v>1800</v>
      </c>
      <c r="EF31" s="562">
        <f>'Prod&amp;Consp'!EI38*$C$30/1000</f>
        <v>0</v>
      </c>
      <c r="EG31" s="553">
        <f>'Prod&amp;Consp'!EJ38*$C$30/1000</f>
        <v>0</v>
      </c>
      <c r="EH31" s="553">
        <f>'Prod&amp;Consp'!EK38*$C$30/1000</f>
        <v>0</v>
      </c>
      <c r="EI31" s="553">
        <f>'Prod&amp;Consp'!EL38*$C$30/1000</f>
        <v>0</v>
      </c>
      <c r="EJ31" s="553">
        <f>'Prod&amp;Consp'!EM38*$C$30/1000</f>
        <v>0</v>
      </c>
      <c r="EK31" s="553">
        <f>'Prod&amp;Consp'!EN38*$C$30/1000</f>
        <v>0</v>
      </c>
      <c r="EL31" s="553">
        <f>'Prod&amp;Consp'!EO38*$C$30/1000</f>
        <v>1800</v>
      </c>
      <c r="EM31" s="553">
        <f>'Prod&amp;Consp'!EP38*$C$30/1000</f>
        <v>0</v>
      </c>
      <c r="EN31" s="553">
        <f>'Prod&amp;Consp'!EQ38*$C$30/1000</f>
        <v>0</v>
      </c>
      <c r="EO31" s="553">
        <f>'Prod&amp;Consp'!ER38*$C$30/1000</f>
        <v>0</v>
      </c>
      <c r="EP31" s="553">
        <f>'Prod&amp;Consp'!ES38*$C$30/1000</f>
        <v>0</v>
      </c>
      <c r="EQ31" s="560">
        <f t="shared" si="40"/>
        <v>3600</v>
      </c>
      <c r="ER31" s="565"/>
      <c r="ET31" s="536">
        <v>1.6</v>
      </c>
      <c r="EU31" s="531" t="s">
        <v>469</v>
      </c>
      <c r="EV31" s="461"/>
      <c r="EW31" s="576">
        <f t="shared" si="11"/>
        <v>3600</v>
      </c>
      <c r="EX31" s="576">
        <f t="shared" si="12"/>
        <v>1800</v>
      </c>
      <c r="EY31" s="576">
        <f t="shared" si="13"/>
        <v>1800</v>
      </c>
      <c r="EZ31" s="576">
        <f t="shared" si="14"/>
        <v>3600</v>
      </c>
      <c r="FA31" s="576">
        <f t="shared" si="15"/>
        <v>1800</v>
      </c>
      <c r="FB31" s="576">
        <f t="shared" si="16"/>
        <v>1800</v>
      </c>
      <c r="FC31" s="576">
        <f t="shared" si="17"/>
        <v>3600</v>
      </c>
      <c r="FD31" s="576">
        <f t="shared" si="18"/>
        <v>1800</v>
      </c>
      <c r="FE31" s="576">
        <f t="shared" si="19"/>
        <v>1800</v>
      </c>
      <c r="FF31" s="576">
        <f t="shared" si="20"/>
        <v>3600</v>
      </c>
    </row>
    <row r="32" spans="1:162" ht="10.5" customHeight="1" x14ac:dyDescent="0.35">
      <c r="A32" s="547" t="s">
        <v>1186</v>
      </c>
      <c r="B32" s="531" t="s">
        <v>507</v>
      </c>
      <c r="C32" s="553">
        <f>Asumsi!F72</f>
        <v>50000</v>
      </c>
      <c r="D32" s="531" t="s">
        <v>250</v>
      </c>
      <c r="F32" s="547" t="s">
        <v>1187</v>
      </c>
      <c r="G32" s="531" t="s">
        <v>1080</v>
      </c>
      <c r="H32" s="461"/>
      <c r="I32" s="553">
        <f>'Prod&amp;Consp'!L39*$C$31/1000</f>
        <v>0</v>
      </c>
      <c r="J32" s="553">
        <f>'Prod&amp;Consp'!M39*$C$31/1000</f>
        <v>0</v>
      </c>
      <c r="K32" s="553">
        <f>'Prod&amp;Consp'!N39*$C$31/1000</f>
        <v>2512</v>
      </c>
      <c r="L32" s="553">
        <f>'Prod&amp;Consp'!O39*$C$31/1000</f>
        <v>2512</v>
      </c>
      <c r="M32" s="553">
        <f>'Prod&amp;Consp'!P39*$C$31/1000</f>
        <v>2512</v>
      </c>
      <c r="N32" s="553">
        <f>'Prod&amp;Consp'!Q39*$C$31/1000</f>
        <v>2512</v>
      </c>
      <c r="O32" s="553">
        <f>'Prod&amp;Consp'!R39*$C$31/1000</f>
        <v>2512</v>
      </c>
      <c r="P32" s="553">
        <f>'Prod&amp;Consp'!S39*$C$31/1000</f>
        <v>2512</v>
      </c>
      <c r="Q32" s="553">
        <f>'Prod&amp;Consp'!T39*$C$31/1000</f>
        <v>2512</v>
      </c>
      <c r="R32" s="553">
        <f>'Prod&amp;Consp'!U39*$C$31/1000</f>
        <v>2512</v>
      </c>
      <c r="S32" s="553">
        <f>'Prod&amp;Consp'!V39*$C$31/1000</f>
        <v>2512</v>
      </c>
      <c r="T32" s="553">
        <f>'Prod&amp;Consp'!W39*$C$31/1000</f>
        <v>2512</v>
      </c>
      <c r="U32" s="560">
        <f t="shared" si="1"/>
        <v>25120</v>
      </c>
      <c r="V32" s="566"/>
      <c r="W32" s="553">
        <f>'Prod&amp;Consp'!Z39*$C$31/1000</f>
        <v>2512</v>
      </c>
      <c r="X32" s="553">
        <f>'Prod&amp;Consp'!AA39*$C$31/1000</f>
        <v>2512</v>
      </c>
      <c r="Y32" s="553">
        <f>'Prod&amp;Consp'!AB39*$C$31/1000</f>
        <v>2512</v>
      </c>
      <c r="Z32" s="553">
        <f>'Prod&amp;Consp'!AC39*$C$31/1000</f>
        <v>2512</v>
      </c>
      <c r="AA32" s="553">
        <f>'Prod&amp;Consp'!AD39*$C$31/1000</f>
        <v>2512</v>
      </c>
      <c r="AB32" s="553">
        <f>'Prod&amp;Consp'!AE39*$C$31/1000</f>
        <v>2512</v>
      </c>
      <c r="AC32" s="553">
        <f>'Prod&amp;Consp'!AF39*$C$31/1000</f>
        <v>2512</v>
      </c>
      <c r="AD32" s="562">
        <f>'Prod&amp;Consp'!AG39*$C$31/1000</f>
        <v>2512</v>
      </c>
      <c r="AE32" s="553">
        <f>'Prod&amp;Consp'!AH39*$C$31/1000</f>
        <v>2512</v>
      </c>
      <c r="AF32" s="553">
        <f>'Prod&amp;Consp'!AI39*$C$31/1000</f>
        <v>2512</v>
      </c>
      <c r="AG32" s="553">
        <f>'Prod&amp;Consp'!AJ39*$C$31/1000</f>
        <v>2512</v>
      </c>
      <c r="AH32" s="553">
        <f>'Prod&amp;Consp'!AK39*$C$31/1000</f>
        <v>2512</v>
      </c>
      <c r="AI32" s="560">
        <f t="shared" si="32"/>
        <v>30144</v>
      </c>
      <c r="AJ32" s="566"/>
      <c r="AK32" s="553">
        <f>'Prod&amp;Consp'!AN39*$C$31/1000</f>
        <v>2512</v>
      </c>
      <c r="AL32" s="553">
        <f>'Prod&amp;Consp'!AO39*$C$31/1000</f>
        <v>2512</v>
      </c>
      <c r="AM32" s="553">
        <f>'Prod&amp;Consp'!AP39*$C$31/1000</f>
        <v>2512</v>
      </c>
      <c r="AN32" s="553">
        <f>'Prod&amp;Consp'!AQ39*$C$31/1000</f>
        <v>2512</v>
      </c>
      <c r="AO32" s="553">
        <f>'Prod&amp;Consp'!AR39*$C$31/1000</f>
        <v>2512</v>
      </c>
      <c r="AP32" s="553">
        <f>'Prod&amp;Consp'!AS39*$C$31/1000</f>
        <v>2512</v>
      </c>
      <c r="AQ32" s="553">
        <f>'Prod&amp;Consp'!AT39*$C$31/1000</f>
        <v>2512</v>
      </c>
      <c r="AR32" s="553">
        <f>'Prod&amp;Consp'!AU39*$C$31/1000</f>
        <v>2512</v>
      </c>
      <c r="AS32" s="553">
        <f>'Prod&amp;Consp'!AV39*$C$31/1000</f>
        <v>2512</v>
      </c>
      <c r="AT32" s="553">
        <f>'Prod&amp;Consp'!AW39*$C$31/1000</f>
        <v>2512</v>
      </c>
      <c r="AU32" s="553">
        <f>'Prod&amp;Consp'!AX39*$C$31/1000</f>
        <v>2512</v>
      </c>
      <c r="AV32" s="553">
        <f>'Prod&amp;Consp'!AY39*$C$31/1000</f>
        <v>2512</v>
      </c>
      <c r="AW32" s="560">
        <f t="shared" si="33"/>
        <v>30144</v>
      </c>
      <c r="AX32" s="566"/>
      <c r="AY32" s="553">
        <f>'Prod&amp;Consp'!BB39*$C$31/1000</f>
        <v>2512</v>
      </c>
      <c r="AZ32" s="562">
        <f>'Prod&amp;Consp'!BC39*$C$31/1000</f>
        <v>2512</v>
      </c>
      <c r="BA32" s="553">
        <f>'Prod&amp;Consp'!BD39*$C$31/1000</f>
        <v>2512</v>
      </c>
      <c r="BB32" s="553">
        <f>'Prod&amp;Consp'!BE39*$C$31/1000</f>
        <v>2512</v>
      </c>
      <c r="BC32" s="553">
        <f>'Prod&amp;Consp'!BF39*$C$31/1000</f>
        <v>2512</v>
      </c>
      <c r="BD32" s="553">
        <f>'Prod&amp;Consp'!BG39*$C$31/1000</f>
        <v>2512</v>
      </c>
      <c r="BE32" s="553">
        <f>'Prod&amp;Consp'!BH39*$C$31/1000</f>
        <v>2512</v>
      </c>
      <c r="BF32" s="553">
        <f>'Prod&amp;Consp'!BI39*$C$31/1000</f>
        <v>2512</v>
      </c>
      <c r="BG32" s="553">
        <f>'Prod&amp;Consp'!BJ39*$C$31/1000</f>
        <v>2512</v>
      </c>
      <c r="BH32" s="553">
        <f>'Prod&amp;Consp'!BK39*$C$31/1000</f>
        <v>2512</v>
      </c>
      <c r="BI32" s="553">
        <f>'Prod&amp;Consp'!BL39*$C$31/1000</f>
        <v>2512</v>
      </c>
      <c r="BJ32" s="553">
        <f>'Prod&amp;Consp'!BM39*$C$31/1000</f>
        <v>2512</v>
      </c>
      <c r="BK32" s="560">
        <f t="shared" si="34"/>
        <v>30144</v>
      </c>
      <c r="BL32" s="566"/>
      <c r="BM32" s="553">
        <f>'Prod&amp;Consp'!BP39*$C$31/1000</f>
        <v>2512</v>
      </c>
      <c r="BN32" s="553">
        <f>'Prod&amp;Consp'!BQ39*$C$31/1000</f>
        <v>2512</v>
      </c>
      <c r="BO32" s="553">
        <f>'Prod&amp;Consp'!BR39*$C$31/1000</f>
        <v>2512</v>
      </c>
      <c r="BP32" s="553">
        <f>'Prod&amp;Consp'!BS39*$C$31/1000</f>
        <v>2512</v>
      </c>
      <c r="BQ32" s="553">
        <f>'Prod&amp;Consp'!BT39*$C$31/1000</f>
        <v>2512</v>
      </c>
      <c r="BR32" s="553">
        <f>'Prod&amp;Consp'!BU39*$C$31/1000</f>
        <v>2512</v>
      </c>
      <c r="BS32" s="553">
        <f>'Prod&amp;Consp'!BV39*$C$31/1000</f>
        <v>2512</v>
      </c>
      <c r="BT32" s="562">
        <f>'Prod&amp;Consp'!BW39*$C$31/1000</f>
        <v>2512</v>
      </c>
      <c r="BU32" s="553">
        <f>'Prod&amp;Consp'!BX39*$C$31/1000</f>
        <v>2512</v>
      </c>
      <c r="BV32" s="553">
        <f>'Prod&amp;Consp'!BY39*$C$31/1000</f>
        <v>2512</v>
      </c>
      <c r="BW32" s="553">
        <f>'Prod&amp;Consp'!BZ39*$C$31/1000</f>
        <v>2512</v>
      </c>
      <c r="BX32" s="553">
        <f>'Prod&amp;Consp'!CA39*$C$31/1000</f>
        <v>2512</v>
      </c>
      <c r="BY32" s="560">
        <f t="shared" si="35"/>
        <v>30144</v>
      </c>
      <c r="BZ32" s="566"/>
      <c r="CA32" s="553">
        <f>'Prod&amp;Consp'!CD39*$C$31/1000</f>
        <v>2512</v>
      </c>
      <c r="CB32" s="553">
        <f>'Prod&amp;Consp'!CE39*$C$31/1000</f>
        <v>2512</v>
      </c>
      <c r="CC32" s="553">
        <f>'Prod&amp;Consp'!CF39*$C$31/1000</f>
        <v>2512</v>
      </c>
      <c r="CD32" s="553">
        <f>'Prod&amp;Consp'!CG39*$C$31/1000</f>
        <v>2512</v>
      </c>
      <c r="CE32" s="553">
        <f>'Prod&amp;Consp'!CH39*$C$31/1000</f>
        <v>2512</v>
      </c>
      <c r="CF32" s="553">
        <f>'Prod&amp;Consp'!CI39*$C$31/1000</f>
        <v>2512</v>
      </c>
      <c r="CG32" s="553">
        <f>'Prod&amp;Consp'!CJ39*$C$31/1000</f>
        <v>2512</v>
      </c>
      <c r="CH32" s="553">
        <f>'Prod&amp;Consp'!CK39*$C$31/1000</f>
        <v>2512</v>
      </c>
      <c r="CI32" s="553">
        <f>'Prod&amp;Consp'!CL39*$C$31/1000</f>
        <v>2512</v>
      </c>
      <c r="CJ32" s="553">
        <f>'Prod&amp;Consp'!CM39*$C$31/1000</f>
        <v>2512</v>
      </c>
      <c r="CK32" s="553">
        <f>'Prod&amp;Consp'!CN39*$C$31/1000</f>
        <v>2512</v>
      </c>
      <c r="CL32" s="553">
        <f>'Prod&amp;Consp'!CO39*$C$31/1000</f>
        <v>2512</v>
      </c>
      <c r="CM32" s="560">
        <f t="shared" si="36"/>
        <v>30144</v>
      </c>
      <c r="CN32" s="566"/>
      <c r="CO32" s="553">
        <f>'Prod&amp;Consp'!CR39*$C$31/1000</f>
        <v>2512</v>
      </c>
      <c r="CP32" s="562">
        <f>'Prod&amp;Consp'!CS39*$C$31/1000</f>
        <v>2512</v>
      </c>
      <c r="CQ32" s="553">
        <f>'Prod&amp;Consp'!CT39*$C$31/1000</f>
        <v>2512</v>
      </c>
      <c r="CR32" s="553">
        <f>'Prod&amp;Consp'!CU39*$C$31/1000</f>
        <v>2512</v>
      </c>
      <c r="CS32" s="553">
        <f>'Prod&amp;Consp'!CV39*$C$31/1000</f>
        <v>2512</v>
      </c>
      <c r="CT32" s="553">
        <f>'Prod&amp;Consp'!CW39*$C$31/1000</f>
        <v>2512</v>
      </c>
      <c r="CU32" s="553">
        <f>'Prod&amp;Consp'!CX39*$C$31/1000</f>
        <v>2512</v>
      </c>
      <c r="CV32" s="553">
        <f>'Prod&amp;Consp'!CY39*$C$31/1000</f>
        <v>2512</v>
      </c>
      <c r="CW32" s="553">
        <f>'Prod&amp;Consp'!CZ39*$C$31/1000</f>
        <v>2512</v>
      </c>
      <c r="CX32" s="553">
        <f>'Prod&amp;Consp'!DA39*$C$31/1000</f>
        <v>2512</v>
      </c>
      <c r="CY32" s="553">
        <f>'Prod&amp;Consp'!DB39*$C$31/1000</f>
        <v>2512</v>
      </c>
      <c r="CZ32" s="553">
        <f>'Prod&amp;Consp'!DC39*$C$31/1000</f>
        <v>2512</v>
      </c>
      <c r="DA32" s="560">
        <f t="shared" si="37"/>
        <v>30144</v>
      </c>
      <c r="DB32" s="566"/>
      <c r="DC32" s="553">
        <f>'Prod&amp;Consp'!DF39*$C$31/1000</f>
        <v>2512</v>
      </c>
      <c r="DD32" s="553">
        <f>'Prod&amp;Consp'!DG39*$C$31/1000</f>
        <v>2512</v>
      </c>
      <c r="DE32" s="553">
        <f>'Prod&amp;Consp'!DH39*$C$31/1000</f>
        <v>2512</v>
      </c>
      <c r="DF32" s="553">
        <f>'Prod&amp;Consp'!DI39*$C$31/1000</f>
        <v>2512</v>
      </c>
      <c r="DG32" s="553">
        <f>'Prod&amp;Consp'!DJ39*$C$31/1000</f>
        <v>2512</v>
      </c>
      <c r="DH32" s="553">
        <f>'Prod&amp;Consp'!DK39*$C$31/1000</f>
        <v>2512</v>
      </c>
      <c r="DI32" s="553">
        <f>'Prod&amp;Consp'!DL39*$C$31/1000</f>
        <v>2512</v>
      </c>
      <c r="DJ32" s="562">
        <f>'Prod&amp;Consp'!DM39*$C$31/1000</f>
        <v>2512</v>
      </c>
      <c r="DK32" s="553">
        <f>'Prod&amp;Consp'!DN39*$C$31/1000</f>
        <v>2512</v>
      </c>
      <c r="DL32" s="553">
        <f>'Prod&amp;Consp'!DO39*$C$31/1000</f>
        <v>2512</v>
      </c>
      <c r="DM32" s="553">
        <f>'Prod&amp;Consp'!DP39*$C$31/1000</f>
        <v>2512</v>
      </c>
      <c r="DN32" s="553">
        <f>'Prod&amp;Consp'!DQ39*$C$31/1000</f>
        <v>2512</v>
      </c>
      <c r="DO32" s="560">
        <f t="shared" si="38"/>
        <v>30144</v>
      </c>
      <c r="DP32" s="566"/>
      <c r="DQ32" s="553">
        <f>'Prod&amp;Consp'!DT39*$C$31/1000</f>
        <v>2512</v>
      </c>
      <c r="DR32" s="553">
        <f>'Prod&amp;Consp'!DU39*$C$31/1000</f>
        <v>2512</v>
      </c>
      <c r="DS32" s="553">
        <f>'Prod&amp;Consp'!DV39*$C$31/1000</f>
        <v>2512</v>
      </c>
      <c r="DT32" s="553">
        <f>'Prod&amp;Consp'!DW39*$C$31/1000</f>
        <v>2512</v>
      </c>
      <c r="DU32" s="553">
        <f>'Prod&amp;Consp'!DX39*$C$31/1000</f>
        <v>2512</v>
      </c>
      <c r="DV32" s="553">
        <f>'Prod&amp;Consp'!DY39*$C$31/1000</f>
        <v>2512</v>
      </c>
      <c r="DW32" s="553">
        <f>'Prod&amp;Consp'!DZ39*$C$31/1000</f>
        <v>2512</v>
      </c>
      <c r="DX32" s="553">
        <f>'Prod&amp;Consp'!EA39*$C$31/1000</f>
        <v>2512</v>
      </c>
      <c r="DY32" s="553">
        <f>'Prod&amp;Consp'!EB39*$C$31/1000</f>
        <v>2512</v>
      </c>
      <c r="DZ32" s="553">
        <f>'Prod&amp;Consp'!EC39*$C$31/1000</f>
        <v>2512</v>
      </c>
      <c r="EA32" s="553">
        <f>'Prod&amp;Consp'!ED39*$C$31/1000</f>
        <v>2512</v>
      </c>
      <c r="EB32" s="553">
        <f>'Prod&amp;Consp'!EE39*$C$31/1000</f>
        <v>2512</v>
      </c>
      <c r="EC32" s="560">
        <f t="shared" si="39"/>
        <v>30144</v>
      </c>
      <c r="ED32" s="566"/>
      <c r="EE32" s="553">
        <f>'Prod&amp;Consp'!EH39*$C$31/1000</f>
        <v>2512</v>
      </c>
      <c r="EF32" s="562">
        <f>'Prod&amp;Consp'!EI39*$C$31/1000</f>
        <v>2512</v>
      </c>
      <c r="EG32" s="553">
        <f>'Prod&amp;Consp'!EJ39*$C$31/1000</f>
        <v>2512</v>
      </c>
      <c r="EH32" s="553">
        <f>'Prod&amp;Consp'!EK39*$C$31/1000</f>
        <v>2512</v>
      </c>
      <c r="EI32" s="553">
        <f>'Prod&amp;Consp'!EL39*$C$31/1000</f>
        <v>2512</v>
      </c>
      <c r="EJ32" s="553">
        <f>'Prod&amp;Consp'!EM39*$C$31/1000</f>
        <v>2512</v>
      </c>
      <c r="EK32" s="553">
        <f>'Prod&amp;Consp'!EN39*$C$31/1000</f>
        <v>2512</v>
      </c>
      <c r="EL32" s="553">
        <f>'Prod&amp;Consp'!EO39*$C$31/1000</f>
        <v>2512</v>
      </c>
      <c r="EM32" s="553">
        <f>'Prod&amp;Consp'!EP39*$C$31/1000</f>
        <v>2512</v>
      </c>
      <c r="EN32" s="553">
        <f>'Prod&amp;Consp'!EQ39*$C$31/1000</f>
        <v>2512</v>
      </c>
      <c r="EO32" s="553">
        <f>'Prod&amp;Consp'!ER39*$C$31/1000</f>
        <v>2512</v>
      </c>
      <c r="EP32" s="553">
        <f>'Prod&amp;Consp'!ES39*$C$31/1000</f>
        <v>2512</v>
      </c>
      <c r="EQ32" s="560">
        <f t="shared" si="40"/>
        <v>30144</v>
      </c>
      <c r="ER32" s="566"/>
      <c r="ET32" s="547" t="s">
        <v>1187</v>
      </c>
      <c r="EU32" s="531" t="s">
        <v>1080</v>
      </c>
      <c r="EV32" s="461"/>
      <c r="EW32" s="576">
        <f t="shared" si="11"/>
        <v>25120</v>
      </c>
      <c r="EX32" s="576">
        <f t="shared" si="12"/>
        <v>30144</v>
      </c>
      <c r="EY32" s="576">
        <f t="shared" si="13"/>
        <v>30144</v>
      </c>
      <c r="EZ32" s="576">
        <f t="shared" si="14"/>
        <v>30144</v>
      </c>
      <c r="FA32" s="576">
        <f t="shared" si="15"/>
        <v>30144</v>
      </c>
      <c r="FB32" s="576">
        <f t="shared" si="16"/>
        <v>30144</v>
      </c>
      <c r="FC32" s="576">
        <f t="shared" si="17"/>
        <v>30144</v>
      </c>
      <c r="FD32" s="576">
        <f t="shared" si="18"/>
        <v>30144</v>
      </c>
      <c r="FE32" s="576">
        <f t="shared" si="19"/>
        <v>30144</v>
      </c>
      <c r="FF32" s="576">
        <f t="shared" si="20"/>
        <v>30144</v>
      </c>
    </row>
    <row r="33" spans="1:162" ht="10.5" customHeight="1" x14ac:dyDescent="0.35">
      <c r="A33" s="557" t="s">
        <v>1189</v>
      </c>
      <c r="B33" s="531" t="s">
        <v>33</v>
      </c>
      <c r="C33" s="553">
        <f>Asumsi!F73</f>
        <v>1500</v>
      </c>
      <c r="D33" s="531" t="s">
        <v>16</v>
      </c>
      <c r="F33" s="547" t="s">
        <v>1188</v>
      </c>
      <c r="G33" s="531" t="s">
        <v>507</v>
      </c>
      <c r="H33" s="461"/>
      <c r="I33" s="553">
        <f>'Prod&amp;Consp'!L40*$C$32/1000</f>
        <v>750</v>
      </c>
      <c r="J33" s="553">
        <f>'Prod&amp;Consp'!M40*$C$32/1000</f>
        <v>0</v>
      </c>
      <c r="K33" s="553">
        <f>'Prod&amp;Consp'!N40*$C$32/1000</f>
        <v>0</v>
      </c>
      <c r="L33" s="553">
        <f>'Prod&amp;Consp'!O40*$C$32/1000</f>
        <v>0</v>
      </c>
      <c r="M33" s="553">
        <f>'Prod&amp;Consp'!P40*$C$32/1000</f>
        <v>0</v>
      </c>
      <c r="N33" s="553">
        <f>'Prod&amp;Consp'!Q40*$C$32/1000</f>
        <v>0</v>
      </c>
      <c r="O33" s="553">
        <f>'Prod&amp;Consp'!R40*$C$32/1000</f>
        <v>0</v>
      </c>
      <c r="P33" s="553">
        <f>'Prod&amp;Consp'!S40*$C$32/1000</f>
        <v>0</v>
      </c>
      <c r="Q33" s="553">
        <f>'Prod&amp;Consp'!T40*$C$32/1000</f>
        <v>0</v>
      </c>
      <c r="R33" s="553">
        <f>'Prod&amp;Consp'!U40*$C$32/1000</f>
        <v>0</v>
      </c>
      <c r="S33" s="553">
        <f>'Prod&amp;Consp'!V40*$C$32/1000</f>
        <v>0</v>
      </c>
      <c r="T33" s="553">
        <f>'Prod&amp;Consp'!W40*$C$32/1000</f>
        <v>0</v>
      </c>
      <c r="U33" s="560">
        <f t="shared" si="1"/>
        <v>750</v>
      </c>
      <c r="V33" s="565"/>
      <c r="W33" s="553">
        <f>'Prod&amp;Consp'!Z40*$C$32/1000</f>
        <v>750</v>
      </c>
      <c r="X33" s="553">
        <f>'Prod&amp;Consp'!AA40*$C$32/1000</f>
        <v>0</v>
      </c>
      <c r="Y33" s="553">
        <f>'Prod&amp;Consp'!AB40*$C$32/1000</f>
        <v>0</v>
      </c>
      <c r="Z33" s="553">
        <f>'Prod&amp;Consp'!AC40*$C$32/1000</f>
        <v>0</v>
      </c>
      <c r="AA33" s="553">
        <f>'Prod&amp;Consp'!AD40*$C$32/1000</f>
        <v>0</v>
      </c>
      <c r="AB33" s="553">
        <f>'Prod&amp;Consp'!AE40*$C$32/1000</f>
        <v>0</v>
      </c>
      <c r="AC33" s="553">
        <f>'Prod&amp;Consp'!AF40*$C$32/1000</f>
        <v>0</v>
      </c>
      <c r="AD33" s="562">
        <f>'Prod&amp;Consp'!AG40*$C$32/1000</f>
        <v>0</v>
      </c>
      <c r="AE33" s="553">
        <f>'Prod&amp;Consp'!AH40*$C$32/1000</f>
        <v>0</v>
      </c>
      <c r="AF33" s="553">
        <f>'Prod&amp;Consp'!AI40*$C$32/1000</f>
        <v>0</v>
      </c>
      <c r="AG33" s="553">
        <f>'Prod&amp;Consp'!AJ40*$C$32/1000</f>
        <v>0</v>
      </c>
      <c r="AH33" s="553">
        <f>'Prod&amp;Consp'!AK40*$C$32/1000</f>
        <v>0</v>
      </c>
      <c r="AI33" s="560">
        <f t="shared" si="32"/>
        <v>750</v>
      </c>
      <c r="AJ33" s="565"/>
      <c r="AK33" s="553">
        <f>'Prod&amp;Consp'!AN40*$C$32/1000</f>
        <v>750</v>
      </c>
      <c r="AL33" s="553">
        <f>'Prod&amp;Consp'!AO40*$C$32/1000</f>
        <v>0</v>
      </c>
      <c r="AM33" s="553">
        <f>'Prod&amp;Consp'!AP40*$C$32/1000</f>
        <v>0</v>
      </c>
      <c r="AN33" s="553">
        <f>'Prod&amp;Consp'!AQ40*$C$32/1000</f>
        <v>0</v>
      </c>
      <c r="AO33" s="553">
        <f>'Prod&amp;Consp'!AR40*$C$32/1000</f>
        <v>0</v>
      </c>
      <c r="AP33" s="553">
        <f>'Prod&amp;Consp'!AS40*$C$32/1000</f>
        <v>0</v>
      </c>
      <c r="AQ33" s="553">
        <f>'Prod&amp;Consp'!AT40*$C$32/1000</f>
        <v>0</v>
      </c>
      <c r="AR33" s="553">
        <f>'Prod&amp;Consp'!AU40*$C$32/1000</f>
        <v>0</v>
      </c>
      <c r="AS33" s="553">
        <f>'Prod&amp;Consp'!AV40*$C$32/1000</f>
        <v>0</v>
      </c>
      <c r="AT33" s="553">
        <f>'Prod&amp;Consp'!AW40*$C$32/1000</f>
        <v>0</v>
      </c>
      <c r="AU33" s="553">
        <f>'Prod&amp;Consp'!AX40*$C$32/1000</f>
        <v>0</v>
      </c>
      <c r="AV33" s="553">
        <f>'Prod&amp;Consp'!AY40*$C$32/1000</f>
        <v>0</v>
      </c>
      <c r="AW33" s="560">
        <f t="shared" si="33"/>
        <v>750</v>
      </c>
      <c r="AX33" s="565"/>
      <c r="AY33" s="553">
        <f>'Prod&amp;Consp'!BB40*$C$32/1000</f>
        <v>750</v>
      </c>
      <c r="AZ33" s="562">
        <f>'Prod&amp;Consp'!BC40*$C$32/1000</f>
        <v>0</v>
      </c>
      <c r="BA33" s="553">
        <f>'Prod&amp;Consp'!BD40*$C$32/1000</f>
        <v>0</v>
      </c>
      <c r="BB33" s="553">
        <f>'Prod&amp;Consp'!BE40*$C$32/1000</f>
        <v>0</v>
      </c>
      <c r="BC33" s="553">
        <f>'Prod&amp;Consp'!BF40*$C$32/1000</f>
        <v>0</v>
      </c>
      <c r="BD33" s="553">
        <f>'Prod&amp;Consp'!BG40*$C$32/1000</f>
        <v>0</v>
      </c>
      <c r="BE33" s="553">
        <f>'Prod&amp;Consp'!BH40*$C$32/1000</f>
        <v>0</v>
      </c>
      <c r="BF33" s="553">
        <f>'Prod&amp;Consp'!BI40*$C$32/1000</f>
        <v>0</v>
      </c>
      <c r="BG33" s="553">
        <f>'Prod&amp;Consp'!BJ40*$C$32/1000</f>
        <v>0</v>
      </c>
      <c r="BH33" s="553">
        <f>'Prod&amp;Consp'!BK40*$C$32/1000</f>
        <v>0</v>
      </c>
      <c r="BI33" s="553">
        <f>'Prod&amp;Consp'!BL40*$C$32/1000</f>
        <v>0</v>
      </c>
      <c r="BJ33" s="553">
        <f>'Prod&amp;Consp'!BM40*$C$32/1000</f>
        <v>0</v>
      </c>
      <c r="BK33" s="560">
        <f t="shared" si="34"/>
        <v>750</v>
      </c>
      <c r="BL33" s="565"/>
      <c r="BM33" s="553">
        <f>'Prod&amp;Consp'!BP40*$C$32/1000</f>
        <v>750</v>
      </c>
      <c r="BN33" s="553">
        <f>'Prod&amp;Consp'!BQ40*$C$32/1000</f>
        <v>0</v>
      </c>
      <c r="BO33" s="553">
        <f>'Prod&amp;Consp'!BR40*$C$32/1000</f>
        <v>0</v>
      </c>
      <c r="BP33" s="553">
        <f>'Prod&amp;Consp'!BS40*$C$32/1000</f>
        <v>0</v>
      </c>
      <c r="BQ33" s="553">
        <f>'Prod&amp;Consp'!BT40*$C$32/1000</f>
        <v>0</v>
      </c>
      <c r="BR33" s="553">
        <f>'Prod&amp;Consp'!BU40*$C$32/1000</f>
        <v>0</v>
      </c>
      <c r="BS33" s="553">
        <f>'Prod&amp;Consp'!BV40*$C$32/1000</f>
        <v>0</v>
      </c>
      <c r="BT33" s="562">
        <f>'Prod&amp;Consp'!BW40*$C$32/1000</f>
        <v>0</v>
      </c>
      <c r="BU33" s="553">
        <f>'Prod&amp;Consp'!BX40*$C$32/1000</f>
        <v>0</v>
      </c>
      <c r="BV33" s="553">
        <f>'Prod&amp;Consp'!BY40*$C$32/1000</f>
        <v>0</v>
      </c>
      <c r="BW33" s="553">
        <f>'Prod&amp;Consp'!BZ40*$C$32/1000</f>
        <v>0</v>
      </c>
      <c r="BX33" s="553">
        <f>'Prod&amp;Consp'!CA40*$C$32/1000</f>
        <v>0</v>
      </c>
      <c r="BY33" s="560">
        <f t="shared" si="35"/>
        <v>750</v>
      </c>
      <c r="BZ33" s="565"/>
      <c r="CA33" s="553">
        <f>'Prod&amp;Consp'!CD40*$C$32/1000</f>
        <v>750</v>
      </c>
      <c r="CB33" s="553">
        <f>'Prod&amp;Consp'!CE40*$C$32/1000</f>
        <v>0</v>
      </c>
      <c r="CC33" s="553">
        <f>'Prod&amp;Consp'!CF40*$C$32/1000</f>
        <v>0</v>
      </c>
      <c r="CD33" s="553">
        <f>'Prod&amp;Consp'!CG40*$C$32/1000</f>
        <v>0</v>
      </c>
      <c r="CE33" s="553">
        <f>'Prod&amp;Consp'!CH40*$C$32/1000</f>
        <v>0</v>
      </c>
      <c r="CF33" s="553">
        <f>'Prod&amp;Consp'!CI40*$C$32/1000</f>
        <v>0</v>
      </c>
      <c r="CG33" s="553">
        <f>'Prod&amp;Consp'!CJ40*$C$32/1000</f>
        <v>0</v>
      </c>
      <c r="CH33" s="553">
        <f>'Prod&amp;Consp'!CK40*$C$32/1000</f>
        <v>0</v>
      </c>
      <c r="CI33" s="553">
        <f>'Prod&amp;Consp'!CL40*$C$32/1000</f>
        <v>0</v>
      </c>
      <c r="CJ33" s="553">
        <f>'Prod&amp;Consp'!CM40*$C$32/1000</f>
        <v>0</v>
      </c>
      <c r="CK33" s="553">
        <f>'Prod&amp;Consp'!CN40*$C$32/1000</f>
        <v>0</v>
      </c>
      <c r="CL33" s="553">
        <f>'Prod&amp;Consp'!CO40*$C$32/1000</f>
        <v>0</v>
      </c>
      <c r="CM33" s="560">
        <f t="shared" si="36"/>
        <v>750</v>
      </c>
      <c r="CN33" s="565"/>
      <c r="CO33" s="553">
        <f>'Prod&amp;Consp'!CR40*$C$32/1000</f>
        <v>750</v>
      </c>
      <c r="CP33" s="562">
        <f>'Prod&amp;Consp'!CS40*$C$32/1000</f>
        <v>0</v>
      </c>
      <c r="CQ33" s="553">
        <f>'Prod&amp;Consp'!CT40*$C$32/1000</f>
        <v>0</v>
      </c>
      <c r="CR33" s="553">
        <f>'Prod&amp;Consp'!CU40*$C$32/1000</f>
        <v>0</v>
      </c>
      <c r="CS33" s="553">
        <f>'Prod&amp;Consp'!CV40*$C$32/1000</f>
        <v>0</v>
      </c>
      <c r="CT33" s="553">
        <f>'Prod&amp;Consp'!CW40*$C$32/1000</f>
        <v>0</v>
      </c>
      <c r="CU33" s="553">
        <f>'Prod&amp;Consp'!CX40*$C$32/1000</f>
        <v>0</v>
      </c>
      <c r="CV33" s="553">
        <f>'Prod&amp;Consp'!CY40*$C$32/1000</f>
        <v>0</v>
      </c>
      <c r="CW33" s="553">
        <f>'Prod&amp;Consp'!CZ40*$C$32/1000</f>
        <v>0</v>
      </c>
      <c r="CX33" s="553">
        <f>'Prod&amp;Consp'!DA40*$C$32/1000</f>
        <v>0</v>
      </c>
      <c r="CY33" s="553">
        <f>'Prod&amp;Consp'!DB40*$C$32/1000</f>
        <v>0</v>
      </c>
      <c r="CZ33" s="553">
        <f>'Prod&amp;Consp'!DC40*$C$32/1000</f>
        <v>0</v>
      </c>
      <c r="DA33" s="560">
        <f t="shared" si="37"/>
        <v>750</v>
      </c>
      <c r="DB33" s="565"/>
      <c r="DC33" s="553">
        <f>'Prod&amp;Consp'!DF40*$C$32/1000</f>
        <v>750</v>
      </c>
      <c r="DD33" s="553">
        <f>'Prod&amp;Consp'!DG40*$C$32/1000</f>
        <v>0</v>
      </c>
      <c r="DE33" s="553">
        <f>'Prod&amp;Consp'!DH40*$C$32/1000</f>
        <v>0</v>
      </c>
      <c r="DF33" s="553">
        <f>'Prod&amp;Consp'!DI40*$C$32/1000</f>
        <v>0</v>
      </c>
      <c r="DG33" s="553">
        <f>'Prod&amp;Consp'!DJ40*$C$32/1000</f>
        <v>0</v>
      </c>
      <c r="DH33" s="553">
        <f>'Prod&amp;Consp'!DK40*$C$32/1000</f>
        <v>0</v>
      </c>
      <c r="DI33" s="553">
        <f>'Prod&amp;Consp'!DL40*$C$32/1000</f>
        <v>0</v>
      </c>
      <c r="DJ33" s="562">
        <f>'Prod&amp;Consp'!DM40*$C$32/1000</f>
        <v>0</v>
      </c>
      <c r="DK33" s="553">
        <f>'Prod&amp;Consp'!DN40*$C$32/1000</f>
        <v>0</v>
      </c>
      <c r="DL33" s="553">
        <f>'Prod&amp;Consp'!DO40*$C$32/1000</f>
        <v>0</v>
      </c>
      <c r="DM33" s="553">
        <f>'Prod&amp;Consp'!DP40*$C$32/1000</f>
        <v>0</v>
      </c>
      <c r="DN33" s="553">
        <f>'Prod&amp;Consp'!DQ40*$C$32/1000</f>
        <v>0</v>
      </c>
      <c r="DO33" s="560">
        <f t="shared" si="38"/>
        <v>750</v>
      </c>
      <c r="DP33" s="565"/>
      <c r="DQ33" s="553">
        <f>'Prod&amp;Consp'!DT40*$C$32/1000</f>
        <v>750</v>
      </c>
      <c r="DR33" s="553">
        <f>'Prod&amp;Consp'!DU40*$C$32/1000</f>
        <v>0</v>
      </c>
      <c r="DS33" s="553">
        <f>'Prod&amp;Consp'!DV40*$C$32/1000</f>
        <v>0</v>
      </c>
      <c r="DT33" s="553">
        <f>'Prod&amp;Consp'!DW40*$C$32/1000</f>
        <v>0</v>
      </c>
      <c r="DU33" s="553">
        <f>'Prod&amp;Consp'!DX40*$C$32/1000</f>
        <v>0</v>
      </c>
      <c r="DV33" s="553">
        <f>'Prod&amp;Consp'!DY40*$C$32/1000</f>
        <v>0</v>
      </c>
      <c r="DW33" s="553">
        <f>'Prod&amp;Consp'!DZ40*$C$32/1000</f>
        <v>0</v>
      </c>
      <c r="DX33" s="553">
        <f>'Prod&amp;Consp'!EA40*$C$32/1000</f>
        <v>0</v>
      </c>
      <c r="DY33" s="553">
        <f>'Prod&amp;Consp'!EB40*$C$32/1000</f>
        <v>0</v>
      </c>
      <c r="DZ33" s="553">
        <f>'Prod&amp;Consp'!EC40*$C$32/1000</f>
        <v>0</v>
      </c>
      <c r="EA33" s="553">
        <f>'Prod&amp;Consp'!ED40*$C$32/1000</f>
        <v>0</v>
      </c>
      <c r="EB33" s="553">
        <f>'Prod&amp;Consp'!EE40*$C$32/1000</f>
        <v>0</v>
      </c>
      <c r="EC33" s="560">
        <f t="shared" si="39"/>
        <v>750</v>
      </c>
      <c r="ED33" s="565"/>
      <c r="EE33" s="553">
        <f>'Prod&amp;Consp'!EH40*$C$32/1000</f>
        <v>750</v>
      </c>
      <c r="EF33" s="562">
        <f>'Prod&amp;Consp'!EI40*$C$32/1000</f>
        <v>0</v>
      </c>
      <c r="EG33" s="553">
        <f>'Prod&amp;Consp'!EJ40*$C$32/1000</f>
        <v>0</v>
      </c>
      <c r="EH33" s="553">
        <f>'Prod&amp;Consp'!EK40*$C$32/1000</f>
        <v>0</v>
      </c>
      <c r="EI33" s="553">
        <f>'Prod&amp;Consp'!EL40*$C$32/1000</f>
        <v>0</v>
      </c>
      <c r="EJ33" s="553">
        <f>'Prod&amp;Consp'!EM40*$C$32/1000</f>
        <v>0</v>
      </c>
      <c r="EK33" s="553">
        <f>'Prod&amp;Consp'!EN40*$C$32/1000</f>
        <v>0</v>
      </c>
      <c r="EL33" s="553">
        <f>'Prod&amp;Consp'!EO40*$C$32/1000</f>
        <v>0</v>
      </c>
      <c r="EM33" s="553">
        <f>'Prod&amp;Consp'!EP40*$C$32/1000</f>
        <v>0</v>
      </c>
      <c r="EN33" s="553">
        <f>'Prod&amp;Consp'!EQ40*$C$32/1000</f>
        <v>0</v>
      </c>
      <c r="EO33" s="553">
        <f>'Prod&amp;Consp'!ER40*$C$32/1000</f>
        <v>0</v>
      </c>
      <c r="EP33" s="553">
        <f>'Prod&amp;Consp'!ES40*$C$32/1000</f>
        <v>0</v>
      </c>
      <c r="EQ33" s="560">
        <f t="shared" si="40"/>
        <v>750</v>
      </c>
      <c r="ER33" s="565"/>
      <c r="ET33" s="547" t="s">
        <v>1188</v>
      </c>
      <c r="EU33" s="531" t="s">
        <v>507</v>
      </c>
      <c r="EV33" s="461"/>
      <c r="EW33" s="576">
        <f t="shared" si="11"/>
        <v>750</v>
      </c>
      <c r="EX33" s="576">
        <f t="shared" si="12"/>
        <v>750</v>
      </c>
      <c r="EY33" s="576">
        <f t="shared" si="13"/>
        <v>750</v>
      </c>
      <c r="EZ33" s="576">
        <f t="shared" si="14"/>
        <v>750</v>
      </c>
      <c r="FA33" s="576">
        <f t="shared" si="15"/>
        <v>750</v>
      </c>
      <c r="FB33" s="576">
        <f t="shared" si="16"/>
        <v>750</v>
      </c>
      <c r="FC33" s="576">
        <f t="shared" si="17"/>
        <v>750</v>
      </c>
      <c r="FD33" s="576">
        <f t="shared" si="18"/>
        <v>750</v>
      </c>
      <c r="FE33" s="576">
        <f t="shared" si="19"/>
        <v>750</v>
      </c>
      <c r="FF33" s="576">
        <f t="shared" si="20"/>
        <v>750</v>
      </c>
    </row>
    <row r="34" spans="1:162" ht="10.5" customHeight="1" x14ac:dyDescent="0.35">
      <c r="A34" s="531"/>
      <c r="B34" s="531"/>
      <c r="F34" s="557" t="s">
        <v>1190</v>
      </c>
      <c r="G34" s="531" t="s">
        <v>33</v>
      </c>
      <c r="H34" s="461"/>
      <c r="I34" s="620">
        <f>'Prod&amp;Consp'!L41*$C$33/1000</f>
        <v>1620</v>
      </c>
      <c r="J34" s="620">
        <f>'Prod&amp;Consp'!M41*$C$33/1000</f>
        <v>1620</v>
      </c>
      <c r="K34" s="620">
        <f>'Prod&amp;Consp'!N41*$C$33/1000</f>
        <v>1620</v>
      </c>
      <c r="L34" s="620">
        <f>'Prod&amp;Consp'!O41*$C$33/1000</f>
        <v>1620</v>
      </c>
      <c r="M34" s="620">
        <f>'Prod&amp;Consp'!P41*$C$33/1000</f>
        <v>1620</v>
      </c>
      <c r="N34" s="620">
        <f>'Prod&amp;Consp'!Q41*$C$33/1000</f>
        <v>1620</v>
      </c>
      <c r="O34" s="620">
        <f>'Prod&amp;Consp'!R41*$C$33/1000</f>
        <v>1620</v>
      </c>
      <c r="P34" s="620">
        <f>'Prod&amp;Consp'!S41*$C$33/1000</f>
        <v>1620</v>
      </c>
      <c r="Q34" s="620">
        <f>'Prod&amp;Consp'!T41*$C$33/1000</f>
        <v>1620</v>
      </c>
      <c r="R34" s="620">
        <f>'Prod&amp;Consp'!U41*$C$33/1000</f>
        <v>1620</v>
      </c>
      <c r="S34" s="620">
        <f>'Prod&amp;Consp'!V41*$C$33/1000</f>
        <v>1620</v>
      </c>
      <c r="T34" s="620">
        <f>'Prod&amp;Consp'!W41*$C$33/1000</f>
        <v>1620</v>
      </c>
      <c r="U34" s="622">
        <f t="shared" si="1"/>
        <v>19440</v>
      </c>
      <c r="V34" s="565"/>
      <c r="W34" s="620">
        <f>'Prod&amp;Consp'!Z41*$C$33/1000</f>
        <v>1620</v>
      </c>
      <c r="X34" s="620">
        <f>'Prod&amp;Consp'!AA41*$C$33/1000</f>
        <v>1620</v>
      </c>
      <c r="Y34" s="620">
        <f>'Prod&amp;Consp'!AB41*$C$33/1000</f>
        <v>1620</v>
      </c>
      <c r="Z34" s="620">
        <f>'Prod&amp;Consp'!AC41*$C$33/1000</f>
        <v>1620</v>
      </c>
      <c r="AA34" s="620">
        <f>'Prod&amp;Consp'!AD41*$C$33/1000</f>
        <v>1620</v>
      </c>
      <c r="AB34" s="620">
        <f>'Prod&amp;Consp'!AE41*$C$33/1000</f>
        <v>1620</v>
      </c>
      <c r="AC34" s="620">
        <f>'Prod&amp;Consp'!AF41*$C$33/1000</f>
        <v>1620</v>
      </c>
      <c r="AD34" s="621">
        <f>'Prod&amp;Consp'!AG41*$C$33/1000</f>
        <v>1620</v>
      </c>
      <c r="AE34" s="620">
        <f>'Prod&amp;Consp'!AH41*$C$33/1000</f>
        <v>1620</v>
      </c>
      <c r="AF34" s="620">
        <f>'Prod&amp;Consp'!AI41*$C$33/1000</f>
        <v>1620</v>
      </c>
      <c r="AG34" s="620">
        <f>'Prod&amp;Consp'!AJ41*$C$33/1000</f>
        <v>1620</v>
      </c>
      <c r="AH34" s="620">
        <f>'Prod&amp;Consp'!AK41*$C$33/1000</f>
        <v>1620</v>
      </c>
      <c r="AI34" s="622">
        <f t="shared" si="32"/>
        <v>19440</v>
      </c>
      <c r="AJ34" s="565"/>
      <c r="AK34" s="620">
        <f>'Prod&amp;Consp'!AN41*$C$33/1000</f>
        <v>1620</v>
      </c>
      <c r="AL34" s="620">
        <f>'Prod&amp;Consp'!AO41*$C$33/1000</f>
        <v>1620</v>
      </c>
      <c r="AM34" s="620">
        <f>'Prod&amp;Consp'!AP41*$C$33/1000</f>
        <v>1620</v>
      </c>
      <c r="AN34" s="620">
        <f>'Prod&amp;Consp'!AQ41*$C$33/1000</f>
        <v>1620</v>
      </c>
      <c r="AO34" s="620">
        <f>'Prod&amp;Consp'!AR41*$C$33/1000</f>
        <v>1620</v>
      </c>
      <c r="AP34" s="620">
        <f>'Prod&amp;Consp'!AS41*$C$33/1000</f>
        <v>1620</v>
      </c>
      <c r="AQ34" s="620">
        <f>'Prod&amp;Consp'!AT41*$C$33/1000</f>
        <v>1620</v>
      </c>
      <c r="AR34" s="620">
        <f>'Prod&amp;Consp'!AU41*$C$33/1000</f>
        <v>1620</v>
      </c>
      <c r="AS34" s="620">
        <f>'Prod&amp;Consp'!AV41*$C$33/1000</f>
        <v>1620</v>
      </c>
      <c r="AT34" s="620">
        <f>'Prod&amp;Consp'!AW41*$C$33/1000</f>
        <v>1620</v>
      </c>
      <c r="AU34" s="620">
        <f>'Prod&amp;Consp'!AX41*$C$33/1000</f>
        <v>1620</v>
      </c>
      <c r="AV34" s="620">
        <f>'Prod&amp;Consp'!AY41*$C$33/1000</f>
        <v>1620</v>
      </c>
      <c r="AW34" s="622">
        <f t="shared" si="33"/>
        <v>19440</v>
      </c>
      <c r="AX34" s="565"/>
      <c r="AY34" s="620">
        <f>'Prod&amp;Consp'!BB41*$C$33/1000</f>
        <v>1620</v>
      </c>
      <c r="AZ34" s="621">
        <f>'Prod&amp;Consp'!BC41*$C$33/1000</f>
        <v>1620</v>
      </c>
      <c r="BA34" s="620">
        <f>'Prod&amp;Consp'!BD41*$C$33/1000</f>
        <v>1620</v>
      </c>
      <c r="BB34" s="620">
        <f>'Prod&amp;Consp'!BE41*$C$33/1000</f>
        <v>1620</v>
      </c>
      <c r="BC34" s="620">
        <f>'Prod&amp;Consp'!BF41*$C$33/1000</f>
        <v>1620</v>
      </c>
      <c r="BD34" s="620">
        <f>'Prod&amp;Consp'!BG41*$C$33/1000</f>
        <v>1620</v>
      </c>
      <c r="BE34" s="620">
        <f>'Prod&amp;Consp'!BH41*$C$33/1000</f>
        <v>1620</v>
      </c>
      <c r="BF34" s="620">
        <f>'Prod&amp;Consp'!BI41*$C$33/1000</f>
        <v>1620</v>
      </c>
      <c r="BG34" s="620">
        <f>'Prod&amp;Consp'!BJ41*$C$33/1000</f>
        <v>1620</v>
      </c>
      <c r="BH34" s="620">
        <f>'Prod&amp;Consp'!BK41*$C$33/1000</f>
        <v>1620</v>
      </c>
      <c r="BI34" s="620">
        <f>'Prod&amp;Consp'!BL41*$C$33/1000</f>
        <v>1620</v>
      </c>
      <c r="BJ34" s="620">
        <f>'Prod&amp;Consp'!BM41*$C$33/1000</f>
        <v>1620</v>
      </c>
      <c r="BK34" s="622">
        <f t="shared" si="34"/>
        <v>19440</v>
      </c>
      <c r="BL34" s="565"/>
      <c r="BM34" s="620">
        <f>'Prod&amp;Consp'!BP41*$C$33/1000</f>
        <v>1620</v>
      </c>
      <c r="BN34" s="620">
        <f>'Prod&amp;Consp'!BQ41*$C$33/1000</f>
        <v>1620</v>
      </c>
      <c r="BO34" s="620">
        <f>'Prod&amp;Consp'!BR41*$C$33/1000</f>
        <v>1620</v>
      </c>
      <c r="BP34" s="620">
        <f>'Prod&amp;Consp'!BS41*$C$33/1000</f>
        <v>1620</v>
      </c>
      <c r="BQ34" s="620">
        <f>'Prod&amp;Consp'!BT41*$C$33/1000</f>
        <v>1620</v>
      </c>
      <c r="BR34" s="620">
        <f>'Prod&amp;Consp'!BU41*$C$33/1000</f>
        <v>1620</v>
      </c>
      <c r="BS34" s="620">
        <f>'Prod&amp;Consp'!BV41*$C$33/1000</f>
        <v>1620</v>
      </c>
      <c r="BT34" s="621">
        <f>'Prod&amp;Consp'!BW41*$C$33/1000</f>
        <v>1620</v>
      </c>
      <c r="BU34" s="620">
        <f>'Prod&amp;Consp'!BX41*$C$33/1000</f>
        <v>1620</v>
      </c>
      <c r="BV34" s="620">
        <f>'Prod&amp;Consp'!BY41*$C$33/1000</f>
        <v>1620</v>
      </c>
      <c r="BW34" s="620">
        <f>'Prod&amp;Consp'!BZ41*$C$33/1000</f>
        <v>1620</v>
      </c>
      <c r="BX34" s="620">
        <f>'Prod&amp;Consp'!CA41*$C$33/1000</f>
        <v>1620</v>
      </c>
      <c r="BY34" s="622">
        <f t="shared" si="35"/>
        <v>19440</v>
      </c>
      <c r="BZ34" s="565"/>
      <c r="CA34" s="620">
        <f>'Prod&amp;Consp'!CD41*$C$33/1000</f>
        <v>1620</v>
      </c>
      <c r="CB34" s="620">
        <f>'Prod&amp;Consp'!CE41*$C$33/1000</f>
        <v>1620</v>
      </c>
      <c r="CC34" s="620">
        <f>'Prod&amp;Consp'!CF41*$C$33/1000</f>
        <v>1620</v>
      </c>
      <c r="CD34" s="620">
        <f>'Prod&amp;Consp'!CG41*$C$33/1000</f>
        <v>1620</v>
      </c>
      <c r="CE34" s="620">
        <f>'Prod&amp;Consp'!CH41*$C$33/1000</f>
        <v>1620</v>
      </c>
      <c r="CF34" s="620">
        <f>'Prod&amp;Consp'!CI41*$C$33/1000</f>
        <v>1620</v>
      </c>
      <c r="CG34" s="620">
        <f>'Prod&amp;Consp'!CJ41*$C$33/1000</f>
        <v>1620</v>
      </c>
      <c r="CH34" s="620">
        <f>'Prod&amp;Consp'!CK41*$C$33/1000</f>
        <v>1620</v>
      </c>
      <c r="CI34" s="620">
        <f>'Prod&amp;Consp'!CL41*$C$33/1000</f>
        <v>1620</v>
      </c>
      <c r="CJ34" s="620">
        <f>'Prod&amp;Consp'!CM41*$C$33/1000</f>
        <v>1620</v>
      </c>
      <c r="CK34" s="620">
        <f>'Prod&amp;Consp'!CN41*$C$33/1000</f>
        <v>1620</v>
      </c>
      <c r="CL34" s="620">
        <f>'Prod&amp;Consp'!CO41*$C$33/1000</f>
        <v>1620</v>
      </c>
      <c r="CM34" s="622">
        <f t="shared" si="36"/>
        <v>19440</v>
      </c>
      <c r="CN34" s="565"/>
      <c r="CO34" s="620">
        <f>'Prod&amp;Consp'!CR41*$C$33/1000</f>
        <v>1620</v>
      </c>
      <c r="CP34" s="621">
        <f>'Prod&amp;Consp'!CS41*$C$33/1000</f>
        <v>1620</v>
      </c>
      <c r="CQ34" s="620">
        <f>'Prod&amp;Consp'!CT41*$C$33/1000</f>
        <v>1620</v>
      </c>
      <c r="CR34" s="620">
        <f>'Prod&amp;Consp'!CU41*$C$33/1000</f>
        <v>1620</v>
      </c>
      <c r="CS34" s="620">
        <f>'Prod&amp;Consp'!CV41*$C$33/1000</f>
        <v>1620</v>
      </c>
      <c r="CT34" s="620">
        <f>'Prod&amp;Consp'!CW41*$C$33/1000</f>
        <v>1620</v>
      </c>
      <c r="CU34" s="620">
        <f>'Prod&amp;Consp'!CX41*$C$33/1000</f>
        <v>1620</v>
      </c>
      <c r="CV34" s="620">
        <f>'Prod&amp;Consp'!CY41*$C$33/1000</f>
        <v>1620</v>
      </c>
      <c r="CW34" s="620">
        <f>'Prod&amp;Consp'!CZ41*$C$33/1000</f>
        <v>1620</v>
      </c>
      <c r="CX34" s="620">
        <f>'Prod&amp;Consp'!DA41*$C$33/1000</f>
        <v>1620</v>
      </c>
      <c r="CY34" s="620">
        <f>'Prod&amp;Consp'!DB41*$C$33/1000</f>
        <v>1620</v>
      </c>
      <c r="CZ34" s="620">
        <f>'Prod&amp;Consp'!DC41*$C$33/1000</f>
        <v>1620</v>
      </c>
      <c r="DA34" s="622">
        <f t="shared" si="37"/>
        <v>19440</v>
      </c>
      <c r="DB34" s="565"/>
      <c r="DC34" s="620">
        <f>'Prod&amp;Consp'!DF41*$C$33/1000</f>
        <v>1620</v>
      </c>
      <c r="DD34" s="620">
        <f>'Prod&amp;Consp'!DG41*$C$33/1000</f>
        <v>1620</v>
      </c>
      <c r="DE34" s="620">
        <f>'Prod&amp;Consp'!DH41*$C$33/1000</f>
        <v>1620</v>
      </c>
      <c r="DF34" s="620">
        <f>'Prod&amp;Consp'!DI41*$C$33/1000</f>
        <v>1620</v>
      </c>
      <c r="DG34" s="620">
        <f>'Prod&amp;Consp'!DJ41*$C$33/1000</f>
        <v>1620</v>
      </c>
      <c r="DH34" s="620">
        <f>'Prod&amp;Consp'!DK41*$C$33/1000</f>
        <v>1620</v>
      </c>
      <c r="DI34" s="620">
        <f>'Prod&amp;Consp'!DL41*$C$33/1000</f>
        <v>1620</v>
      </c>
      <c r="DJ34" s="621">
        <f>'Prod&amp;Consp'!DM41*$C$33/1000</f>
        <v>1620</v>
      </c>
      <c r="DK34" s="620">
        <f>'Prod&amp;Consp'!DN41*$C$33/1000</f>
        <v>1620</v>
      </c>
      <c r="DL34" s="620">
        <f>'Prod&amp;Consp'!DO41*$C$33/1000</f>
        <v>1620</v>
      </c>
      <c r="DM34" s="620">
        <f>'Prod&amp;Consp'!DP41*$C$33/1000</f>
        <v>1620</v>
      </c>
      <c r="DN34" s="620">
        <f>'Prod&amp;Consp'!DQ41*$C$33/1000</f>
        <v>1620</v>
      </c>
      <c r="DO34" s="622">
        <f t="shared" si="38"/>
        <v>19440</v>
      </c>
      <c r="DP34" s="565"/>
      <c r="DQ34" s="620">
        <f>'Prod&amp;Consp'!DT41*$C$33/1000</f>
        <v>1620</v>
      </c>
      <c r="DR34" s="620">
        <f>'Prod&amp;Consp'!DU41*$C$33/1000</f>
        <v>1620</v>
      </c>
      <c r="DS34" s="620">
        <f>'Prod&amp;Consp'!DV41*$C$33/1000</f>
        <v>1620</v>
      </c>
      <c r="DT34" s="620">
        <f>'Prod&amp;Consp'!DW41*$C$33/1000</f>
        <v>1620</v>
      </c>
      <c r="DU34" s="620">
        <f>'Prod&amp;Consp'!DX41*$C$33/1000</f>
        <v>1620</v>
      </c>
      <c r="DV34" s="620">
        <f>'Prod&amp;Consp'!DY41*$C$33/1000</f>
        <v>1620</v>
      </c>
      <c r="DW34" s="620">
        <f>'Prod&amp;Consp'!DZ41*$C$33/1000</f>
        <v>1620</v>
      </c>
      <c r="DX34" s="620">
        <f>'Prod&amp;Consp'!EA41*$C$33/1000</f>
        <v>1620</v>
      </c>
      <c r="DY34" s="620">
        <f>'Prod&amp;Consp'!EB41*$C$33/1000</f>
        <v>1620</v>
      </c>
      <c r="DZ34" s="620">
        <f>'Prod&amp;Consp'!EC41*$C$33/1000</f>
        <v>1620</v>
      </c>
      <c r="EA34" s="620">
        <f>'Prod&amp;Consp'!ED41*$C$33/1000</f>
        <v>1620</v>
      </c>
      <c r="EB34" s="620">
        <f>'Prod&amp;Consp'!EE41*$C$33/1000</f>
        <v>1620</v>
      </c>
      <c r="EC34" s="622">
        <f t="shared" si="39"/>
        <v>19440</v>
      </c>
      <c r="ED34" s="565"/>
      <c r="EE34" s="620">
        <f>'Prod&amp;Consp'!EH41*$C$33/1000</f>
        <v>1620</v>
      </c>
      <c r="EF34" s="621">
        <f>'Prod&amp;Consp'!EI41*$C$33/1000</f>
        <v>1620</v>
      </c>
      <c r="EG34" s="620">
        <f>'Prod&amp;Consp'!EJ41*$C$33/1000</f>
        <v>1620</v>
      </c>
      <c r="EH34" s="620">
        <f>'Prod&amp;Consp'!EK41*$C$33/1000</f>
        <v>1620</v>
      </c>
      <c r="EI34" s="620">
        <f>'Prod&amp;Consp'!EL41*$C$33/1000</f>
        <v>1620</v>
      </c>
      <c r="EJ34" s="620">
        <f>'Prod&amp;Consp'!EM41*$C$33/1000</f>
        <v>1620</v>
      </c>
      <c r="EK34" s="620">
        <f>'Prod&amp;Consp'!EN41*$C$33/1000</f>
        <v>1620</v>
      </c>
      <c r="EL34" s="620">
        <f>'Prod&amp;Consp'!EO41*$C$33/1000</f>
        <v>1620</v>
      </c>
      <c r="EM34" s="620">
        <f>'Prod&amp;Consp'!EP41*$C$33/1000</f>
        <v>1620</v>
      </c>
      <c r="EN34" s="620">
        <f>'Prod&amp;Consp'!EQ41*$C$33/1000</f>
        <v>1620</v>
      </c>
      <c r="EO34" s="620">
        <f>'Prod&amp;Consp'!ER41*$C$33/1000</f>
        <v>1620</v>
      </c>
      <c r="EP34" s="620">
        <f>'Prod&amp;Consp'!ES41*$C$33/1000</f>
        <v>1620</v>
      </c>
      <c r="EQ34" s="622">
        <f t="shared" si="40"/>
        <v>19440</v>
      </c>
      <c r="ER34" s="565"/>
      <c r="ET34" s="557" t="s">
        <v>1190</v>
      </c>
      <c r="EU34" s="531" t="s">
        <v>33</v>
      </c>
      <c r="EV34" s="461"/>
      <c r="EW34" s="619">
        <f t="shared" si="11"/>
        <v>19440</v>
      </c>
      <c r="EX34" s="619">
        <f t="shared" si="12"/>
        <v>19440</v>
      </c>
      <c r="EY34" s="619">
        <f t="shared" si="13"/>
        <v>19440</v>
      </c>
      <c r="EZ34" s="619">
        <f t="shared" si="14"/>
        <v>19440</v>
      </c>
      <c r="FA34" s="619">
        <f t="shared" si="15"/>
        <v>19440</v>
      </c>
      <c r="FB34" s="619">
        <f t="shared" si="16"/>
        <v>19440</v>
      </c>
      <c r="FC34" s="619">
        <f t="shared" si="17"/>
        <v>19440</v>
      </c>
      <c r="FD34" s="619">
        <f t="shared" si="18"/>
        <v>19440</v>
      </c>
      <c r="FE34" s="619">
        <f t="shared" si="19"/>
        <v>19440</v>
      </c>
      <c r="FF34" s="619">
        <f t="shared" si="20"/>
        <v>19440</v>
      </c>
    </row>
    <row r="35" spans="1:162" ht="10.5" customHeight="1" x14ac:dyDescent="0.35">
      <c r="I35" s="576">
        <f>SUM(I12:I34)</f>
        <v>268395.07499999995</v>
      </c>
      <c r="J35" s="576">
        <f t="shared" ref="J35:U35" si="41">SUM(J12:J34)</f>
        <v>55425.074999999997</v>
      </c>
      <c r="K35" s="576">
        <f t="shared" si="41"/>
        <v>67576.398625000002</v>
      </c>
      <c r="L35" s="576">
        <f t="shared" si="41"/>
        <v>66451.398625000002</v>
      </c>
      <c r="M35" s="576">
        <f t="shared" si="41"/>
        <v>66451.398625000002</v>
      </c>
      <c r="N35" s="576">
        <f t="shared" si="41"/>
        <v>66451.398625000002</v>
      </c>
      <c r="O35" s="576">
        <f t="shared" si="41"/>
        <v>66451.398625000002</v>
      </c>
      <c r="P35" s="576">
        <f t="shared" si="41"/>
        <v>71086.398625000002</v>
      </c>
      <c r="Q35" s="576">
        <f t="shared" si="41"/>
        <v>66451.398625000002</v>
      </c>
      <c r="R35" s="576">
        <f t="shared" si="41"/>
        <v>66451.398625000002</v>
      </c>
      <c r="S35" s="576">
        <f t="shared" si="41"/>
        <v>66451.398625000002</v>
      </c>
      <c r="T35" s="576">
        <f t="shared" si="41"/>
        <v>66451.398625000002</v>
      </c>
      <c r="U35" s="576">
        <f t="shared" si="41"/>
        <v>994094.1362500001</v>
      </c>
      <c r="V35" s="565"/>
      <c r="W35" s="576">
        <f t="shared" ref="W35:AI35" si="42">SUM(W12:W34)</f>
        <v>67201.398625000002</v>
      </c>
      <c r="X35" s="576">
        <f t="shared" si="42"/>
        <v>66451.398625000002</v>
      </c>
      <c r="Y35" s="576">
        <f t="shared" si="42"/>
        <v>66451.398625000002</v>
      </c>
      <c r="Z35" s="576">
        <f t="shared" si="42"/>
        <v>66451.398625000002</v>
      </c>
      <c r="AA35" s="576">
        <f t="shared" si="42"/>
        <v>66451.398625000002</v>
      </c>
      <c r="AB35" s="576">
        <f t="shared" si="42"/>
        <v>66451.398625000002</v>
      </c>
      <c r="AC35" s="576">
        <f t="shared" si="42"/>
        <v>332476.47362500004</v>
      </c>
      <c r="AD35" s="576">
        <f t="shared" si="42"/>
        <v>120256.47362500001</v>
      </c>
      <c r="AE35" s="576">
        <f t="shared" si="42"/>
        <v>67576.398625000002</v>
      </c>
      <c r="AF35" s="576">
        <f t="shared" si="42"/>
        <v>66451.398625000002</v>
      </c>
      <c r="AG35" s="576">
        <f t="shared" si="42"/>
        <v>66451.398625000002</v>
      </c>
      <c r="AH35" s="576">
        <f t="shared" si="42"/>
        <v>66451.398625000002</v>
      </c>
      <c r="AI35" s="576">
        <f t="shared" si="42"/>
        <v>1119121.9335</v>
      </c>
      <c r="AJ35" s="565"/>
      <c r="AK35" s="576">
        <f>SUM(AK12:AK34)</f>
        <v>67201.398625000002</v>
      </c>
      <c r="AL35" s="576">
        <f t="shared" ref="AL35:AW35" si="43">SUM(AL12:AL34)</f>
        <v>71086.398625000002</v>
      </c>
      <c r="AM35" s="576">
        <f t="shared" si="43"/>
        <v>66451.398625000002</v>
      </c>
      <c r="AN35" s="576">
        <f t="shared" si="43"/>
        <v>66451.398625000002</v>
      </c>
      <c r="AO35" s="576">
        <f t="shared" si="43"/>
        <v>66451.398625000002</v>
      </c>
      <c r="AP35" s="576">
        <f t="shared" si="43"/>
        <v>66451.398625000002</v>
      </c>
      <c r="AQ35" s="576">
        <f t="shared" si="43"/>
        <v>66451.398625000002</v>
      </c>
      <c r="AR35" s="576">
        <f t="shared" si="43"/>
        <v>66451.398625000002</v>
      </c>
      <c r="AS35" s="576">
        <f t="shared" si="43"/>
        <v>66451.398625000002</v>
      </c>
      <c r="AT35" s="576">
        <f t="shared" si="43"/>
        <v>66451.398625000002</v>
      </c>
      <c r="AU35" s="576">
        <f t="shared" si="43"/>
        <v>66451.398625000002</v>
      </c>
      <c r="AV35" s="576">
        <f t="shared" si="43"/>
        <v>66451.398625000002</v>
      </c>
      <c r="AW35" s="576">
        <f t="shared" si="43"/>
        <v>802801.78350000014</v>
      </c>
      <c r="AX35" s="565"/>
      <c r="AY35" s="576">
        <f>SUM(AY12:AY34)</f>
        <v>333226.47362500004</v>
      </c>
      <c r="AZ35" s="576">
        <f t="shared" ref="AZ35" si="44">SUM(AZ12:AZ34)</f>
        <v>120256.47362500001</v>
      </c>
      <c r="BA35" s="576">
        <f t="shared" ref="BA35" si="45">SUM(BA12:BA34)</f>
        <v>67576.398625000002</v>
      </c>
      <c r="BB35" s="576">
        <f t="shared" ref="BB35" si="46">SUM(BB12:BB34)</f>
        <v>66451.398625000002</v>
      </c>
      <c r="BC35" s="576">
        <f t="shared" ref="BC35" si="47">SUM(BC12:BC34)</f>
        <v>66451.398625000002</v>
      </c>
      <c r="BD35" s="576">
        <f t="shared" ref="BD35" si="48">SUM(BD12:BD34)</f>
        <v>66451.398625000002</v>
      </c>
      <c r="BE35" s="576">
        <f t="shared" ref="BE35" si="49">SUM(BE12:BE34)</f>
        <v>66451.398625000002</v>
      </c>
      <c r="BF35" s="576">
        <f t="shared" ref="BF35" si="50">SUM(BF12:BF34)</f>
        <v>71086.398625000002</v>
      </c>
      <c r="BG35" s="576">
        <f t="shared" ref="BG35" si="51">SUM(BG12:BG34)</f>
        <v>66451.398625000002</v>
      </c>
      <c r="BH35" s="576">
        <f t="shared" ref="BH35" si="52">SUM(BH12:BH34)</f>
        <v>66451.398625000002</v>
      </c>
      <c r="BI35" s="576">
        <f t="shared" ref="BI35" si="53">SUM(BI12:BI34)</f>
        <v>66451.398625000002</v>
      </c>
      <c r="BJ35" s="576">
        <f t="shared" ref="BJ35" si="54">SUM(BJ12:BJ34)</f>
        <v>66451.398625000002</v>
      </c>
      <c r="BK35" s="576">
        <f t="shared" ref="BK35" si="55">SUM(BK12:BK34)</f>
        <v>1123756.9335000003</v>
      </c>
      <c r="BL35" s="565"/>
      <c r="BM35" s="576">
        <f>SUM(BM12:BM34)</f>
        <v>67201.398625000002</v>
      </c>
      <c r="BN35" s="576">
        <f t="shared" ref="BN35" si="56">SUM(BN12:BN34)</f>
        <v>66451.398625000002</v>
      </c>
      <c r="BO35" s="576">
        <f t="shared" ref="BO35" si="57">SUM(BO12:BO34)</f>
        <v>66451.398625000002</v>
      </c>
      <c r="BP35" s="576">
        <f t="shared" ref="BP35" si="58">SUM(BP12:BP34)</f>
        <v>66451.398625000002</v>
      </c>
      <c r="BQ35" s="576">
        <f t="shared" ref="BQ35" si="59">SUM(BQ12:BQ34)</f>
        <v>66451.398625000002</v>
      </c>
      <c r="BR35" s="576">
        <f t="shared" ref="BR35" si="60">SUM(BR12:BR34)</f>
        <v>66451.398625000002</v>
      </c>
      <c r="BS35" s="576">
        <f t="shared" ref="BS35" si="61">SUM(BS12:BS34)</f>
        <v>332476.47362500004</v>
      </c>
      <c r="BT35" s="576">
        <f t="shared" ref="BT35" si="62">SUM(BT12:BT34)</f>
        <v>120256.47362500001</v>
      </c>
      <c r="BU35" s="576">
        <f t="shared" ref="BU35" si="63">SUM(BU12:BU34)</f>
        <v>67576.398625000002</v>
      </c>
      <c r="BV35" s="576">
        <f t="shared" ref="BV35" si="64">SUM(BV12:BV34)</f>
        <v>66451.398625000002</v>
      </c>
      <c r="BW35" s="576">
        <f t="shared" ref="BW35" si="65">SUM(BW12:BW34)</f>
        <v>66451.398625000002</v>
      </c>
      <c r="BX35" s="576">
        <f t="shared" ref="BX35" si="66">SUM(BX12:BX34)</f>
        <v>66451.398625000002</v>
      </c>
      <c r="BY35" s="576">
        <f t="shared" ref="BY35" si="67">SUM(BY12:BY34)</f>
        <v>1119121.9335</v>
      </c>
      <c r="BZ35" s="565"/>
      <c r="CA35" s="576">
        <f>SUM(CA12:CA34)</f>
        <v>67201.398625000002</v>
      </c>
      <c r="CB35" s="576">
        <f t="shared" ref="CB35" si="68">SUM(CB12:CB34)</f>
        <v>66451.398625000002</v>
      </c>
      <c r="CC35" s="576">
        <f t="shared" ref="CC35" si="69">SUM(CC12:CC34)</f>
        <v>71086.398625000002</v>
      </c>
      <c r="CD35" s="576">
        <f t="shared" ref="CD35" si="70">SUM(CD12:CD34)</f>
        <v>66451.398625000002</v>
      </c>
      <c r="CE35" s="576">
        <f t="shared" ref="CE35" si="71">SUM(CE12:CE34)</f>
        <v>66451.398625000002</v>
      </c>
      <c r="CF35" s="576">
        <f t="shared" ref="CF35" si="72">SUM(CF12:CF34)</f>
        <v>66451.398625000002</v>
      </c>
      <c r="CG35" s="576">
        <f t="shared" ref="CG35" si="73">SUM(CG12:CG34)</f>
        <v>66451.398625000002</v>
      </c>
      <c r="CH35" s="576">
        <f t="shared" ref="CH35" si="74">SUM(CH12:CH34)</f>
        <v>66451.398625000002</v>
      </c>
      <c r="CI35" s="576">
        <f t="shared" ref="CI35" si="75">SUM(CI12:CI34)</f>
        <v>66451.398625000002</v>
      </c>
      <c r="CJ35" s="576">
        <f t="shared" ref="CJ35" si="76">SUM(CJ12:CJ34)</f>
        <v>66451.398625000002</v>
      </c>
      <c r="CK35" s="576">
        <f t="shared" ref="CK35" si="77">SUM(CK12:CK34)</f>
        <v>66451.398625000002</v>
      </c>
      <c r="CL35" s="576">
        <f t="shared" ref="CL35" si="78">SUM(CL12:CL34)</f>
        <v>66451.398625000002</v>
      </c>
      <c r="CM35" s="576">
        <f t="shared" ref="CM35" si="79">SUM(CM12:CM34)</f>
        <v>802801.78350000014</v>
      </c>
      <c r="CN35" s="565"/>
      <c r="CO35" s="576">
        <f>SUM(CO12:CO34)</f>
        <v>333226.47362500004</v>
      </c>
      <c r="CP35" s="576">
        <f t="shared" ref="CP35" si="80">SUM(CP12:CP34)</f>
        <v>120256.47362500001</v>
      </c>
      <c r="CQ35" s="576">
        <f t="shared" ref="CQ35" si="81">SUM(CQ12:CQ34)</f>
        <v>67576.398625000002</v>
      </c>
      <c r="CR35" s="576">
        <f t="shared" ref="CR35" si="82">SUM(CR12:CR34)</f>
        <v>66451.398625000002</v>
      </c>
      <c r="CS35" s="576">
        <f t="shared" ref="CS35" si="83">SUM(CS12:CS34)</f>
        <v>66451.398625000002</v>
      </c>
      <c r="CT35" s="576">
        <f t="shared" ref="CT35" si="84">SUM(CT12:CT34)</f>
        <v>66451.398625000002</v>
      </c>
      <c r="CU35" s="576">
        <f t="shared" ref="CU35" si="85">SUM(CU12:CU34)</f>
        <v>66451.398625000002</v>
      </c>
      <c r="CV35" s="576">
        <f t="shared" ref="CV35" si="86">SUM(CV12:CV34)</f>
        <v>71086.398625000002</v>
      </c>
      <c r="CW35" s="576">
        <f t="shared" ref="CW35" si="87">SUM(CW12:CW34)</f>
        <v>66451.398625000002</v>
      </c>
      <c r="CX35" s="576">
        <f t="shared" ref="CX35" si="88">SUM(CX12:CX34)</f>
        <v>66451.398625000002</v>
      </c>
      <c r="CY35" s="576">
        <f t="shared" ref="CY35" si="89">SUM(CY12:CY34)</f>
        <v>66451.398625000002</v>
      </c>
      <c r="CZ35" s="576">
        <f t="shared" ref="CZ35" si="90">SUM(CZ12:CZ34)</f>
        <v>66451.398625000002</v>
      </c>
      <c r="DA35" s="576">
        <f t="shared" ref="DA35" si="91">SUM(DA12:DA34)</f>
        <v>1123756.9335000003</v>
      </c>
      <c r="DB35" s="565"/>
      <c r="DC35" s="576">
        <f>SUM(DC12:DC34)</f>
        <v>67201.398625000002</v>
      </c>
      <c r="DD35" s="576">
        <f t="shared" ref="DD35" si="92">SUM(DD12:DD34)</f>
        <v>66451.398625000002</v>
      </c>
      <c r="DE35" s="576">
        <f t="shared" ref="DE35" si="93">SUM(DE12:DE34)</f>
        <v>66451.398625000002</v>
      </c>
      <c r="DF35" s="576">
        <f t="shared" ref="DF35" si="94">SUM(DF12:DF34)</f>
        <v>66451.398625000002</v>
      </c>
      <c r="DG35" s="576">
        <f t="shared" ref="DG35" si="95">SUM(DG12:DG34)</f>
        <v>66451.398625000002</v>
      </c>
      <c r="DH35" s="576">
        <f t="shared" ref="DH35" si="96">SUM(DH12:DH34)</f>
        <v>66451.398625000002</v>
      </c>
      <c r="DI35" s="576">
        <f t="shared" ref="DI35" si="97">SUM(DI12:DI34)</f>
        <v>332476.47362500004</v>
      </c>
      <c r="DJ35" s="576">
        <f t="shared" ref="DJ35" si="98">SUM(DJ12:DJ34)</f>
        <v>120256.47362500001</v>
      </c>
      <c r="DK35" s="576">
        <f t="shared" ref="DK35" si="99">SUM(DK12:DK34)</f>
        <v>67576.398625000002</v>
      </c>
      <c r="DL35" s="576">
        <f t="shared" ref="DL35" si="100">SUM(DL12:DL34)</f>
        <v>66451.398625000002</v>
      </c>
      <c r="DM35" s="576">
        <f t="shared" ref="DM35" si="101">SUM(DM12:DM34)</f>
        <v>66451.398625000002</v>
      </c>
      <c r="DN35" s="576">
        <f t="shared" ref="DN35" si="102">SUM(DN12:DN34)</f>
        <v>66451.398625000002</v>
      </c>
      <c r="DO35" s="576">
        <f t="shared" ref="DO35" si="103">SUM(DO12:DO34)</f>
        <v>1119121.9335</v>
      </c>
      <c r="DP35" s="565"/>
      <c r="DQ35" s="576">
        <f>SUM(DQ12:DQ34)</f>
        <v>67201.398625000002</v>
      </c>
      <c r="DR35" s="576">
        <f t="shared" ref="DR35" si="104">SUM(DR12:DR34)</f>
        <v>71086.398625000002</v>
      </c>
      <c r="DS35" s="576">
        <f t="shared" ref="DS35" si="105">SUM(DS12:DS34)</f>
        <v>66451.398625000002</v>
      </c>
      <c r="DT35" s="576">
        <f t="shared" ref="DT35" si="106">SUM(DT12:DT34)</f>
        <v>66451.398625000002</v>
      </c>
      <c r="DU35" s="576">
        <f t="shared" ref="DU35" si="107">SUM(DU12:DU34)</f>
        <v>66451.398625000002</v>
      </c>
      <c r="DV35" s="576">
        <f t="shared" ref="DV35" si="108">SUM(DV12:DV34)</f>
        <v>66451.398625000002</v>
      </c>
      <c r="DW35" s="576">
        <f t="shared" ref="DW35" si="109">SUM(DW12:DW34)</f>
        <v>66451.398625000002</v>
      </c>
      <c r="DX35" s="576">
        <f t="shared" ref="DX35" si="110">SUM(DX12:DX34)</f>
        <v>66451.398625000002</v>
      </c>
      <c r="DY35" s="576">
        <f t="shared" ref="DY35" si="111">SUM(DY12:DY34)</f>
        <v>66451.398625000002</v>
      </c>
      <c r="DZ35" s="576">
        <f t="shared" ref="DZ35" si="112">SUM(DZ12:DZ34)</f>
        <v>66451.398625000002</v>
      </c>
      <c r="EA35" s="576">
        <f t="shared" ref="EA35" si="113">SUM(EA12:EA34)</f>
        <v>66451.398625000002</v>
      </c>
      <c r="EB35" s="576">
        <f t="shared" ref="EB35" si="114">SUM(EB12:EB34)</f>
        <v>66451.398625000002</v>
      </c>
      <c r="EC35" s="576">
        <f t="shared" ref="EC35" si="115">SUM(EC12:EC34)</f>
        <v>802801.78350000014</v>
      </c>
      <c r="ED35" s="565"/>
      <c r="EE35" s="576">
        <f>SUM(EE12:EE34)</f>
        <v>333226.47362500004</v>
      </c>
      <c r="EF35" s="576">
        <f t="shared" ref="EF35" si="116">SUM(EF12:EF34)</f>
        <v>120256.47362500001</v>
      </c>
      <c r="EG35" s="576">
        <f t="shared" ref="EG35" si="117">SUM(EG12:EG34)</f>
        <v>67576.398625000002</v>
      </c>
      <c r="EH35" s="576">
        <f t="shared" ref="EH35" si="118">SUM(EH12:EH34)</f>
        <v>66451.398625000002</v>
      </c>
      <c r="EI35" s="576">
        <f t="shared" ref="EI35" si="119">SUM(EI12:EI34)</f>
        <v>66451.398625000002</v>
      </c>
      <c r="EJ35" s="576">
        <f t="shared" ref="EJ35" si="120">SUM(EJ12:EJ34)</f>
        <v>66451.398625000002</v>
      </c>
      <c r="EK35" s="576">
        <f t="shared" ref="EK35" si="121">SUM(EK12:EK34)</f>
        <v>66451.398625000002</v>
      </c>
      <c r="EL35" s="576">
        <f t="shared" ref="EL35" si="122">SUM(EL12:EL34)</f>
        <v>71086.398625000002</v>
      </c>
      <c r="EM35" s="576">
        <f t="shared" ref="EM35" si="123">SUM(EM12:EM34)</f>
        <v>66451.398625000002</v>
      </c>
      <c r="EN35" s="576">
        <f t="shared" ref="EN35" si="124">SUM(EN12:EN34)</f>
        <v>66451.398625000002</v>
      </c>
      <c r="EO35" s="576">
        <f t="shared" ref="EO35" si="125">SUM(EO12:EO34)</f>
        <v>66451.398625000002</v>
      </c>
      <c r="EP35" s="576">
        <f t="shared" ref="EP35" si="126">SUM(EP12:EP34)</f>
        <v>66451.398625000002</v>
      </c>
      <c r="EQ35" s="576">
        <f t="shared" ref="EQ35" si="127">SUM(EQ12:EQ34)</f>
        <v>1123756.9335000003</v>
      </c>
      <c r="ER35" s="565"/>
      <c r="EU35" s="461" t="s">
        <v>1264</v>
      </c>
      <c r="EW35" s="576">
        <f>EW12+EW13+EW23+EW27+EW30+EW31+EW32+EW33+EW34</f>
        <v>994094.13625000021</v>
      </c>
      <c r="EX35" s="576">
        <f t="shared" ref="EX35:FF35" si="128">EX12+EX13+EX23+EX27+EX30+EX31+EX32+EX33+EX34</f>
        <v>1119121.9334999998</v>
      </c>
      <c r="EY35" s="576">
        <f t="shared" si="128"/>
        <v>802801.78350000014</v>
      </c>
      <c r="EZ35" s="576">
        <f t="shared" si="128"/>
        <v>1123756.9335</v>
      </c>
      <c r="FA35" s="576">
        <f t="shared" si="128"/>
        <v>1119121.9334999998</v>
      </c>
      <c r="FB35" s="576">
        <f t="shared" si="128"/>
        <v>802801.78350000014</v>
      </c>
      <c r="FC35" s="576">
        <f t="shared" si="128"/>
        <v>1123756.9335</v>
      </c>
      <c r="FD35" s="576">
        <f t="shared" si="128"/>
        <v>1119121.9334999998</v>
      </c>
      <c r="FE35" s="576">
        <f t="shared" si="128"/>
        <v>802801.78350000014</v>
      </c>
      <c r="FF35" s="576">
        <f t="shared" si="128"/>
        <v>1123756.9335</v>
      </c>
    </row>
    <row r="36" spans="1:162" ht="10.5" customHeight="1" x14ac:dyDescent="0.35">
      <c r="A36" s="559"/>
      <c r="B36" s="558"/>
      <c r="C36" s="558"/>
      <c r="D36" s="558"/>
      <c r="F36" s="558"/>
      <c r="G36" s="558"/>
      <c r="H36" s="558"/>
      <c r="I36" s="558"/>
      <c r="J36" s="558"/>
      <c r="K36" s="558"/>
      <c r="L36" s="558"/>
      <c r="M36" s="558"/>
      <c r="N36" s="558"/>
      <c r="O36" s="558"/>
      <c r="P36" s="558"/>
      <c r="Q36" s="558"/>
      <c r="R36" s="558"/>
      <c r="S36" s="558"/>
      <c r="T36" s="558"/>
      <c r="U36" s="558"/>
      <c r="W36" s="558"/>
      <c r="X36" s="558"/>
      <c r="Y36" s="558"/>
      <c r="Z36" s="558"/>
      <c r="AA36" s="558"/>
      <c r="AB36" s="558"/>
      <c r="AC36" s="558"/>
      <c r="AD36" s="558"/>
      <c r="AE36" s="558"/>
      <c r="AF36" s="558"/>
      <c r="AG36" s="558"/>
      <c r="AH36" s="558"/>
      <c r="AI36" s="558"/>
      <c r="AK36" s="558"/>
      <c r="AL36" s="558"/>
      <c r="AM36" s="558"/>
      <c r="AN36" s="558"/>
      <c r="AO36" s="558"/>
      <c r="AP36" s="558"/>
      <c r="AQ36" s="558"/>
      <c r="AR36" s="558"/>
      <c r="AS36" s="558"/>
      <c r="AT36" s="558"/>
      <c r="AU36" s="558"/>
      <c r="AV36" s="558"/>
      <c r="AW36" s="558"/>
      <c r="AY36" s="558"/>
      <c r="AZ36" s="558"/>
      <c r="BA36" s="558"/>
      <c r="BB36" s="558"/>
      <c r="BC36" s="558"/>
      <c r="BD36" s="558"/>
      <c r="BE36" s="558"/>
      <c r="BF36" s="558"/>
      <c r="BG36" s="558"/>
      <c r="BH36" s="558"/>
      <c r="BI36" s="558"/>
      <c r="BJ36" s="558"/>
      <c r="BK36" s="558"/>
      <c r="BM36" s="558"/>
      <c r="BN36" s="558"/>
      <c r="BO36" s="558"/>
      <c r="BP36" s="558"/>
      <c r="BQ36" s="558"/>
      <c r="BR36" s="558"/>
      <c r="BS36" s="558"/>
      <c r="BT36" s="558"/>
      <c r="BU36" s="558"/>
      <c r="BV36" s="558"/>
      <c r="BW36" s="558"/>
      <c r="BX36" s="558"/>
      <c r="BY36" s="558"/>
      <c r="CA36" s="558"/>
      <c r="CB36" s="558"/>
      <c r="CC36" s="558"/>
      <c r="CD36" s="558"/>
      <c r="CE36" s="558"/>
      <c r="CF36" s="558"/>
      <c r="CG36" s="558"/>
      <c r="CH36" s="558"/>
      <c r="CI36" s="558"/>
      <c r="CJ36" s="558"/>
      <c r="CK36" s="558"/>
      <c r="CL36" s="558"/>
      <c r="CM36" s="558"/>
      <c r="CO36" s="558"/>
      <c r="CP36" s="558"/>
      <c r="CQ36" s="558"/>
      <c r="CR36" s="558"/>
      <c r="CS36" s="558"/>
      <c r="CT36" s="558"/>
      <c r="CU36" s="558"/>
      <c r="CV36" s="558"/>
      <c r="CW36" s="558"/>
      <c r="CX36" s="558"/>
      <c r="CY36" s="558"/>
      <c r="CZ36" s="558"/>
      <c r="DA36" s="558"/>
      <c r="DC36" s="558"/>
      <c r="DD36" s="558"/>
      <c r="DE36" s="558"/>
      <c r="DF36" s="558"/>
      <c r="DG36" s="558"/>
      <c r="DH36" s="558"/>
      <c r="DI36" s="558"/>
      <c r="DJ36" s="558"/>
      <c r="DK36" s="558"/>
      <c r="DL36" s="558"/>
      <c r="DM36" s="558"/>
      <c r="DN36" s="558"/>
      <c r="DO36" s="558"/>
      <c r="DQ36" s="558"/>
      <c r="DR36" s="558"/>
      <c r="DS36" s="558"/>
      <c r="DT36" s="558"/>
      <c r="DU36" s="558"/>
      <c r="DV36" s="558"/>
      <c r="DW36" s="558"/>
      <c r="DX36" s="558"/>
      <c r="DY36" s="558"/>
      <c r="DZ36" s="558"/>
      <c r="EA36" s="558"/>
      <c r="EB36" s="558"/>
      <c r="EC36" s="558"/>
      <c r="EE36" s="558"/>
      <c r="EF36" s="558"/>
      <c r="EG36" s="558"/>
      <c r="EH36" s="558"/>
      <c r="EI36" s="558"/>
      <c r="EJ36" s="558"/>
      <c r="EK36" s="558"/>
      <c r="EL36" s="558"/>
      <c r="EM36" s="558"/>
      <c r="EN36" s="558"/>
      <c r="EO36" s="558"/>
      <c r="EP36" s="558"/>
      <c r="EQ36" s="558"/>
      <c r="ET36" s="558"/>
      <c r="EU36" s="558"/>
      <c r="EV36" s="558"/>
      <c r="EW36" s="558"/>
      <c r="EX36" s="558"/>
      <c r="EY36" s="558"/>
      <c r="EZ36" s="558"/>
      <c r="FA36" s="558"/>
      <c r="FB36" s="558"/>
      <c r="FC36" s="558"/>
      <c r="FD36" s="558"/>
      <c r="FE36" s="558"/>
      <c r="FF36" s="558"/>
    </row>
    <row r="37" spans="1:162" ht="10.5" customHeight="1" x14ac:dyDescent="0.35">
      <c r="A37" s="531"/>
      <c r="B37" s="531"/>
      <c r="F37" s="549" t="s">
        <v>492</v>
      </c>
      <c r="G37" s="550" t="s">
        <v>1166</v>
      </c>
      <c r="H37" s="461"/>
      <c r="V37" s="565"/>
      <c r="AI37" s="558"/>
      <c r="AJ37" s="565"/>
      <c r="AR37" s="561"/>
      <c r="AW37" s="558"/>
      <c r="AX37" s="565"/>
      <c r="BK37" s="558"/>
      <c r="BL37" s="565"/>
      <c r="BN37" s="561"/>
      <c r="BY37" s="558"/>
      <c r="BZ37" s="565"/>
      <c r="CH37" s="561"/>
      <c r="CM37" s="558"/>
      <c r="CN37" s="565"/>
      <c r="DA37" s="558"/>
      <c r="DB37" s="565"/>
      <c r="DD37" s="561"/>
      <c r="DO37" s="558"/>
      <c r="DP37" s="565"/>
      <c r="DX37" s="561"/>
      <c r="EC37" s="558"/>
      <c r="ED37" s="565"/>
      <c r="EQ37" s="558"/>
      <c r="ET37" s="549" t="s">
        <v>492</v>
      </c>
      <c r="EU37" s="550" t="s">
        <v>1166</v>
      </c>
      <c r="EV37" s="461"/>
    </row>
    <row r="38" spans="1:162" ht="10.5" customHeight="1" x14ac:dyDescent="0.35">
      <c r="A38" s="531"/>
      <c r="B38" s="531"/>
      <c r="F38" s="547" t="s">
        <v>1259</v>
      </c>
      <c r="G38" s="557" t="s">
        <v>52</v>
      </c>
      <c r="H38" s="461"/>
      <c r="V38" s="565"/>
      <c r="W38" s="553">
        <f>'Prod&amp;Consp'!Z48*$C$11/1000</f>
        <v>630000</v>
      </c>
      <c r="AI38" s="560">
        <f>SUM(W38:AH38)</f>
        <v>630000</v>
      </c>
      <c r="AJ38" s="565"/>
      <c r="AQ38" s="553">
        <f>'Prod&amp;Consp'!AT48*$C$11/1000</f>
        <v>630000</v>
      </c>
      <c r="AR38" s="561"/>
      <c r="AW38" s="560">
        <f>SUM(AK38:AV38)</f>
        <v>630000</v>
      </c>
      <c r="AX38" s="565"/>
      <c r="BK38" s="560">
        <f>SUM(AY38:BJ38)</f>
        <v>0</v>
      </c>
      <c r="BL38" s="565"/>
      <c r="BM38" s="553">
        <f>'Prod&amp;Consp'!BP48*$C$11/1000</f>
        <v>630000</v>
      </c>
      <c r="BN38" s="561"/>
      <c r="BY38" s="560">
        <f>SUM(BM38:BX38)</f>
        <v>630000</v>
      </c>
      <c r="BZ38" s="565"/>
      <c r="CG38" s="553">
        <f>'Prod&amp;Consp'!CJ48*$C$11/1000</f>
        <v>630000</v>
      </c>
      <c r="CH38" s="561"/>
      <c r="CM38" s="560">
        <f>SUM(CA38:CL38)</f>
        <v>630000</v>
      </c>
      <c r="CN38" s="565"/>
      <c r="DA38" s="560">
        <f>SUM(CO38:CZ38)</f>
        <v>0</v>
      </c>
      <c r="DB38" s="565"/>
      <c r="DC38" s="553">
        <f>'Prod&amp;Consp'!DF48*$C$11/1000</f>
        <v>630000</v>
      </c>
      <c r="DD38" s="561"/>
      <c r="DO38" s="560">
        <f>SUM(DC38:DN38)</f>
        <v>630000</v>
      </c>
      <c r="DP38" s="565"/>
      <c r="DW38" s="553">
        <f>'Prod&amp;Consp'!DZ48*$C$11/1000</f>
        <v>630000</v>
      </c>
      <c r="DX38" s="561"/>
      <c r="EC38" s="560">
        <f>SUM(DQ38:EB38)</f>
        <v>630000</v>
      </c>
      <c r="ED38" s="565"/>
      <c r="EQ38" s="560">
        <f>SUM(EE38:EP38)</f>
        <v>0</v>
      </c>
      <c r="ET38" s="547">
        <v>2.1</v>
      </c>
      <c r="EU38" s="557" t="s">
        <v>52</v>
      </c>
      <c r="EV38" s="461"/>
      <c r="EX38" s="576">
        <f>AI38</f>
        <v>630000</v>
      </c>
      <c r="EY38" s="576">
        <f>AW38</f>
        <v>630000</v>
      </c>
      <c r="EZ38" s="576">
        <f>BK38</f>
        <v>0</v>
      </c>
      <c r="FA38" s="576">
        <f>BY38</f>
        <v>630000</v>
      </c>
      <c r="FB38" s="576">
        <f>CM38</f>
        <v>630000</v>
      </c>
      <c r="FC38" s="576">
        <f>DA38</f>
        <v>0</v>
      </c>
      <c r="FD38" s="576">
        <f>DO38</f>
        <v>630000</v>
      </c>
      <c r="FE38" s="576">
        <f>EC38</f>
        <v>630000</v>
      </c>
      <c r="FF38" s="576">
        <f>EQ38</f>
        <v>0</v>
      </c>
    </row>
    <row r="39" spans="1:162" ht="10.5" customHeight="1" x14ac:dyDescent="0.35">
      <c r="F39" s="547" t="s">
        <v>1260</v>
      </c>
      <c r="G39" s="531" t="s">
        <v>667</v>
      </c>
      <c r="V39" s="565"/>
      <c r="AI39" s="560"/>
      <c r="AJ39" s="565"/>
      <c r="AR39" s="561"/>
      <c r="AW39" s="560"/>
      <c r="AX39" s="565"/>
      <c r="AY39" s="553"/>
      <c r="BK39" s="560"/>
      <c r="BL39" s="565"/>
      <c r="BM39" s="553"/>
      <c r="BN39" s="561"/>
      <c r="BY39" s="560"/>
      <c r="BZ39" s="565"/>
      <c r="CH39" s="561"/>
      <c r="CM39" s="560"/>
      <c r="CN39" s="565"/>
      <c r="DA39" s="560"/>
      <c r="DB39" s="565"/>
      <c r="DC39" s="553"/>
      <c r="DD39" s="561"/>
      <c r="DO39" s="560"/>
      <c r="DP39" s="565"/>
      <c r="DQ39" s="553"/>
      <c r="DX39" s="561"/>
      <c r="EC39" s="560"/>
      <c r="ED39" s="565"/>
      <c r="EQ39" s="560"/>
      <c r="ET39" s="547">
        <v>2.2000000000000002</v>
      </c>
      <c r="EU39" s="531" t="s">
        <v>667</v>
      </c>
      <c r="EX39" s="576">
        <f>SUM(EX40:EX48)</f>
        <v>2180172.4087500004</v>
      </c>
      <c r="EY39" s="576">
        <f t="shared" ref="EY39:FF39" si="129">SUM(EY40:EY48)</f>
        <v>2554088.8004999999</v>
      </c>
      <c r="EZ39" s="576">
        <f t="shared" si="129"/>
        <v>2243498.3505000006</v>
      </c>
      <c r="FA39" s="576">
        <f t="shared" si="129"/>
        <v>2554088.8005000004</v>
      </c>
      <c r="FB39" s="576">
        <f t="shared" si="129"/>
        <v>2554088.8004999999</v>
      </c>
      <c r="FC39" s="576">
        <f t="shared" si="129"/>
        <v>2243498.3505000006</v>
      </c>
      <c r="FD39" s="576">
        <f t="shared" si="129"/>
        <v>2554088.8005000004</v>
      </c>
      <c r="FE39" s="576">
        <f t="shared" si="129"/>
        <v>2554088.8004999999</v>
      </c>
      <c r="FF39" s="576">
        <f t="shared" si="129"/>
        <v>2243498.3505000006</v>
      </c>
    </row>
    <row r="40" spans="1:162" ht="10.5" customHeight="1" x14ac:dyDescent="0.35">
      <c r="B40" s="531"/>
      <c r="F40" s="536"/>
      <c r="G40" s="531" t="s">
        <v>9</v>
      </c>
      <c r="H40" s="4" t="s">
        <v>665</v>
      </c>
      <c r="V40" s="565"/>
      <c r="W40" s="553">
        <f>'Prod&amp;Consp'!Z56*$C$13/1000</f>
        <v>53678.7</v>
      </c>
      <c r="X40" s="553">
        <f>'Prod&amp;Consp'!AA56*$C$13/1000</f>
        <v>53678.7</v>
      </c>
      <c r="Y40" s="553">
        <f>'Prod&amp;Consp'!AB56*$C$13/1000</f>
        <v>64623.190499999997</v>
      </c>
      <c r="Z40" s="553">
        <f>'Prod&amp;Consp'!AC56*$C$13/1000</f>
        <v>64623.190499999997</v>
      </c>
      <c r="AA40" s="553">
        <f>'Prod&amp;Consp'!AD56*$C$13/1000</f>
        <v>64623.190499999997</v>
      </c>
      <c r="AB40" s="553">
        <f>'Prod&amp;Consp'!AE56*$C$13/1000</f>
        <v>64623.190499999997</v>
      </c>
      <c r="AC40" s="553">
        <f>'Prod&amp;Consp'!AF56*$C$13/1000</f>
        <v>64623.190499999997</v>
      </c>
      <c r="AD40" s="553">
        <f>'Prod&amp;Consp'!AG56*$C$13/1000</f>
        <v>64623.190499999997</v>
      </c>
      <c r="AE40" s="553">
        <f>'Prod&amp;Consp'!AH56*$C$13/1000</f>
        <v>64623.190499999997</v>
      </c>
      <c r="AF40" s="553">
        <f>'Prod&amp;Consp'!AI56*$C$13/1000</f>
        <v>64623.190499999997</v>
      </c>
      <c r="AG40" s="553">
        <f>'Prod&amp;Consp'!AJ56*$C$13/1000</f>
        <v>64623.190499999997</v>
      </c>
      <c r="AH40" s="553">
        <f>'Prod&amp;Consp'!AK56*$C$13/1000</f>
        <v>64623.190499999997</v>
      </c>
      <c r="AI40" s="560">
        <f t="shared" ref="AI40:AI48" si="130">SUM(W40:AH40)</f>
        <v>753589.30500000017</v>
      </c>
      <c r="AJ40" s="565"/>
      <c r="AK40" s="553">
        <f>'Prod&amp;Consp'!AN56*$C$13/1000</f>
        <v>64623.190499999997</v>
      </c>
      <c r="AL40" s="553">
        <f>'Prod&amp;Consp'!AO56*$C$13/1000</f>
        <v>64623.190499999997</v>
      </c>
      <c r="AM40" s="553">
        <f>'Prod&amp;Consp'!AP56*$C$13/1000</f>
        <v>64623.190499999997</v>
      </c>
      <c r="AN40" s="553">
        <f>'Prod&amp;Consp'!AQ56*$C$13/1000</f>
        <v>64623.190499999997</v>
      </c>
      <c r="AO40" s="553">
        <f>'Prod&amp;Consp'!AR56*$C$13/1000</f>
        <v>64623.190499999997</v>
      </c>
      <c r="AP40" s="553">
        <f>'Prod&amp;Consp'!AS56*$C$13/1000</f>
        <v>64623.190499999997</v>
      </c>
      <c r="AQ40" s="553">
        <f>'Prod&amp;Consp'!AT56*$C$13/1000</f>
        <v>118301.89049999998</v>
      </c>
      <c r="AR40" s="562">
        <f>'Prod&amp;Consp'!AU56*$C$13/1000</f>
        <v>118301.89049999998</v>
      </c>
      <c r="AS40" s="553">
        <f>'Prod&amp;Consp'!AV56*$C$13/1000</f>
        <v>64623.190499999997</v>
      </c>
      <c r="AT40" s="553">
        <f>'Prod&amp;Consp'!AW56*$C$13/1000</f>
        <v>64623.190499999997</v>
      </c>
      <c r="AU40" s="553">
        <f>'Prod&amp;Consp'!AX56*$C$13/1000</f>
        <v>64623.190499999997</v>
      </c>
      <c r="AV40" s="553">
        <f>'Prod&amp;Consp'!AY56*$C$13/1000</f>
        <v>64623.190499999997</v>
      </c>
      <c r="AW40" s="560">
        <f t="shared" ref="AW40:AW48" si="131">SUM(AK40:AV40)</f>
        <v>882835.6860000001</v>
      </c>
      <c r="AX40" s="565"/>
      <c r="AY40" s="553">
        <f>'Prod&amp;Consp'!BB56*$C$13/1000</f>
        <v>64623.190499999997</v>
      </c>
      <c r="AZ40" s="553">
        <f>'Prod&amp;Consp'!BC56*$C$13/1000</f>
        <v>64623.190499999997</v>
      </c>
      <c r="BA40" s="553">
        <f>'Prod&amp;Consp'!BD56*$C$13/1000</f>
        <v>64623.190499999997</v>
      </c>
      <c r="BB40" s="553">
        <f>'Prod&amp;Consp'!BE56*$C$13/1000</f>
        <v>64623.190499999997</v>
      </c>
      <c r="BC40" s="553">
        <f>'Prod&amp;Consp'!BF56*$C$13/1000</f>
        <v>64623.190499999997</v>
      </c>
      <c r="BD40" s="553">
        <f>'Prod&amp;Consp'!BG56*$C$13/1000</f>
        <v>64623.190499999997</v>
      </c>
      <c r="BE40" s="553">
        <f>'Prod&amp;Consp'!BH56*$C$13/1000</f>
        <v>64623.190499999997</v>
      </c>
      <c r="BF40" s="553">
        <f>'Prod&amp;Consp'!BI56*$C$13/1000</f>
        <v>64623.190499999997</v>
      </c>
      <c r="BG40" s="553">
        <f>'Prod&amp;Consp'!BJ56*$C$13/1000</f>
        <v>64623.190499999997</v>
      </c>
      <c r="BH40" s="553">
        <f>'Prod&amp;Consp'!BK56*$C$13/1000</f>
        <v>64623.190499999997</v>
      </c>
      <c r="BI40" s="553">
        <f>'Prod&amp;Consp'!BL56*$C$13/1000</f>
        <v>64623.190499999997</v>
      </c>
      <c r="BJ40" s="553">
        <f>'Prod&amp;Consp'!BM56*$C$13/1000</f>
        <v>64623.190499999997</v>
      </c>
      <c r="BK40" s="560">
        <f t="shared" ref="BK40:BK48" si="132">SUM(AY40:BJ40)</f>
        <v>775478.2860000002</v>
      </c>
      <c r="BL40" s="565"/>
      <c r="BM40" s="553">
        <f>'Prod&amp;Consp'!BP56*$C$13/1000</f>
        <v>118301.89049999998</v>
      </c>
      <c r="BN40" s="562">
        <f>'Prod&amp;Consp'!BQ56*$C$13/1000</f>
        <v>118301.89049999998</v>
      </c>
      <c r="BO40" s="553">
        <f>'Prod&amp;Consp'!BR56*$C$13/1000</f>
        <v>64623.190499999997</v>
      </c>
      <c r="BP40" s="553">
        <f>'Prod&amp;Consp'!BS56*$C$13/1000</f>
        <v>64623.190499999997</v>
      </c>
      <c r="BQ40" s="553">
        <f>'Prod&amp;Consp'!BT56*$C$13/1000</f>
        <v>64623.190499999997</v>
      </c>
      <c r="BR40" s="553">
        <f>'Prod&amp;Consp'!BU56*$C$13/1000</f>
        <v>64623.190499999997</v>
      </c>
      <c r="BS40" s="553">
        <f>'Prod&amp;Consp'!BV56*$C$13/1000</f>
        <v>64623.190499999997</v>
      </c>
      <c r="BT40" s="553">
        <f>'Prod&amp;Consp'!BW56*$C$13/1000</f>
        <v>64623.190499999997</v>
      </c>
      <c r="BU40" s="553">
        <f>'Prod&amp;Consp'!BX56*$C$13/1000</f>
        <v>64623.190499999997</v>
      </c>
      <c r="BV40" s="553">
        <f>'Prod&amp;Consp'!BY56*$C$13/1000</f>
        <v>64623.190499999997</v>
      </c>
      <c r="BW40" s="553">
        <f>'Prod&amp;Consp'!BZ56*$C$13/1000</f>
        <v>64623.190499999997</v>
      </c>
      <c r="BX40" s="553">
        <f>'Prod&amp;Consp'!CA56*$C$13/1000</f>
        <v>64623.190499999997</v>
      </c>
      <c r="BY40" s="560">
        <f t="shared" ref="BY40:BY48" si="133">SUM(BM40:BX40)</f>
        <v>882835.68600000022</v>
      </c>
      <c r="BZ40" s="565"/>
      <c r="CA40" s="553">
        <f>'Prod&amp;Consp'!CD56*$C$13/1000</f>
        <v>64623.190499999997</v>
      </c>
      <c r="CB40" s="553">
        <f>'Prod&amp;Consp'!CE56*$C$13/1000</f>
        <v>64623.190499999997</v>
      </c>
      <c r="CC40" s="553">
        <f>'Prod&amp;Consp'!CF56*$C$13/1000</f>
        <v>64623.190499999997</v>
      </c>
      <c r="CD40" s="553">
        <f>'Prod&amp;Consp'!CG56*$C$13/1000</f>
        <v>64623.190499999997</v>
      </c>
      <c r="CE40" s="553">
        <f>'Prod&amp;Consp'!CH56*$C$13/1000</f>
        <v>64623.190499999997</v>
      </c>
      <c r="CF40" s="553">
        <f>'Prod&amp;Consp'!CI56*$C$13/1000</f>
        <v>64623.190499999997</v>
      </c>
      <c r="CG40" s="553">
        <f>'Prod&amp;Consp'!CJ56*$C$13/1000</f>
        <v>118301.89049999998</v>
      </c>
      <c r="CH40" s="562">
        <f>'Prod&amp;Consp'!CK56*$C$13/1000</f>
        <v>118301.89049999998</v>
      </c>
      <c r="CI40" s="553">
        <f>'Prod&amp;Consp'!CL56*$C$13/1000</f>
        <v>64623.190499999997</v>
      </c>
      <c r="CJ40" s="553">
        <f>'Prod&amp;Consp'!CM56*$C$13/1000</f>
        <v>64623.190499999997</v>
      </c>
      <c r="CK40" s="553">
        <f>'Prod&amp;Consp'!CN56*$C$13/1000</f>
        <v>64623.190499999997</v>
      </c>
      <c r="CL40" s="553">
        <f>'Prod&amp;Consp'!CO56*$C$13/1000</f>
        <v>64623.190499999997</v>
      </c>
      <c r="CM40" s="560">
        <f t="shared" ref="CM40:CM48" si="134">SUM(CA40:CL40)</f>
        <v>882835.6860000001</v>
      </c>
      <c r="CN40" s="565"/>
      <c r="CO40" s="553">
        <f>'Prod&amp;Consp'!CR56*$C$13/1000</f>
        <v>64623.190499999997</v>
      </c>
      <c r="CP40" s="553">
        <f>'Prod&amp;Consp'!CS56*$C$13/1000</f>
        <v>64623.190499999997</v>
      </c>
      <c r="CQ40" s="553">
        <f>'Prod&amp;Consp'!CT56*$C$13/1000</f>
        <v>64623.190499999997</v>
      </c>
      <c r="CR40" s="553">
        <f>'Prod&amp;Consp'!CU56*$C$13/1000</f>
        <v>64623.190499999997</v>
      </c>
      <c r="CS40" s="553">
        <f>'Prod&amp;Consp'!CV56*$C$13/1000</f>
        <v>64623.190499999997</v>
      </c>
      <c r="CT40" s="553">
        <f>'Prod&amp;Consp'!CW56*$C$13/1000</f>
        <v>64623.190499999997</v>
      </c>
      <c r="CU40" s="553">
        <f>'Prod&amp;Consp'!CX56*$C$13/1000</f>
        <v>64623.190499999997</v>
      </c>
      <c r="CV40" s="553">
        <f>'Prod&amp;Consp'!CY56*$C$13/1000</f>
        <v>64623.190499999997</v>
      </c>
      <c r="CW40" s="553">
        <f>'Prod&amp;Consp'!CZ56*$C$13/1000</f>
        <v>64623.190499999997</v>
      </c>
      <c r="CX40" s="553">
        <f>'Prod&amp;Consp'!DA56*$C$13/1000</f>
        <v>64623.190499999997</v>
      </c>
      <c r="CY40" s="553">
        <f>'Prod&amp;Consp'!DB56*$C$13/1000</f>
        <v>64623.190499999997</v>
      </c>
      <c r="CZ40" s="553">
        <f>'Prod&amp;Consp'!DC56*$C$13/1000</f>
        <v>64623.190499999997</v>
      </c>
      <c r="DA40" s="560">
        <f t="shared" ref="DA40:DA48" si="135">SUM(CO40:CZ40)</f>
        <v>775478.2860000002</v>
      </c>
      <c r="DB40" s="565"/>
      <c r="DC40" s="553">
        <f>'Prod&amp;Consp'!DF56*$C$13/1000</f>
        <v>118301.89049999998</v>
      </c>
      <c r="DD40" s="562">
        <f>'Prod&amp;Consp'!DG56*$C$13/1000</f>
        <v>118301.89049999998</v>
      </c>
      <c r="DE40" s="553">
        <f>'Prod&amp;Consp'!DH56*$C$13/1000</f>
        <v>64623.190499999997</v>
      </c>
      <c r="DF40" s="553">
        <f>'Prod&amp;Consp'!DI56*$C$13/1000</f>
        <v>64623.190499999997</v>
      </c>
      <c r="DG40" s="553">
        <f>'Prod&amp;Consp'!DJ56*$C$13/1000</f>
        <v>64623.190499999997</v>
      </c>
      <c r="DH40" s="553">
        <f>'Prod&amp;Consp'!DK56*$C$13/1000</f>
        <v>64623.190499999997</v>
      </c>
      <c r="DI40" s="553">
        <f>'Prod&amp;Consp'!DL56*$C$13/1000</f>
        <v>64623.190499999997</v>
      </c>
      <c r="DJ40" s="553">
        <f>'Prod&amp;Consp'!DM56*$C$13/1000</f>
        <v>64623.190499999997</v>
      </c>
      <c r="DK40" s="553">
        <f>'Prod&amp;Consp'!DN56*$C$13/1000</f>
        <v>64623.190499999997</v>
      </c>
      <c r="DL40" s="553">
        <f>'Prod&amp;Consp'!DO56*$C$13/1000</f>
        <v>64623.190499999997</v>
      </c>
      <c r="DM40" s="553">
        <f>'Prod&amp;Consp'!DP56*$C$13/1000</f>
        <v>64623.190499999997</v>
      </c>
      <c r="DN40" s="553">
        <f>'Prod&amp;Consp'!DQ56*$C$13/1000</f>
        <v>64623.190499999997</v>
      </c>
      <c r="DO40" s="560">
        <f t="shared" ref="DO40:DO48" si="136">SUM(DC40:DN40)</f>
        <v>882835.68600000022</v>
      </c>
      <c r="DP40" s="565"/>
      <c r="DQ40" s="553">
        <f>'Prod&amp;Consp'!DT56*$C$13/1000</f>
        <v>64623.190499999997</v>
      </c>
      <c r="DR40" s="553">
        <f>'Prod&amp;Consp'!DU56*$C$13/1000</f>
        <v>64623.190499999997</v>
      </c>
      <c r="DS40" s="553">
        <f>'Prod&amp;Consp'!DV56*$C$13/1000</f>
        <v>64623.190499999997</v>
      </c>
      <c r="DT40" s="553">
        <f>'Prod&amp;Consp'!DW56*$C$13/1000</f>
        <v>64623.190499999997</v>
      </c>
      <c r="DU40" s="553">
        <f>'Prod&amp;Consp'!DX56*$C$13/1000</f>
        <v>64623.190499999997</v>
      </c>
      <c r="DV40" s="553">
        <f>'Prod&amp;Consp'!DY56*$C$13/1000</f>
        <v>64623.190499999997</v>
      </c>
      <c r="DW40" s="553">
        <f>'Prod&amp;Consp'!DZ56*$C$13/1000</f>
        <v>118301.89049999998</v>
      </c>
      <c r="DX40" s="562">
        <f>'Prod&amp;Consp'!EA56*$C$13/1000</f>
        <v>118301.89049999998</v>
      </c>
      <c r="DY40" s="553">
        <f>'Prod&amp;Consp'!EB56*$C$13/1000</f>
        <v>64623.190499999997</v>
      </c>
      <c r="DZ40" s="553">
        <f>'Prod&amp;Consp'!EC56*$C$13/1000</f>
        <v>64623.190499999997</v>
      </c>
      <c r="EA40" s="553">
        <f>'Prod&amp;Consp'!ED56*$C$13/1000</f>
        <v>64623.190499999997</v>
      </c>
      <c r="EB40" s="553">
        <f>'Prod&amp;Consp'!EE56*$C$13/1000</f>
        <v>64623.190499999997</v>
      </c>
      <c r="EC40" s="560">
        <f t="shared" ref="EC40:EC48" si="137">SUM(DQ40:EB40)</f>
        <v>882835.6860000001</v>
      </c>
      <c r="ED40" s="565"/>
      <c r="EE40" s="553">
        <f>'Prod&amp;Consp'!EH56*$C$13/1000</f>
        <v>64623.190499999997</v>
      </c>
      <c r="EF40" s="553">
        <f>'Prod&amp;Consp'!EI56*$C$13/1000</f>
        <v>64623.190499999997</v>
      </c>
      <c r="EG40" s="553">
        <f>'Prod&amp;Consp'!EJ56*$C$13/1000</f>
        <v>64623.190499999997</v>
      </c>
      <c r="EH40" s="553">
        <f>'Prod&amp;Consp'!EK56*$C$13/1000</f>
        <v>64623.190499999997</v>
      </c>
      <c r="EI40" s="553">
        <f>'Prod&amp;Consp'!EL56*$C$13/1000</f>
        <v>64623.190499999997</v>
      </c>
      <c r="EJ40" s="553">
        <f>'Prod&amp;Consp'!EM56*$C$13/1000</f>
        <v>64623.190499999997</v>
      </c>
      <c r="EK40" s="553">
        <f>'Prod&amp;Consp'!EN56*$C$13/1000</f>
        <v>64623.190499999997</v>
      </c>
      <c r="EL40" s="553">
        <f>'Prod&amp;Consp'!EO56*$C$13/1000</f>
        <v>64623.190499999997</v>
      </c>
      <c r="EM40" s="553">
        <f>'Prod&amp;Consp'!EP56*$C$13/1000</f>
        <v>64623.190499999997</v>
      </c>
      <c r="EN40" s="553">
        <f>'Prod&amp;Consp'!EQ56*$C$13/1000</f>
        <v>64623.190499999997</v>
      </c>
      <c r="EO40" s="553">
        <f>'Prod&amp;Consp'!ER56*$C$13/1000</f>
        <v>64623.190499999997</v>
      </c>
      <c r="EP40" s="553">
        <f>'Prod&amp;Consp'!ES56*$C$13/1000</f>
        <v>64623.190499999997</v>
      </c>
      <c r="EQ40" s="560">
        <f t="shared" ref="EQ40:EQ48" si="138">SUM(EE40:EP40)</f>
        <v>775478.2860000002</v>
      </c>
      <c r="ET40" s="536"/>
      <c r="EU40" s="531" t="s">
        <v>9</v>
      </c>
      <c r="EV40" s="4" t="s">
        <v>665</v>
      </c>
      <c r="EX40" s="553">
        <f t="shared" ref="EX40:EX60" si="139">AI40</f>
        <v>753589.30500000017</v>
      </c>
      <c r="EY40" s="553">
        <f t="shared" ref="EY40:EY60" si="140">AW40</f>
        <v>882835.6860000001</v>
      </c>
      <c r="EZ40" s="553">
        <f t="shared" ref="EZ40:EZ60" si="141">BK40</f>
        <v>775478.2860000002</v>
      </c>
      <c r="FA40" s="553">
        <f t="shared" ref="FA40:FA60" si="142">BY40</f>
        <v>882835.68600000022</v>
      </c>
      <c r="FB40" s="553">
        <f t="shared" ref="FB40:FB60" si="143">CM40</f>
        <v>882835.6860000001</v>
      </c>
      <c r="FC40" s="553">
        <f t="shared" ref="FC40:FC60" si="144">DA40</f>
        <v>775478.2860000002</v>
      </c>
      <c r="FD40" s="553">
        <f t="shared" ref="FD40:FD60" si="145">DO40</f>
        <v>882835.68600000022</v>
      </c>
      <c r="FE40" s="553">
        <f t="shared" ref="FE40:FE60" si="146">EC40</f>
        <v>882835.6860000001</v>
      </c>
      <c r="FF40" s="553">
        <f t="shared" ref="FF40:FF60" si="147">EQ40</f>
        <v>775478.2860000002</v>
      </c>
    </row>
    <row r="41" spans="1:162" ht="10.5" customHeight="1" x14ac:dyDescent="0.35">
      <c r="B41" s="531"/>
      <c r="F41" s="536"/>
      <c r="G41" s="531" t="s">
        <v>10</v>
      </c>
      <c r="H41" s="4" t="s">
        <v>666</v>
      </c>
      <c r="V41" s="565"/>
      <c r="W41" s="553">
        <f>'Prod&amp;Consp'!Z57*$C$14/1000</f>
        <v>12301.875</v>
      </c>
      <c r="X41" s="553">
        <f>'Prod&amp;Consp'!AA57*$C$14/1000</f>
        <v>12301.875</v>
      </c>
      <c r="Y41" s="553">
        <f>'Prod&amp;Consp'!AB57*$C$14/1000</f>
        <v>14810.090625000001</v>
      </c>
      <c r="Z41" s="553">
        <f>'Prod&amp;Consp'!AC57*$C$14/1000</f>
        <v>14810.090625000001</v>
      </c>
      <c r="AA41" s="553">
        <f>'Prod&amp;Consp'!AD57*$C$14/1000</f>
        <v>14810.090625000001</v>
      </c>
      <c r="AB41" s="553">
        <f>'Prod&amp;Consp'!AE57*$C$14/1000</f>
        <v>14810.090625000001</v>
      </c>
      <c r="AC41" s="553">
        <f>'Prod&amp;Consp'!AF57*$C$14/1000</f>
        <v>14810.090625000001</v>
      </c>
      <c r="AD41" s="553">
        <f>'Prod&amp;Consp'!AG57*$C$14/1000</f>
        <v>14810.090625000001</v>
      </c>
      <c r="AE41" s="553">
        <f>'Prod&amp;Consp'!AH57*$C$14/1000</f>
        <v>14810.090625000001</v>
      </c>
      <c r="AF41" s="553">
        <f>'Prod&amp;Consp'!AI57*$C$14/1000</f>
        <v>14810.090625000001</v>
      </c>
      <c r="AG41" s="553">
        <f>'Prod&amp;Consp'!AJ57*$C$14/1000</f>
        <v>14810.090625000001</v>
      </c>
      <c r="AH41" s="553">
        <f>'Prod&amp;Consp'!AK57*$C$14/1000</f>
        <v>14810.090625000001</v>
      </c>
      <c r="AI41" s="560">
        <f t="shared" si="130"/>
        <v>172704.65625</v>
      </c>
      <c r="AJ41" s="565"/>
      <c r="AK41" s="553">
        <f>'Prod&amp;Consp'!AN57*$C$14/1000</f>
        <v>14810.090625000001</v>
      </c>
      <c r="AL41" s="553">
        <f>'Prod&amp;Consp'!AO57*$C$14/1000</f>
        <v>14810.090625000001</v>
      </c>
      <c r="AM41" s="553">
        <f>'Prod&amp;Consp'!AP57*$C$14/1000</f>
        <v>14810.090625000001</v>
      </c>
      <c r="AN41" s="553">
        <f>'Prod&amp;Consp'!AQ57*$C$14/1000</f>
        <v>14810.090625000001</v>
      </c>
      <c r="AO41" s="553">
        <f>'Prod&amp;Consp'!AR57*$C$14/1000</f>
        <v>14810.090625000001</v>
      </c>
      <c r="AP41" s="553">
        <f>'Prod&amp;Consp'!AS57*$C$14/1000</f>
        <v>14810.090625000001</v>
      </c>
      <c r="AQ41" s="553">
        <f>'Prod&amp;Consp'!AT57*$C$14/1000</f>
        <v>27111.965625000001</v>
      </c>
      <c r="AR41" s="562">
        <f>'Prod&amp;Consp'!AU57*$C$14/1000</f>
        <v>27111.965625000001</v>
      </c>
      <c r="AS41" s="553">
        <f>'Prod&amp;Consp'!AV57*$C$14/1000</f>
        <v>14810.090625000001</v>
      </c>
      <c r="AT41" s="553">
        <f>'Prod&amp;Consp'!AW57*$C$14/1000</f>
        <v>14810.090625000001</v>
      </c>
      <c r="AU41" s="553">
        <f>'Prod&amp;Consp'!AX57*$C$14/1000</f>
        <v>14810.090625000001</v>
      </c>
      <c r="AV41" s="553">
        <f>'Prod&amp;Consp'!AY57*$C$14/1000</f>
        <v>14810.090625000001</v>
      </c>
      <c r="AW41" s="560">
        <f t="shared" si="131"/>
        <v>202324.83750000005</v>
      </c>
      <c r="AX41" s="565"/>
      <c r="AY41" s="553">
        <f>'Prod&amp;Consp'!BB57*$C$14/1000</f>
        <v>14810.090625000001</v>
      </c>
      <c r="AZ41" s="553">
        <f>'Prod&amp;Consp'!BC57*$C$14/1000</f>
        <v>14810.090625000001</v>
      </c>
      <c r="BA41" s="553">
        <f>'Prod&amp;Consp'!BD57*$C$14/1000</f>
        <v>14810.090625000001</v>
      </c>
      <c r="BB41" s="553">
        <f>'Prod&amp;Consp'!BE57*$C$14/1000</f>
        <v>14810.090625000001</v>
      </c>
      <c r="BC41" s="553">
        <f>'Prod&amp;Consp'!BF57*$C$14/1000</f>
        <v>14810.090625000001</v>
      </c>
      <c r="BD41" s="553">
        <f>'Prod&amp;Consp'!BG57*$C$14/1000</f>
        <v>14810.090625000001</v>
      </c>
      <c r="BE41" s="553">
        <f>'Prod&amp;Consp'!BH57*$C$14/1000</f>
        <v>14810.090625000001</v>
      </c>
      <c r="BF41" s="553">
        <f>'Prod&amp;Consp'!BI57*$C$14/1000</f>
        <v>14810.090625000001</v>
      </c>
      <c r="BG41" s="553">
        <f>'Prod&amp;Consp'!BJ57*$C$14/1000</f>
        <v>14810.090625000001</v>
      </c>
      <c r="BH41" s="553">
        <f>'Prod&amp;Consp'!BK57*$C$14/1000</f>
        <v>14810.090625000001</v>
      </c>
      <c r="BI41" s="553">
        <f>'Prod&amp;Consp'!BL57*$C$14/1000</f>
        <v>14810.090625000001</v>
      </c>
      <c r="BJ41" s="553">
        <f>'Prod&amp;Consp'!BM57*$C$14/1000</f>
        <v>14810.090625000001</v>
      </c>
      <c r="BK41" s="560">
        <f t="shared" si="132"/>
        <v>177721.08750000002</v>
      </c>
      <c r="BL41" s="565"/>
      <c r="BM41" s="553">
        <f>'Prod&amp;Consp'!BP57*$C$14/1000</f>
        <v>27111.965625000001</v>
      </c>
      <c r="BN41" s="562">
        <f>'Prod&amp;Consp'!BQ57*$C$14/1000</f>
        <v>27111.965625000001</v>
      </c>
      <c r="BO41" s="553">
        <f>'Prod&amp;Consp'!BR57*$C$14/1000</f>
        <v>14810.090625000001</v>
      </c>
      <c r="BP41" s="553">
        <f>'Prod&amp;Consp'!BS57*$C$14/1000</f>
        <v>14810.090625000001</v>
      </c>
      <c r="BQ41" s="553">
        <f>'Prod&amp;Consp'!BT57*$C$14/1000</f>
        <v>14810.090625000001</v>
      </c>
      <c r="BR41" s="553">
        <f>'Prod&amp;Consp'!BU57*$C$14/1000</f>
        <v>14810.090625000001</v>
      </c>
      <c r="BS41" s="553">
        <f>'Prod&amp;Consp'!BV57*$C$14/1000</f>
        <v>14810.090625000001</v>
      </c>
      <c r="BT41" s="553">
        <f>'Prod&amp;Consp'!BW57*$C$14/1000</f>
        <v>14810.090625000001</v>
      </c>
      <c r="BU41" s="553">
        <f>'Prod&amp;Consp'!BX57*$C$14/1000</f>
        <v>14810.090625000001</v>
      </c>
      <c r="BV41" s="553">
        <f>'Prod&amp;Consp'!BY57*$C$14/1000</f>
        <v>14810.090625000001</v>
      </c>
      <c r="BW41" s="553">
        <f>'Prod&amp;Consp'!BZ57*$C$14/1000</f>
        <v>14810.090625000001</v>
      </c>
      <c r="BX41" s="553">
        <f>'Prod&amp;Consp'!CA57*$C$14/1000</f>
        <v>14810.090625000001</v>
      </c>
      <c r="BY41" s="560">
        <f t="shared" si="133"/>
        <v>202324.83750000005</v>
      </c>
      <c r="BZ41" s="565"/>
      <c r="CA41" s="553">
        <f>'Prod&amp;Consp'!CD57*$C$14/1000</f>
        <v>14810.090625000001</v>
      </c>
      <c r="CB41" s="553">
        <f>'Prod&amp;Consp'!CE57*$C$14/1000</f>
        <v>14810.090625000001</v>
      </c>
      <c r="CC41" s="553">
        <f>'Prod&amp;Consp'!CF57*$C$14/1000</f>
        <v>14810.090625000001</v>
      </c>
      <c r="CD41" s="553">
        <f>'Prod&amp;Consp'!CG57*$C$14/1000</f>
        <v>14810.090625000001</v>
      </c>
      <c r="CE41" s="553">
        <f>'Prod&amp;Consp'!CH57*$C$14/1000</f>
        <v>14810.090625000001</v>
      </c>
      <c r="CF41" s="553">
        <f>'Prod&amp;Consp'!CI57*$C$14/1000</f>
        <v>14810.090625000001</v>
      </c>
      <c r="CG41" s="553">
        <f>'Prod&amp;Consp'!CJ57*$C$14/1000</f>
        <v>27111.965625000001</v>
      </c>
      <c r="CH41" s="562">
        <f>'Prod&amp;Consp'!CK57*$C$14/1000</f>
        <v>27111.965625000001</v>
      </c>
      <c r="CI41" s="553">
        <f>'Prod&amp;Consp'!CL57*$C$14/1000</f>
        <v>14810.090625000001</v>
      </c>
      <c r="CJ41" s="553">
        <f>'Prod&amp;Consp'!CM57*$C$14/1000</f>
        <v>14810.090625000001</v>
      </c>
      <c r="CK41" s="553">
        <f>'Prod&amp;Consp'!CN57*$C$14/1000</f>
        <v>14810.090625000001</v>
      </c>
      <c r="CL41" s="553">
        <f>'Prod&amp;Consp'!CO57*$C$14/1000</f>
        <v>14810.090625000001</v>
      </c>
      <c r="CM41" s="560">
        <f t="shared" si="134"/>
        <v>202324.83750000005</v>
      </c>
      <c r="CN41" s="565"/>
      <c r="CO41" s="553">
        <f>'Prod&amp;Consp'!CR57*$C$14/1000</f>
        <v>14810.090625000001</v>
      </c>
      <c r="CP41" s="553">
        <f>'Prod&amp;Consp'!CS57*$C$14/1000</f>
        <v>14810.090625000001</v>
      </c>
      <c r="CQ41" s="553">
        <f>'Prod&amp;Consp'!CT57*$C$14/1000</f>
        <v>14810.090625000001</v>
      </c>
      <c r="CR41" s="553">
        <f>'Prod&amp;Consp'!CU57*$C$14/1000</f>
        <v>14810.090625000001</v>
      </c>
      <c r="CS41" s="553">
        <f>'Prod&amp;Consp'!CV57*$C$14/1000</f>
        <v>14810.090625000001</v>
      </c>
      <c r="CT41" s="553">
        <f>'Prod&amp;Consp'!CW57*$C$14/1000</f>
        <v>14810.090625000001</v>
      </c>
      <c r="CU41" s="553">
        <f>'Prod&amp;Consp'!CX57*$C$14/1000</f>
        <v>14810.090625000001</v>
      </c>
      <c r="CV41" s="553">
        <f>'Prod&amp;Consp'!CY57*$C$14/1000</f>
        <v>14810.090625000001</v>
      </c>
      <c r="CW41" s="553">
        <f>'Prod&amp;Consp'!CZ57*$C$14/1000</f>
        <v>14810.090625000001</v>
      </c>
      <c r="CX41" s="553">
        <f>'Prod&amp;Consp'!DA57*$C$14/1000</f>
        <v>14810.090625000001</v>
      </c>
      <c r="CY41" s="553">
        <f>'Prod&amp;Consp'!DB57*$C$14/1000</f>
        <v>14810.090625000001</v>
      </c>
      <c r="CZ41" s="553">
        <f>'Prod&amp;Consp'!DC57*$C$14/1000</f>
        <v>14810.090625000001</v>
      </c>
      <c r="DA41" s="560">
        <f t="shared" si="135"/>
        <v>177721.08750000002</v>
      </c>
      <c r="DB41" s="565"/>
      <c r="DC41" s="553">
        <f>'Prod&amp;Consp'!DF57*$C$14/1000</f>
        <v>27111.965625000001</v>
      </c>
      <c r="DD41" s="562">
        <f>'Prod&amp;Consp'!DG57*$C$14/1000</f>
        <v>27111.965625000001</v>
      </c>
      <c r="DE41" s="553">
        <f>'Prod&amp;Consp'!DH57*$C$14/1000</f>
        <v>14810.090625000001</v>
      </c>
      <c r="DF41" s="553">
        <f>'Prod&amp;Consp'!DI57*$C$14/1000</f>
        <v>14810.090625000001</v>
      </c>
      <c r="DG41" s="553">
        <f>'Prod&amp;Consp'!DJ57*$C$14/1000</f>
        <v>14810.090625000001</v>
      </c>
      <c r="DH41" s="553">
        <f>'Prod&amp;Consp'!DK57*$C$14/1000</f>
        <v>14810.090625000001</v>
      </c>
      <c r="DI41" s="553">
        <f>'Prod&amp;Consp'!DL57*$C$14/1000</f>
        <v>14810.090625000001</v>
      </c>
      <c r="DJ41" s="553">
        <f>'Prod&amp;Consp'!DM57*$C$14/1000</f>
        <v>14810.090625000001</v>
      </c>
      <c r="DK41" s="553">
        <f>'Prod&amp;Consp'!DN57*$C$14/1000</f>
        <v>14810.090625000001</v>
      </c>
      <c r="DL41" s="553">
        <f>'Prod&amp;Consp'!DO57*$C$14/1000</f>
        <v>14810.090625000001</v>
      </c>
      <c r="DM41" s="553">
        <f>'Prod&amp;Consp'!DP57*$C$14/1000</f>
        <v>14810.090625000001</v>
      </c>
      <c r="DN41" s="553">
        <f>'Prod&amp;Consp'!DQ57*$C$14/1000</f>
        <v>14810.090625000001</v>
      </c>
      <c r="DO41" s="560">
        <f t="shared" si="136"/>
        <v>202324.83750000005</v>
      </c>
      <c r="DP41" s="565"/>
      <c r="DQ41" s="553">
        <f>'Prod&amp;Consp'!DT57*$C$14/1000</f>
        <v>14810.090625000001</v>
      </c>
      <c r="DR41" s="553">
        <f>'Prod&amp;Consp'!DU57*$C$14/1000</f>
        <v>14810.090625000001</v>
      </c>
      <c r="DS41" s="553">
        <f>'Prod&amp;Consp'!DV57*$C$14/1000</f>
        <v>14810.090625000001</v>
      </c>
      <c r="DT41" s="553">
        <f>'Prod&amp;Consp'!DW57*$C$14/1000</f>
        <v>14810.090625000001</v>
      </c>
      <c r="DU41" s="553">
        <f>'Prod&amp;Consp'!DX57*$C$14/1000</f>
        <v>14810.090625000001</v>
      </c>
      <c r="DV41" s="553">
        <f>'Prod&amp;Consp'!DY57*$C$14/1000</f>
        <v>14810.090625000001</v>
      </c>
      <c r="DW41" s="553">
        <f>'Prod&amp;Consp'!DZ57*$C$14/1000</f>
        <v>27111.965625000001</v>
      </c>
      <c r="DX41" s="562">
        <f>'Prod&amp;Consp'!EA57*$C$14/1000</f>
        <v>27111.965625000001</v>
      </c>
      <c r="DY41" s="553">
        <f>'Prod&amp;Consp'!EB57*$C$14/1000</f>
        <v>14810.090625000001</v>
      </c>
      <c r="DZ41" s="553">
        <f>'Prod&amp;Consp'!EC57*$C$14/1000</f>
        <v>14810.090625000001</v>
      </c>
      <c r="EA41" s="553">
        <f>'Prod&amp;Consp'!ED57*$C$14/1000</f>
        <v>14810.090625000001</v>
      </c>
      <c r="EB41" s="553">
        <f>'Prod&amp;Consp'!EE57*$C$14/1000</f>
        <v>14810.090625000001</v>
      </c>
      <c r="EC41" s="560">
        <f t="shared" si="137"/>
        <v>202324.83750000005</v>
      </c>
      <c r="ED41" s="565"/>
      <c r="EE41" s="553">
        <f>'Prod&amp;Consp'!EH57*$C$14/1000</f>
        <v>14810.090625000001</v>
      </c>
      <c r="EF41" s="553">
        <f>'Prod&amp;Consp'!EI57*$C$14/1000</f>
        <v>14810.090625000001</v>
      </c>
      <c r="EG41" s="553">
        <f>'Prod&amp;Consp'!EJ57*$C$14/1000</f>
        <v>14810.090625000001</v>
      </c>
      <c r="EH41" s="553">
        <f>'Prod&amp;Consp'!EK57*$C$14/1000</f>
        <v>14810.090625000001</v>
      </c>
      <c r="EI41" s="553">
        <f>'Prod&amp;Consp'!EL57*$C$14/1000</f>
        <v>14810.090625000001</v>
      </c>
      <c r="EJ41" s="553">
        <f>'Prod&amp;Consp'!EM57*$C$14/1000</f>
        <v>14810.090625000001</v>
      </c>
      <c r="EK41" s="553">
        <f>'Prod&amp;Consp'!EN57*$C$14/1000</f>
        <v>14810.090625000001</v>
      </c>
      <c r="EL41" s="553">
        <f>'Prod&amp;Consp'!EO57*$C$14/1000</f>
        <v>14810.090625000001</v>
      </c>
      <c r="EM41" s="553">
        <f>'Prod&amp;Consp'!EP57*$C$14/1000</f>
        <v>14810.090625000001</v>
      </c>
      <c r="EN41" s="553">
        <f>'Prod&amp;Consp'!EQ57*$C$14/1000</f>
        <v>14810.090625000001</v>
      </c>
      <c r="EO41" s="553">
        <f>'Prod&amp;Consp'!ER57*$C$14/1000</f>
        <v>14810.090625000001</v>
      </c>
      <c r="EP41" s="553">
        <f>'Prod&amp;Consp'!ES57*$C$14/1000</f>
        <v>14810.090625000001</v>
      </c>
      <c r="EQ41" s="560">
        <f t="shared" si="138"/>
        <v>177721.08750000002</v>
      </c>
      <c r="ET41" s="536"/>
      <c r="EU41" s="531" t="s">
        <v>10</v>
      </c>
      <c r="EV41" s="4" t="s">
        <v>666</v>
      </c>
      <c r="EX41" s="553">
        <f t="shared" si="139"/>
        <v>172704.65625</v>
      </c>
      <c r="EY41" s="553">
        <f t="shared" si="140"/>
        <v>202324.83750000005</v>
      </c>
      <c r="EZ41" s="553">
        <f t="shared" si="141"/>
        <v>177721.08750000002</v>
      </c>
      <c r="FA41" s="553">
        <f t="shared" si="142"/>
        <v>202324.83750000005</v>
      </c>
      <c r="FB41" s="553">
        <f t="shared" si="143"/>
        <v>202324.83750000005</v>
      </c>
      <c r="FC41" s="553">
        <f t="shared" si="144"/>
        <v>177721.08750000002</v>
      </c>
      <c r="FD41" s="553">
        <f t="shared" si="145"/>
        <v>202324.83750000005</v>
      </c>
      <c r="FE41" s="553">
        <f t="shared" si="146"/>
        <v>202324.83750000005</v>
      </c>
      <c r="FF41" s="553">
        <f t="shared" si="147"/>
        <v>177721.08750000002</v>
      </c>
    </row>
    <row r="42" spans="1:162" ht="10.5" customHeight="1" x14ac:dyDescent="0.35">
      <c r="B42" s="531"/>
      <c r="F42" s="536"/>
      <c r="G42" s="531" t="s">
        <v>13</v>
      </c>
      <c r="H42" s="4" t="s">
        <v>1015</v>
      </c>
      <c r="V42" s="565"/>
      <c r="W42" s="553">
        <f>'Prod&amp;Consp'!Z58*$C$15/1000</f>
        <v>84758.399999999994</v>
      </c>
      <c r="X42" s="553">
        <f>'Prod&amp;Consp'!AA58*$C$15/1000</f>
        <v>84758.399999999994</v>
      </c>
      <c r="Y42" s="553">
        <f>'Prod&amp;Consp'!AB58*$C$15/1000</f>
        <v>102039.696</v>
      </c>
      <c r="Z42" s="553">
        <f>'Prod&amp;Consp'!AC58*$C$15/1000</f>
        <v>102039.696</v>
      </c>
      <c r="AA42" s="553">
        <f>'Prod&amp;Consp'!AD58*$C$15/1000</f>
        <v>102039.696</v>
      </c>
      <c r="AB42" s="553">
        <f>'Prod&amp;Consp'!AE58*$C$15/1000</f>
        <v>102039.696</v>
      </c>
      <c r="AC42" s="553">
        <f>'Prod&amp;Consp'!AF58*$C$15/1000</f>
        <v>102039.696</v>
      </c>
      <c r="AD42" s="553">
        <f>'Prod&amp;Consp'!AG58*$C$15/1000</f>
        <v>102039.696</v>
      </c>
      <c r="AE42" s="553">
        <f>'Prod&amp;Consp'!AH58*$C$15/1000</f>
        <v>102039.696</v>
      </c>
      <c r="AF42" s="553">
        <f>'Prod&amp;Consp'!AI58*$C$15/1000</f>
        <v>102039.696</v>
      </c>
      <c r="AG42" s="553">
        <f>'Prod&amp;Consp'!AJ58*$C$15/1000</f>
        <v>102039.696</v>
      </c>
      <c r="AH42" s="553">
        <f>'Prod&amp;Consp'!AK58*$C$15/1000</f>
        <v>102039.696</v>
      </c>
      <c r="AI42" s="560">
        <f t="shared" si="130"/>
        <v>1189913.76</v>
      </c>
      <c r="AJ42" s="565"/>
      <c r="AK42" s="553">
        <f>'Prod&amp;Consp'!AN58*$C$15/1000</f>
        <v>102039.696</v>
      </c>
      <c r="AL42" s="553">
        <f>'Prod&amp;Consp'!AO58*$C$15/1000</f>
        <v>102039.696</v>
      </c>
      <c r="AM42" s="553">
        <f>'Prod&amp;Consp'!AP58*$C$15/1000</f>
        <v>102039.696</v>
      </c>
      <c r="AN42" s="553">
        <f>'Prod&amp;Consp'!AQ58*$C$15/1000</f>
        <v>102039.696</v>
      </c>
      <c r="AO42" s="553">
        <f>'Prod&amp;Consp'!AR58*$C$15/1000</f>
        <v>102039.696</v>
      </c>
      <c r="AP42" s="553">
        <f>'Prod&amp;Consp'!AS58*$C$15/1000</f>
        <v>102039.696</v>
      </c>
      <c r="AQ42" s="553">
        <f>'Prod&amp;Consp'!AT58*$C$15/1000</f>
        <v>186798.09599999999</v>
      </c>
      <c r="AR42" s="562">
        <f>'Prod&amp;Consp'!AU58*$C$15/1000</f>
        <v>186798.09599999999</v>
      </c>
      <c r="AS42" s="553">
        <f>'Prod&amp;Consp'!AV58*$C$15/1000</f>
        <v>102039.696</v>
      </c>
      <c r="AT42" s="553">
        <f>'Prod&amp;Consp'!AW58*$C$15/1000</f>
        <v>102039.696</v>
      </c>
      <c r="AU42" s="553">
        <f>'Prod&amp;Consp'!AX58*$C$15/1000</f>
        <v>102039.696</v>
      </c>
      <c r="AV42" s="553">
        <f>'Prod&amp;Consp'!AY58*$C$15/1000</f>
        <v>102039.696</v>
      </c>
      <c r="AW42" s="560">
        <f t="shared" si="131"/>
        <v>1393993.152</v>
      </c>
      <c r="AX42" s="565"/>
      <c r="AY42" s="553">
        <f>'Prod&amp;Consp'!BB58*$C$15/1000</f>
        <v>102039.696</v>
      </c>
      <c r="AZ42" s="553">
        <f>'Prod&amp;Consp'!BC58*$C$15/1000</f>
        <v>102039.696</v>
      </c>
      <c r="BA42" s="553">
        <f>'Prod&amp;Consp'!BD58*$C$15/1000</f>
        <v>102039.696</v>
      </c>
      <c r="BB42" s="553">
        <f>'Prod&amp;Consp'!BE58*$C$15/1000</f>
        <v>102039.696</v>
      </c>
      <c r="BC42" s="553">
        <f>'Prod&amp;Consp'!BF58*$C$15/1000</f>
        <v>102039.696</v>
      </c>
      <c r="BD42" s="553">
        <f>'Prod&amp;Consp'!BG58*$C$15/1000</f>
        <v>102039.696</v>
      </c>
      <c r="BE42" s="553">
        <f>'Prod&amp;Consp'!BH58*$C$15/1000</f>
        <v>102039.696</v>
      </c>
      <c r="BF42" s="553">
        <f>'Prod&amp;Consp'!BI58*$C$15/1000</f>
        <v>102039.696</v>
      </c>
      <c r="BG42" s="553">
        <f>'Prod&amp;Consp'!BJ58*$C$15/1000</f>
        <v>102039.696</v>
      </c>
      <c r="BH42" s="553">
        <f>'Prod&amp;Consp'!BK58*$C$15/1000</f>
        <v>102039.696</v>
      </c>
      <c r="BI42" s="553">
        <f>'Prod&amp;Consp'!BL58*$C$15/1000</f>
        <v>102039.696</v>
      </c>
      <c r="BJ42" s="553">
        <f>'Prod&amp;Consp'!BM58*$C$15/1000</f>
        <v>102039.696</v>
      </c>
      <c r="BK42" s="560">
        <f t="shared" si="132"/>
        <v>1224476.352</v>
      </c>
      <c r="BL42" s="565"/>
      <c r="BM42" s="553">
        <f>'Prod&amp;Consp'!BP58*$C$15/1000</f>
        <v>186798.09599999999</v>
      </c>
      <c r="BN42" s="562">
        <f>'Prod&amp;Consp'!BQ58*$C$15/1000</f>
        <v>186798.09599999999</v>
      </c>
      <c r="BO42" s="553">
        <f>'Prod&amp;Consp'!BR58*$C$15/1000</f>
        <v>102039.696</v>
      </c>
      <c r="BP42" s="553">
        <f>'Prod&amp;Consp'!BS58*$C$15/1000</f>
        <v>102039.696</v>
      </c>
      <c r="BQ42" s="553">
        <f>'Prod&amp;Consp'!BT58*$C$15/1000</f>
        <v>102039.696</v>
      </c>
      <c r="BR42" s="553">
        <f>'Prod&amp;Consp'!BU58*$C$15/1000</f>
        <v>102039.696</v>
      </c>
      <c r="BS42" s="553">
        <f>'Prod&amp;Consp'!BV58*$C$15/1000</f>
        <v>102039.696</v>
      </c>
      <c r="BT42" s="553">
        <f>'Prod&amp;Consp'!BW58*$C$15/1000</f>
        <v>102039.696</v>
      </c>
      <c r="BU42" s="553">
        <f>'Prod&amp;Consp'!BX58*$C$15/1000</f>
        <v>102039.696</v>
      </c>
      <c r="BV42" s="553">
        <f>'Prod&amp;Consp'!BY58*$C$15/1000</f>
        <v>102039.696</v>
      </c>
      <c r="BW42" s="553">
        <f>'Prod&amp;Consp'!BZ58*$C$15/1000</f>
        <v>102039.696</v>
      </c>
      <c r="BX42" s="553">
        <f>'Prod&amp;Consp'!CA58*$C$15/1000</f>
        <v>102039.696</v>
      </c>
      <c r="BY42" s="560">
        <f t="shared" si="133"/>
        <v>1393993.152</v>
      </c>
      <c r="BZ42" s="565"/>
      <c r="CA42" s="553">
        <f>'Prod&amp;Consp'!CD58*$C$15/1000</f>
        <v>102039.696</v>
      </c>
      <c r="CB42" s="553">
        <f>'Prod&amp;Consp'!CE58*$C$15/1000</f>
        <v>102039.696</v>
      </c>
      <c r="CC42" s="553">
        <f>'Prod&amp;Consp'!CF58*$C$15/1000</f>
        <v>102039.696</v>
      </c>
      <c r="CD42" s="553">
        <f>'Prod&amp;Consp'!CG58*$C$15/1000</f>
        <v>102039.696</v>
      </c>
      <c r="CE42" s="553">
        <f>'Prod&amp;Consp'!CH58*$C$15/1000</f>
        <v>102039.696</v>
      </c>
      <c r="CF42" s="553">
        <f>'Prod&amp;Consp'!CI58*$C$15/1000</f>
        <v>102039.696</v>
      </c>
      <c r="CG42" s="553">
        <f>'Prod&amp;Consp'!CJ58*$C$15/1000</f>
        <v>186798.09599999999</v>
      </c>
      <c r="CH42" s="562">
        <f>'Prod&amp;Consp'!CK58*$C$15/1000</f>
        <v>186798.09599999999</v>
      </c>
      <c r="CI42" s="553">
        <f>'Prod&amp;Consp'!CL58*$C$15/1000</f>
        <v>102039.696</v>
      </c>
      <c r="CJ42" s="553">
        <f>'Prod&amp;Consp'!CM58*$C$15/1000</f>
        <v>102039.696</v>
      </c>
      <c r="CK42" s="553">
        <f>'Prod&amp;Consp'!CN58*$C$15/1000</f>
        <v>102039.696</v>
      </c>
      <c r="CL42" s="553">
        <f>'Prod&amp;Consp'!CO58*$C$15/1000</f>
        <v>102039.696</v>
      </c>
      <c r="CM42" s="560">
        <f t="shared" si="134"/>
        <v>1393993.152</v>
      </c>
      <c r="CN42" s="565"/>
      <c r="CO42" s="553">
        <f>'Prod&amp;Consp'!CR58*$C$15/1000</f>
        <v>102039.696</v>
      </c>
      <c r="CP42" s="553">
        <f>'Prod&amp;Consp'!CS58*$C$15/1000</f>
        <v>102039.696</v>
      </c>
      <c r="CQ42" s="553">
        <f>'Prod&amp;Consp'!CT58*$C$15/1000</f>
        <v>102039.696</v>
      </c>
      <c r="CR42" s="553">
        <f>'Prod&amp;Consp'!CU58*$C$15/1000</f>
        <v>102039.696</v>
      </c>
      <c r="CS42" s="553">
        <f>'Prod&amp;Consp'!CV58*$C$15/1000</f>
        <v>102039.696</v>
      </c>
      <c r="CT42" s="553">
        <f>'Prod&amp;Consp'!CW58*$C$15/1000</f>
        <v>102039.696</v>
      </c>
      <c r="CU42" s="553">
        <f>'Prod&amp;Consp'!CX58*$C$15/1000</f>
        <v>102039.696</v>
      </c>
      <c r="CV42" s="553">
        <f>'Prod&amp;Consp'!CY58*$C$15/1000</f>
        <v>102039.696</v>
      </c>
      <c r="CW42" s="553">
        <f>'Prod&amp;Consp'!CZ58*$C$15/1000</f>
        <v>102039.696</v>
      </c>
      <c r="CX42" s="553">
        <f>'Prod&amp;Consp'!DA58*$C$15/1000</f>
        <v>102039.696</v>
      </c>
      <c r="CY42" s="553">
        <f>'Prod&amp;Consp'!DB58*$C$15/1000</f>
        <v>102039.696</v>
      </c>
      <c r="CZ42" s="553">
        <f>'Prod&amp;Consp'!DC58*$C$15/1000</f>
        <v>102039.696</v>
      </c>
      <c r="DA42" s="560">
        <f t="shared" si="135"/>
        <v>1224476.352</v>
      </c>
      <c r="DB42" s="565"/>
      <c r="DC42" s="553">
        <f>'Prod&amp;Consp'!DF58*$C$15/1000</f>
        <v>186798.09599999999</v>
      </c>
      <c r="DD42" s="562">
        <f>'Prod&amp;Consp'!DG58*$C$15/1000</f>
        <v>186798.09599999999</v>
      </c>
      <c r="DE42" s="553">
        <f>'Prod&amp;Consp'!DH58*$C$15/1000</f>
        <v>102039.696</v>
      </c>
      <c r="DF42" s="553">
        <f>'Prod&amp;Consp'!DI58*$C$15/1000</f>
        <v>102039.696</v>
      </c>
      <c r="DG42" s="553">
        <f>'Prod&amp;Consp'!DJ58*$C$15/1000</f>
        <v>102039.696</v>
      </c>
      <c r="DH42" s="553">
        <f>'Prod&amp;Consp'!DK58*$C$15/1000</f>
        <v>102039.696</v>
      </c>
      <c r="DI42" s="553">
        <f>'Prod&amp;Consp'!DL58*$C$15/1000</f>
        <v>102039.696</v>
      </c>
      <c r="DJ42" s="553">
        <f>'Prod&amp;Consp'!DM58*$C$15/1000</f>
        <v>102039.696</v>
      </c>
      <c r="DK42" s="553">
        <f>'Prod&amp;Consp'!DN58*$C$15/1000</f>
        <v>102039.696</v>
      </c>
      <c r="DL42" s="553">
        <f>'Prod&amp;Consp'!DO58*$C$15/1000</f>
        <v>102039.696</v>
      </c>
      <c r="DM42" s="553">
        <f>'Prod&amp;Consp'!DP58*$C$15/1000</f>
        <v>102039.696</v>
      </c>
      <c r="DN42" s="553">
        <f>'Prod&amp;Consp'!DQ58*$C$15/1000</f>
        <v>102039.696</v>
      </c>
      <c r="DO42" s="560">
        <f t="shared" si="136"/>
        <v>1393993.152</v>
      </c>
      <c r="DP42" s="565"/>
      <c r="DQ42" s="553">
        <f>'Prod&amp;Consp'!DT58*$C$15/1000</f>
        <v>102039.696</v>
      </c>
      <c r="DR42" s="553">
        <f>'Prod&amp;Consp'!DU58*$C$15/1000</f>
        <v>102039.696</v>
      </c>
      <c r="DS42" s="553">
        <f>'Prod&amp;Consp'!DV58*$C$15/1000</f>
        <v>102039.696</v>
      </c>
      <c r="DT42" s="553">
        <f>'Prod&amp;Consp'!DW58*$C$15/1000</f>
        <v>102039.696</v>
      </c>
      <c r="DU42" s="553">
        <f>'Prod&amp;Consp'!DX58*$C$15/1000</f>
        <v>102039.696</v>
      </c>
      <c r="DV42" s="553">
        <f>'Prod&amp;Consp'!DY58*$C$15/1000</f>
        <v>102039.696</v>
      </c>
      <c r="DW42" s="553">
        <f>'Prod&amp;Consp'!DZ58*$C$15/1000</f>
        <v>186798.09599999999</v>
      </c>
      <c r="DX42" s="562">
        <f>'Prod&amp;Consp'!EA58*$C$15/1000</f>
        <v>186798.09599999999</v>
      </c>
      <c r="DY42" s="553">
        <f>'Prod&amp;Consp'!EB58*$C$15/1000</f>
        <v>102039.696</v>
      </c>
      <c r="DZ42" s="553">
        <f>'Prod&amp;Consp'!EC58*$C$15/1000</f>
        <v>102039.696</v>
      </c>
      <c r="EA42" s="553">
        <f>'Prod&amp;Consp'!ED58*$C$15/1000</f>
        <v>102039.696</v>
      </c>
      <c r="EB42" s="553">
        <f>'Prod&amp;Consp'!EE58*$C$15/1000</f>
        <v>102039.696</v>
      </c>
      <c r="EC42" s="560">
        <f t="shared" si="137"/>
        <v>1393993.152</v>
      </c>
      <c r="ED42" s="565"/>
      <c r="EE42" s="553">
        <f>'Prod&amp;Consp'!EH58*$C$15/1000</f>
        <v>102039.696</v>
      </c>
      <c r="EF42" s="553">
        <f>'Prod&amp;Consp'!EI58*$C$15/1000</f>
        <v>102039.696</v>
      </c>
      <c r="EG42" s="553">
        <f>'Prod&amp;Consp'!EJ58*$C$15/1000</f>
        <v>102039.696</v>
      </c>
      <c r="EH42" s="553">
        <f>'Prod&amp;Consp'!EK58*$C$15/1000</f>
        <v>102039.696</v>
      </c>
      <c r="EI42" s="553">
        <f>'Prod&amp;Consp'!EL58*$C$15/1000</f>
        <v>102039.696</v>
      </c>
      <c r="EJ42" s="553">
        <f>'Prod&amp;Consp'!EM58*$C$15/1000</f>
        <v>102039.696</v>
      </c>
      <c r="EK42" s="553">
        <f>'Prod&amp;Consp'!EN58*$C$15/1000</f>
        <v>102039.696</v>
      </c>
      <c r="EL42" s="553">
        <f>'Prod&amp;Consp'!EO58*$C$15/1000</f>
        <v>102039.696</v>
      </c>
      <c r="EM42" s="553">
        <f>'Prod&amp;Consp'!EP58*$C$15/1000</f>
        <v>102039.696</v>
      </c>
      <c r="EN42" s="553">
        <f>'Prod&amp;Consp'!EQ58*$C$15/1000</f>
        <v>102039.696</v>
      </c>
      <c r="EO42" s="553">
        <f>'Prod&amp;Consp'!ER58*$C$15/1000</f>
        <v>102039.696</v>
      </c>
      <c r="EP42" s="553">
        <f>'Prod&amp;Consp'!ES58*$C$15/1000</f>
        <v>102039.696</v>
      </c>
      <c r="EQ42" s="560">
        <f t="shared" si="138"/>
        <v>1224476.352</v>
      </c>
      <c r="ET42" s="536"/>
      <c r="EU42" s="531" t="s">
        <v>13</v>
      </c>
      <c r="EV42" s="4" t="s">
        <v>1015</v>
      </c>
      <c r="EX42" s="553">
        <f t="shared" si="139"/>
        <v>1189913.76</v>
      </c>
      <c r="EY42" s="553">
        <f t="shared" si="140"/>
        <v>1393993.152</v>
      </c>
      <c r="EZ42" s="553">
        <f t="shared" si="141"/>
        <v>1224476.352</v>
      </c>
      <c r="FA42" s="553">
        <f t="shared" si="142"/>
        <v>1393993.152</v>
      </c>
      <c r="FB42" s="553">
        <f t="shared" si="143"/>
        <v>1393993.152</v>
      </c>
      <c r="FC42" s="553">
        <f t="shared" si="144"/>
        <v>1224476.352</v>
      </c>
      <c r="FD42" s="553">
        <f t="shared" si="145"/>
        <v>1393993.152</v>
      </c>
      <c r="FE42" s="553">
        <f t="shared" si="146"/>
        <v>1393993.152</v>
      </c>
      <c r="FF42" s="553">
        <f t="shared" si="147"/>
        <v>1224476.352</v>
      </c>
    </row>
    <row r="43" spans="1:162" ht="10.5" customHeight="1" x14ac:dyDescent="0.35">
      <c r="B43" s="531"/>
      <c r="F43" s="536"/>
      <c r="G43" s="531" t="s">
        <v>15</v>
      </c>
      <c r="H43" s="4" t="s">
        <v>1016</v>
      </c>
      <c r="V43" s="565"/>
      <c r="W43" s="553">
        <f>'Prod&amp;Consp'!Z59*$C$16/1000</f>
        <v>97.2</v>
      </c>
      <c r="X43" s="553">
        <f>'Prod&amp;Consp'!AA59*$C$16/1000</f>
        <v>97.2</v>
      </c>
      <c r="Y43" s="553">
        <f>'Prod&amp;Consp'!AB59*$C$16/1000</f>
        <v>117.018</v>
      </c>
      <c r="Z43" s="553">
        <f>'Prod&amp;Consp'!AC59*$C$16/1000</f>
        <v>117.018</v>
      </c>
      <c r="AA43" s="553">
        <f>'Prod&amp;Consp'!AD59*$C$16/1000</f>
        <v>117.018</v>
      </c>
      <c r="AB43" s="553">
        <f>'Prod&amp;Consp'!AE59*$C$16/1000</f>
        <v>117.018</v>
      </c>
      <c r="AC43" s="553">
        <f>'Prod&amp;Consp'!AF59*$C$16/1000</f>
        <v>117.018</v>
      </c>
      <c r="AD43" s="553">
        <f>'Prod&amp;Consp'!AG59*$C$16/1000</f>
        <v>117.018</v>
      </c>
      <c r="AE43" s="553">
        <f>'Prod&amp;Consp'!AH59*$C$16/1000</f>
        <v>117.018</v>
      </c>
      <c r="AF43" s="553">
        <f>'Prod&amp;Consp'!AI59*$C$16/1000</f>
        <v>117.018</v>
      </c>
      <c r="AG43" s="553">
        <f>'Prod&amp;Consp'!AJ59*$C$16/1000</f>
        <v>117.018</v>
      </c>
      <c r="AH43" s="553">
        <f>'Prod&amp;Consp'!AK59*$C$16/1000</f>
        <v>117.018</v>
      </c>
      <c r="AI43" s="560">
        <f t="shared" si="130"/>
        <v>1364.5800000000002</v>
      </c>
      <c r="AJ43" s="565"/>
      <c r="AK43" s="553">
        <f>'Prod&amp;Consp'!AN59*$C$16/1000</f>
        <v>117.018</v>
      </c>
      <c r="AL43" s="553">
        <f>'Prod&amp;Consp'!AO59*$C$16/1000</f>
        <v>117.018</v>
      </c>
      <c r="AM43" s="553">
        <f>'Prod&amp;Consp'!AP59*$C$16/1000</f>
        <v>117.018</v>
      </c>
      <c r="AN43" s="553">
        <f>'Prod&amp;Consp'!AQ59*$C$16/1000</f>
        <v>117.018</v>
      </c>
      <c r="AO43" s="553">
        <f>'Prod&amp;Consp'!AR59*$C$16/1000</f>
        <v>117.018</v>
      </c>
      <c r="AP43" s="553">
        <f>'Prod&amp;Consp'!AS59*$C$16/1000</f>
        <v>117.018</v>
      </c>
      <c r="AQ43" s="553">
        <f>'Prod&amp;Consp'!AT59*$C$16/1000</f>
        <v>214.21799999999996</v>
      </c>
      <c r="AR43" s="562">
        <f>'Prod&amp;Consp'!AU59*$C$16/1000</f>
        <v>214.21799999999996</v>
      </c>
      <c r="AS43" s="553">
        <f>'Prod&amp;Consp'!AV59*$C$16/1000</f>
        <v>117.018</v>
      </c>
      <c r="AT43" s="553">
        <f>'Prod&amp;Consp'!AW59*$C$16/1000</f>
        <v>117.018</v>
      </c>
      <c r="AU43" s="553">
        <f>'Prod&amp;Consp'!AX59*$C$16/1000</f>
        <v>117.018</v>
      </c>
      <c r="AV43" s="553">
        <f>'Prod&amp;Consp'!AY59*$C$16/1000</f>
        <v>117.018</v>
      </c>
      <c r="AW43" s="560">
        <f t="shared" si="131"/>
        <v>1598.616</v>
      </c>
      <c r="AX43" s="565"/>
      <c r="AY43" s="553">
        <f>'Prod&amp;Consp'!BB59*$C$16/1000</f>
        <v>117.018</v>
      </c>
      <c r="AZ43" s="553">
        <f>'Prod&amp;Consp'!BC59*$C$16/1000</f>
        <v>117.018</v>
      </c>
      <c r="BA43" s="553">
        <f>'Prod&amp;Consp'!BD59*$C$16/1000</f>
        <v>117.018</v>
      </c>
      <c r="BB43" s="553">
        <f>'Prod&amp;Consp'!BE59*$C$16/1000</f>
        <v>117.018</v>
      </c>
      <c r="BC43" s="553">
        <f>'Prod&amp;Consp'!BF59*$C$16/1000</f>
        <v>117.018</v>
      </c>
      <c r="BD43" s="553">
        <f>'Prod&amp;Consp'!BG59*$C$16/1000</f>
        <v>117.018</v>
      </c>
      <c r="BE43" s="553">
        <f>'Prod&amp;Consp'!BH59*$C$16/1000</f>
        <v>117.018</v>
      </c>
      <c r="BF43" s="553">
        <f>'Prod&amp;Consp'!BI59*$C$16/1000</f>
        <v>117.018</v>
      </c>
      <c r="BG43" s="553">
        <f>'Prod&amp;Consp'!BJ59*$C$16/1000</f>
        <v>117.018</v>
      </c>
      <c r="BH43" s="553">
        <f>'Prod&amp;Consp'!BK59*$C$16/1000</f>
        <v>117.018</v>
      </c>
      <c r="BI43" s="553">
        <f>'Prod&amp;Consp'!BL59*$C$16/1000</f>
        <v>117.018</v>
      </c>
      <c r="BJ43" s="553">
        <f>'Prod&amp;Consp'!BM59*$C$16/1000</f>
        <v>117.018</v>
      </c>
      <c r="BK43" s="560">
        <f t="shared" si="132"/>
        <v>1404.2160000000001</v>
      </c>
      <c r="BL43" s="565"/>
      <c r="BM43" s="553">
        <f>'Prod&amp;Consp'!BP59*$C$16/1000</f>
        <v>214.21799999999996</v>
      </c>
      <c r="BN43" s="562">
        <f>'Prod&amp;Consp'!BQ59*$C$16/1000</f>
        <v>214.21799999999996</v>
      </c>
      <c r="BO43" s="553">
        <f>'Prod&amp;Consp'!BR59*$C$16/1000</f>
        <v>117.018</v>
      </c>
      <c r="BP43" s="553">
        <f>'Prod&amp;Consp'!BS59*$C$16/1000</f>
        <v>117.018</v>
      </c>
      <c r="BQ43" s="553">
        <f>'Prod&amp;Consp'!BT59*$C$16/1000</f>
        <v>117.018</v>
      </c>
      <c r="BR43" s="553">
        <f>'Prod&amp;Consp'!BU59*$C$16/1000</f>
        <v>117.018</v>
      </c>
      <c r="BS43" s="553">
        <f>'Prod&amp;Consp'!BV59*$C$16/1000</f>
        <v>117.018</v>
      </c>
      <c r="BT43" s="553">
        <f>'Prod&amp;Consp'!BW59*$C$16/1000</f>
        <v>117.018</v>
      </c>
      <c r="BU43" s="553">
        <f>'Prod&amp;Consp'!BX59*$C$16/1000</f>
        <v>117.018</v>
      </c>
      <c r="BV43" s="553">
        <f>'Prod&amp;Consp'!BY59*$C$16/1000</f>
        <v>117.018</v>
      </c>
      <c r="BW43" s="553">
        <f>'Prod&amp;Consp'!BZ59*$C$16/1000</f>
        <v>117.018</v>
      </c>
      <c r="BX43" s="553">
        <f>'Prod&amp;Consp'!CA59*$C$16/1000</f>
        <v>117.018</v>
      </c>
      <c r="BY43" s="560">
        <f t="shared" si="133"/>
        <v>1598.6160000000002</v>
      </c>
      <c r="BZ43" s="565"/>
      <c r="CA43" s="553">
        <f>'Prod&amp;Consp'!CD59*$C$16/1000</f>
        <v>117.018</v>
      </c>
      <c r="CB43" s="553">
        <f>'Prod&amp;Consp'!CE59*$C$16/1000</f>
        <v>117.018</v>
      </c>
      <c r="CC43" s="553">
        <f>'Prod&amp;Consp'!CF59*$C$16/1000</f>
        <v>117.018</v>
      </c>
      <c r="CD43" s="553">
        <f>'Prod&amp;Consp'!CG59*$C$16/1000</f>
        <v>117.018</v>
      </c>
      <c r="CE43" s="553">
        <f>'Prod&amp;Consp'!CH59*$C$16/1000</f>
        <v>117.018</v>
      </c>
      <c r="CF43" s="553">
        <f>'Prod&amp;Consp'!CI59*$C$16/1000</f>
        <v>117.018</v>
      </c>
      <c r="CG43" s="553">
        <f>'Prod&amp;Consp'!CJ59*$C$16/1000</f>
        <v>214.21799999999996</v>
      </c>
      <c r="CH43" s="562">
        <f>'Prod&amp;Consp'!CK59*$C$16/1000</f>
        <v>214.21799999999996</v>
      </c>
      <c r="CI43" s="553">
        <f>'Prod&amp;Consp'!CL59*$C$16/1000</f>
        <v>117.018</v>
      </c>
      <c r="CJ43" s="553">
        <f>'Prod&amp;Consp'!CM59*$C$16/1000</f>
        <v>117.018</v>
      </c>
      <c r="CK43" s="553">
        <f>'Prod&amp;Consp'!CN59*$C$16/1000</f>
        <v>117.018</v>
      </c>
      <c r="CL43" s="553">
        <f>'Prod&amp;Consp'!CO59*$C$16/1000</f>
        <v>117.018</v>
      </c>
      <c r="CM43" s="560">
        <f t="shared" si="134"/>
        <v>1598.616</v>
      </c>
      <c r="CN43" s="565"/>
      <c r="CO43" s="553">
        <f>'Prod&amp;Consp'!CR59*$C$16/1000</f>
        <v>117.018</v>
      </c>
      <c r="CP43" s="553">
        <f>'Prod&amp;Consp'!CS59*$C$16/1000</f>
        <v>117.018</v>
      </c>
      <c r="CQ43" s="553">
        <f>'Prod&amp;Consp'!CT59*$C$16/1000</f>
        <v>117.018</v>
      </c>
      <c r="CR43" s="553">
        <f>'Prod&amp;Consp'!CU59*$C$16/1000</f>
        <v>117.018</v>
      </c>
      <c r="CS43" s="553">
        <f>'Prod&amp;Consp'!CV59*$C$16/1000</f>
        <v>117.018</v>
      </c>
      <c r="CT43" s="553">
        <f>'Prod&amp;Consp'!CW59*$C$16/1000</f>
        <v>117.018</v>
      </c>
      <c r="CU43" s="553">
        <f>'Prod&amp;Consp'!CX59*$C$16/1000</f>
        <v>117.018</v>
      </c>
      <c r="CV43" s="553">
        <f>'Prod&amp;Consp'!CY59*$C$16/1000</f>
        <v>117.018</v>
      </c>
      <c r="CW43" s="553">
        <f>'Prod&amp;Consp'!CZ59*$C$16/1000</f>
        <v>117.018</v>
      </c>
      <c r="CX43" s="553">
        <f>'Prod&amp;Consp'!DA59*$C$16/1000</f>
        <v>117.018</v>
      </c>
      <c r="CY43" s="553">
        <f>'Prod&amp;Consp'!DB59*$C$16/1000</f>
        <v>117.018</v>
      </c>
      <c r="CZ43" s="553">
        <f>'Prod&amp;Consp'!DC59*$C$16/1000</f>
        <v>117.018</v>
      </c>
      <c r="DA43" s="560">
        <f t="shared" si="135"/>
        <v>1404.2160000000001</v>
      </c>
      <c r="DB43" s="565"/>
      <c r="DC43" s="553">
        <f>'Prod&amp;Consp'!DF59*$C$16/1000</f>
        <v>214.21799999999996</v>
      </c>
      <c r="DD43" s="562">
        <f>'Prod&amp;Consp'!DG59*$C$16/1000</f>
        <v>214.21799999999996</v>
      </c>
      <c r="DE43" s="553">
        <f>'Prod&amp;Consp'!DH59*$C$16/1000</f>
        <v>117.018</v>
      </c>
      <c r="DF43" s="553">
        <f>'Prod&amp;Consp'!DI59*$C$16/1000</f>
        <v>117.018</v>
      </c>
      <c r="DG43" s="553">
        <f>'Prod&amp;Consp'!DJ59*$C$16/1000</f>
        <v>117.018</v>
      </c>
      <c r="DH43" s="553">
        <f>'Prod&amp;Consp'!DK59*$C$16/1000</f>
        <v>117.018</v>
      </c>
      <c r="DI43" s="553">
        <f>'Prod&amp;Consp'!DL59*$C$16/1000</f>
        <v>117.018</v>
      </c>
      <c r="DJ43" s="553">
        <f>'Prod&amp;Consp'!DM59*$C$16/1000</f>
        <v>117.018</v>
      </c>
      <c r="DK43" s="553">
        <f>'Prod&amp;Consp'!DN59*$C$16/1000</f>
        <v>117.018</v>
      </c>
      <c r="DL43" s="553">
        <f>'Prod&amp;Consp'!DO59*$C$16/1000</f>
        <v>117.018</v>
      </c>
      <c r="DM43" s="553">
        <f>'Prod&amp;Consp'!DP59*$C$16/1000</f>
        <v>117.018</v>
      </c>
      <c r="DN43" s="553">
        <f>'Prod&amp;Consp'!DQ59*$C$16/1000</f>
        <v>117.018</v>
      </c>
      <c r="DO43" s="560">
        <f t="shared" si="136"/>
        <v>1598.6160000000002</v>
      </c>
      <c r="DP43" s="565"/>
      <c r="DQ43" s="553">
        <f>'Prod&amp;Consp'!DT59*$C$16/1000</f>
        <v>117.018</v>
      </c>
      <c r="DR43" s="553">
        <f>'Prod&amp;Consp'!DU59*$C$16/1000</f>
        <v>117.018</v>
      </c>
      <c r="DS43" s="553">
        <f>'Prod&amp;Consp'!DV59*$C$16/1000</f>
        <v>117.018</v>
      </c>
      <c r="DT43" s="553">
        <f>'Prod&amp;Consp'!DW59*$C$16/1000</f>
        <v>117.018</v>
      </c>
      <c r="DU43" s="553">
        <f>'Prod&amp;Consp'!DX59*$C$16/1000</f>
        <v>117.018</v>
      </c>
      <c r="DV43" s="553">
        <f>'Prod&amp;Consp'!DY59*$C$16/1000</f>
        <v>117.018</v>
      </c>
      <c r="DW43" s="553">
        <f>'Prod&amp;Consp'!DZ59*$C$16/1000</f>
        <v>214.21799999999996</v>
      </c>
      <c r="DX43" s="562">
        <f>'Prod&amp;Consp'!EA59*$C$16/1000</f>
        <v>214.21799999999996</v>
      </c>
      <c r="DY43" s="553">
        <f>'Prod&amp;Consp'!EB59*$C$16/1000</f>
        <v>117.018</v>
      </c>
      <c r="DZ43" s="553">
        <f>'Prod&amp;Consp'!EC59*$C$16/1000</f>
        <v>117.018</v>
      </c>
      <c r="EA43" s="553">
        <f>'Prod&amp;Consp'!ED59*$C$16/1000</f>
        <v>117.018</v>
      </c>
      <c r="EB43" s="553">
        <f>'Prod&amp;Consp'!EE59*$C$16/1000</f>
        <v>117.018</v>
      </c>
      <c r="EC43" s="560">
        <f t="shared" si="137"/>
        <v>1598.616</v>
      </c>
      <c r="ED43" s="565"/>
      <c r="EE43" s="553">
        <f>'Prod&amp;Consp'!EH59*$C$16/1000</f>
        <v>117.018</v>
      </c>
      <c r="EF43" s="553">
        <f>'Prod&amp;Consp'!EI59*$C$16/1000</f>
        <v>117.018</v>
      </c>
      <c r="EG43" s="553">
        <f>'Prod&amp;Consp'!EJ59*$C$16/1000</f>
        <v>117.018</v>
      </c>
      <c r="EH43" s="553">
        <f>'Prod&amp;Consp'!EK59*$C$16/1000</f>
        <v>117.018</v>
      </c>
      <c r="EI43" s="553">
        <f>'Prod&amp;Consp'!EL59*$C$16/1000</f>
        <v>117.018</v>
      </c>
      <c r="EJ43" s="553">
        <f>'Prod&amp;Consp'!EM59*$C$16/1000</f>
        <v>117.018</v>
      </c>
      <c r="EK43" s="553">
        <f>'Prod&amp;Consp'!EN59*$C$16/1000</f>
        <v>117.018</v>
      </c>
      <c r="EL43" s="553">
        <f>'Prod&amp;Consp'!EO59*$C$16/1000</f>
        <v>117.018</v>
      </c>
      <c r="EM43" s="553">
        <f>'Prod&amp;Consp'!EP59*$C$16/1000</f>
        <v>117.018</v>
      </c>
      <c r="EN43" s="553">
        <f>'Prod&amp;Consp'!EQ59*$C$16/1000</f>
        <v>117.018</v>
      </c>
      <c r="EO43" s="553">
        <f>'Prod&amp;Consp'!ER59*$C$16/1000</f>
        <v>117.018</v>
      </c>
      <c r="EP43" s="553">
        <f>'Prod&amp;Consp'!ES59*$C$16/1000</f>
        <v>117.018</v>
      </c>
      <c r="EQ43" s="560">
        <f t="shared" si="138"/>
        <v>1404.2160000000001</v>
      </c>
      <c r="ET43" s="536"/>
      <c r="EU43" s="531" t="s">
        <v>15</v>
      </c>
      <c r="EV43" s="4" t="s">
        <v>1016</v>
      </c>
      <c r="EX43" s="553">
        <f t="shared" si="139"/>
        <v>1364.5800000000002</v>
      </c>
      <c r="EY43" s="553">
        <f t="shared" si="140"/>
        <v>1598.616</v>
      </c>
      <c r="EZ43" s="553">
        <f t="shared" si="141"/>
        <v>1404.2160000000001</v>
      </c>
      <c r="FA43" s="553">
        <f t="shared" si="142"/>
        <v>1598.6160000000002</v>
      </c>
      <c r="FB43" s="553">
        <f t="shared" si="143"/>
        <v>1598.616</v>
      </c>
      <c r="FC43" s="553">
        <f t="shared" si="144"/>
        <v>1404.2160000000001</v>
      </c>
      <c r="FD43" s="553">
        <f t="shared" si="145"/>
        <v>1598.6160000000002</v>
      </c>
      <c r="FE43" s="553">
        <f t="shared" si="146"/>
        <v>1598.616</v>
      </c>
      <c r="FF43" s="553">
        <f t="shared" si="147"/>
        <v>1404.2160000000001</v>
      </c>
    </row>
    <row r="44" spans="1:162" ht="10.5" customHeight="1" x14ac:dyDescent="0.35">
      <c r="B44" s="531"/>
      <c r="F44" s="536"/>
      <c r="G44" s="531" t="s">
        <v>18</v>
      </c>
      <c r="H44" s="4" t="s">
        <v>1017</v>
      </c>
      <c r="V44" s="565"/>
      <c r="W44" s="553">
        <f>'Prod&amp;Consp'!Z60*$C$17/1000</f>
        <v>972</v>
      </c>
      <c r="X44" s="553">
        <f>'Prod&amp;Consp'!AA60*$C$17/1000</f>
        <v>972</v>
      </c>
      <c r="Y44" s="553">
        <f>'Prod&amp;Consp'!AB60*$C$17/1000</f>
        <v>1170.18</v>
      </c>
      <c r="Z44" s="553">
        <f>'Prod&amp;Consp'!AC60*$C$17/1000</f>
        <v>1170.18</v>
      </c>
      <c r="AA44" s="553">
        <f>'Prod&amp;Consp'!AD60*$C$17/1000</f>
        <v>1170.18</v>
      </c>
      <c r="AB44" s="553">
        <f>'Prod&amp;Consp'!AE60*$C$17/1000</f>
        <v>1170.18</v>
      </c>
      <c r="AC44" s="553">
        <f>'Prod&amp;Consp'!AF60*$C$17/1000</f>
        <v>1170.18</v>
      </c>
      <c r="AD44" s="553">
        <f>'Prod&amp;Consp'!AG60*$C$17/1000</f>
        <v>1170.18</v>
      </c>
      <c r="AE44" s="553">
        <f>'Prod&amp;Consp'!AH60*$C$17/1000</f>
        <v>1170.18</v>
      </c>
      <c r="AF44" s="553">
        <f>'Prod&amp;Consp'!AI60*$C$17/1000</f>
        <v>1170.18</v>
      </c>
      <c r="AG44" s="553">
        <f>'Prod&amp;Consp'!AJ60*$C$17/1000</f>
        <v>1170.18</v>
      </c>
      <c r="AH44" s="553">
        <f>'Prod&amp;Consp'!AK60*$C$17/1000</f>
        <v>1170.18</v>
      </c>
      <c r="AI44" s="560">
        <f t="shared" si="130"/>
        <v>13645.800000000003</v>
      </c>
      <c r="AJ44" s="565"/>
      <c r="AK44" s="553">
        <f>'Prod&amp;Consp'!AN60*$C$17/1000</f>
        <v>1170.18</v>
      </c>
      <c r="AL44" s="553">
        <f>'Prod&amp;Consp'!AO60*$C$17/1000</f>
        <v>1170.18</v>
      </c>
      <c r="AM44" s="553">
        <f>'Prod&amp;Consp'!AP60*$C$17/1000</f>
        <v>1170.18</v>
      </c>
      <c r="AN44" s="553">
        <f>'Prod&amp;Consp'!AQ60*$C$17/1000</f>
        <v>1170.18</v>
      </c>
      <c r="AO44" s="553">
        <f>'Prod&amp;Consp'!AR60*$C$17/1000</f>
        <v>1170.18</v>
      </c>
      <c r="AP44" s="553">
        <f>'Prod&amp;Consp'!AS60*$C$17/1000</f>
        <v>1170.18</v>
      </c>
      <c r="AQ44" s="553">
        <f>'Prod&amp;Consp'!AT60*$C$17/1000</f>
        <v>2142.1799999999998</v>
      </c>
      <c r="AR44" s="562">
        <f>'Prod&amp;Consp'!AU60*$C$17/1000</f>
        <v>2142.1799999999998</v>
      </c>
      <c r="AS44" s="553">
        <f>'Prod&amp;Consp'!AV60*$C$17/1000</f>
        <v>1170.18</v>
      </c>
      <c r="AT44" s="553">
        <f>'Prod&amp;Consp'!AW60*$C$17/1000</f>
        <v>1170.18</v>
      </c>
      <c r="AU44" s="553">
        <f>'Prod&amp;Consp'!AX60*$C$17/1000</f>
        <v>1170.18</v>
      </c>
      <c r="AV44" s="553">
        <f>'Prod&amp;Consp'!AY60*$C$17/1000</f>
        <v>1170.18</v>
      </c>
      <c r="AW44" s="560">
        <f t="shared" si="131"/>
        <v>15986.160000000002</v>
      </c>
      <c r="AX44" s="565"/>
      <c r="AY44" s="553">
        <f>'Prod&amp;Consp'!BB60*$C$17/1000</f>
        <v>1170.18</v>
      </c>
      <c r="AZ44" s="553">
        <f>'Prod&amp;Consp'!BC60*$C$17/1000</f>
        <v>1170.18</v>
      </c>
      <c r="BA44" s="553">
        <f>'Prod&amp;Consp'!BD60*$C$17/1000</f>
        <v>1170.18</v>
      </c>
      <c r="BB44" s="553">
        <f>'Prod&amp;Consp'!BE60*$C$17/1000</f>
        <v>1170.18</v>
      </c>
      <c r="BC44" s="553">
        <f>'Prod&amp;Consp'!BF60*$C$17/1000</f>
        <v>1170.18</v>
      </c>
      <c r="BD44" s="553">
        <f>'Prod&amp;Consp'!BG60*$C$17/1000</f>
        <v>1170.18</v>
      </c>
      <c r="BE44" s="553">
        <f>'Prod&amp;Consp'!BH60*$C$17/1000</f>
        <v>1170.18</v>
      </c>
      <c r="BF44" s="553">
        <f>'Prod&amp;Consp'!BI60*$C$17/1000</f>
        <v>1170.18</v>
      </c>
      <c r="BG44" s="553">
        <f>'Prod&amp;Consp'!BJ60*$C$17/1000</f>
        <v>1170.18</v>
      </c>
      <c r="BH44" s="553">
        <f>'Prod&amp;Consp'!BK60*$C$17/1000</f>
        <v>1170.18</v>
      </c>
      <c r="BI44" s="553">
        <f>'Prod&amp;Consp'!BL60*$C$17/1000</f>
        <v>1170.18</v>
      </c>
      <c r="BJ44" s="553">
        <f>'Prod&amp;Consp'!BM60*$C$17/1000</f>
        <v>1170.18</v>
      </c>
      <c r="BK44" s="560">
        <f t="shared" si="132"/>
        <v>14042.160000000002</v>
      </c>
      <c r="BL44" s="565"/>
      <c r="BM44" s="553">
        <f>'Prod&amp;Consp'!BP60*$C$17/1000</f>
        <v>2142.1799999999998</v>
      </c>
      <c r="BN44" s="562">
        <f>'Prod&amp;Consp'!BQ60*$C$17/1000</f>
        <v>2142.1799999999998</v>
      </c>
      <c r="BO44" s="553">
        <f>'Prod&amp;Consp'!BR60*$C$17/1000</f>
        <v>1170.18</v>
      </c>
      <c r="BP44" s="553">
        <f>'Prod&amp;Consp'!BS60*$C$17/1000</f>
        <v>1170.18</v>
      </c>
      <c r="BQ44" s="553">
        <f>'Prod&amp;Consp'!BT60*$C$17/1000</f>
        <v>1170.18</v>
      </c>
      <c r="BR44" s="553">
        <f>'Prod&amp;Consp'!BU60*$C$17/1000</f>
        <v>1170.18</v>
      </c>
      <c r="BS44" s="553">
        <f>'Prod&amp;Consp'!BV60*$C$17/1000</f>
        <v>1170.18</v>
      </c>
      <c r="BT44" s="553">
        <f>'Prod&amp;Consp'!BW60*$C$17/1000</f>
        <v>1170.18</v>
      </c>
      <c r="BU44" s="553">
        <f>'Prod&amp;Consp'!BX60*$C$17/1000</f>
        <v>1170.18</v>
      </c>
      <c r="BV44" s="553">
        <f>'Prod&amp;Consp'!BY60*$C$17/1000</f>
        <v>1170.18</v>
      </c>
      <c r="BW44" s="553">
        <f>'Prod&amp;Consp'!BZ60*$C$17/1000</f>
        <v>1170.18</v>
      </c>
      <c r="BX44" s="553">
        <f>'Prod&amp;Consp'!CA60*$C$17/1000</f>
        <v>1170.18</v>
      </c>
      <c r="BY44" s="560">
        <f t="shared" si="133"/>
        <v>15986.160000000002</v>
      </c>
      <c r="BZ44" s="565"/>
      <c r="CA44" s="553">
        <f>'Prod&amp;Consp'!CD60*$C$17/1000</f>
        <v>1170.18</v>
      </c>
      <c r="CB44" s="553">
        <f>'Prod&amp;Consp'!CE60*$C$17/1000</f>
        <v>1170.18</v>
      </c>
      <c r="CC44" s="553">
        <f>'Prod&amp;Consp'!CF60*$C$17/1000</f>
        <v>1170.18</v>
      </c>
      <c r="CD44" s="553">
        <f>'Prod&amp;Consp'!CG60*$C$17/1000</f>
        <v>1170.18</v>
      </c>
      <c r="CE44" s="553">
        <f>'Prod&amp;Consp'!CH60*$C$17/1000</f>
        <v>1170.18</v>
      </c>
      <c r="CF44" s="553">
        <f>'Prod&amp;Consp'!CI60*$C$17/1000</f>
        <v>1170.18</v>
      </c>
      <c r="CG44" s="553">
        <f>'Prod&amp;Consp'!CJ60*$C$17/1000</f>
        <v>2142.1799999999998</v>
      </c>
      <c r="CH44" s="562">
        <f>'Prod&amp;Consp'!CK60*$C$17/1000</f>
        <v>2142.1799999999998</v>
      </c>
      <c r="CI44" s="553">
        <f>'Prod&amp;Consp'!CL60*$C$17/1000</f>
        <v>1170.18</v>
      </c>
      <c r="CJ44" s="553">
        <f>'Prod&amp;Consp'!CM60*$C$17/1000</f>
        <v>1170.18</v>
      </c>
      <c r="CK44" s="553">
        <f>'Prod&amp;Consp'!CN60*$C$17/1000</f>
        <v>1170.18</v>
      </c>
      <c r="CL44" s="553">
        <f>'Prod&amp;Consp'!CO60*$C$17/1000</f>
        <v>1170.18</v>
      </c>
      <c r="CM44" s="560">
        <f t="shared" si="134"/>
        <v>15986.160000000002</v>
      </c>
      <c r="CN44" s="565"/>
      <c r="CO44" s="553">
        <f>'Prod&amp;Consp'!CR60*$C$17/1000</f>
        <v>1170.18</v>
      </c>
      <c r="CP44" s="553">
        <f>'Prod&amp;Consp'!CS60*$C$17/1000</f>
        <v>1170.18</v>
      </c>
      <c r="CQ44" s="553">
        <f>'Prod&amp;Consp'!CT60*$C$17/1000</f>
        <v>1170.18</v>
      </c>
      <c r="CR44" s="553">
        <f>'Prod&amp;Consp'!CU60*$C$17/1000</f>
        <v>1170.18</v>
      </c>
      <c r="CS44" s="553">
        <f>'Prod&amp;Consp'!CV60*$C$17/1000</f>
        <v>1170.18</v>
      </c>
      <c r="CT44" s="553">
        <f>'Prod&amp;Consp'!CW60*$C$17/1000</f>
        <v>1170.18</v>
      </c>
      <c r="CU44" s="553">
        <f>'Prod&amp;Consp'!CX60*$C$17/1000</f>
        <v>1170.18</v>
      </c>
      <c r="CV44" s="553">
        <f>'Prod&amp;Consp'!CY60*$C$17/1000</f>
        <v>1170.18</v>
      </c>
      <c r="CW44" s="553">
        <f>'Prod&amp;Consp'!CZ60*$C$17/1000</f>
        <v>1170.18</v>
      </c>
      <c r="CX44" s="553">
        <f>'Prod&amp;Consp'!DA60*$C$17/1000</f>
        <v>1170.18</v>
      </c>
      <c r="CY44" s="553">
        <f>'Prod&amp;Consp'!DB60*$C$17/1000</f>
        <v>1170.18</v>
      </c>
      <c r="CZ44" s="553">
        <f>'Prod&amp;Consp'!DC60*$C$17/1000</f>
        <v>1170.18</v>
      </c>
      <c r="DA44" s="560">
        <f t="shared" si="135"/>
        <v>14042.160000000002</v>
      </c>
      <c r="DB44" s="565"/>
      <c r="DC44" s="553">
        <f>'Prod&amp;Consp'!DF60*$C$17/1000</f>
        <v>2142.1799999999998</v>
      </c>
      <c r="DD44" s="562">
        <f>'Prod&amp;Consp'!DG60*$C$17/1000</f>
        <v>2142.1799999999998</v>
      </c>
      <c r="DE44" s="553">
        <f>'Prod&amp;Consp'!DH60*$C$17/1000</f>
        <v>1170.18</v>
      </c>
      <c r="DF44" s="553">
        <f>'Prod&amp;Consp'!DI60*$C$17/1000</f>
        <v>1170.18</v>
      </c>
      <c r="DG44" s="553">
        <f>'Prod&amp;Consp'!DJ60*$C$17/1000</f>
        <v>1170.18</v>
      </c>
      <c r="DH44" s="553">
        <f>'Prod&amp;Consp'!DK60*$C$17/1000</f>
        <v>1170.18</v>
      </c>
      <c r="DI44" s="553">
        <f>'Prod&amp;Consp'!DL60*$C$17/1000</f>
        <v>1170.18</v>
      </c>
      <c r="DJ44" s="553">
        <f>'Prod&amp;Consp'!DM60*$C$17/1000</f>
        <v>1170.18</v>
      </c>
      <c r="DK44" s="553">
        <f>'Prod&amp;Consp'!DN60*$C$17/1000</f>
        <v>1170.18</v>
      </c>
      <c r="DL44" s="553">
        <f>'Prod&amp;Consp'!DO60*$C$17/1000</f>
        <v>1170.18</v>
      </c>
      <c r="DM44" s="553">
        <f>'Prod&amp;Consp'!DP60*$C$17/1000</f>
        <v>1170.18</v>
      </c>
      <c r="DN44" s="553">
        <f>'Prod&amp;Consp'!DQ60*$C$17/1000</f>
        <v>1170.18</v>
      </c>
      <c r="DO44" s="560">
        <f t="shared" si="136"/>
        <v>15986.160000000002</v>
      </c>
      <c r="DP44" s="565"/>
      <c r="DQ44" s="553">
        <f>'Prod&amp;Consp'!DT60*$C$17/1000</f>
        <v>1170.18</v>
      </c>
      <c r="DR44" s="553">
        <f>'Prod&amp;Consp'!DU60*$C$17/1000</f>
        <v>1170.18</v>
      </c>
      <c r="DS44" s="553">
        <f>'Prod&amp;Consp'!DV60*$C$17/1000</f>
        <v>1170.18</v>
      </c>
      <c r="DT44" s="553">
        <f>'Prod&amp;Consp'!DW60*$C$17/1000</f>
        <v>1170.18</v>
      </c>
      <c r="DU44" s="553">
        <f>'Prod&amp;Consp'!DX60*$C$17/1000</f>
        <v>1170.18</v>
      </c>
      <c r="DV44" s="553">
        <f>'Prod&amp;Consp'!DY60*$C$17/1000</f>
        <v>1170.18</v>
      </c>
      <c r="DW44" s="553">
        <f>'Prod&amp;Consp'!DZ60*$C$17/1000</f>
        <v>2142.1799999999998</v>
      </c>
      <c r="DX44" s="562">
        <f>'Prod&amp;Consp'!EA60*$C$17/1000</f>
        <v>2142.1799999999998</v>
      </c>
      <c r="DY44" s="553">
        <f>'Prod&amp;Consp'!EB60*$C$17/1000</f>
        <v>1170.18</v>
      </c>
      <c r="DZ44" s="553">
        <f>'Prod&amp;Consp'!EC60*$C$17/1000</f>
        <v>1170.18</v>
      </c>
      <c r="EA44" s="553">
        <f>'Prod&amp;Consp'!ED60*$C$17/1000</f>
        <v>1170.18</v>
      </c>
      <c r="EB44" s="553">
        <f>'Prod&amp;Consp'!EE60*$C$17/1000</f>
        <v>1170.18</v>
      </c>
      <c r="EC44" s="560">
        <f t="shared" si="137"/>
        <v>15986.160000000002</v>
      </c>
      <c r="ED44" s="565"/>
      <c r="EE44" s="553">
        <f>'Prod&amp;Consp'!EH60*$C$17/1000</f>
        <v>1170.18</v>
      </c>
      <c r="EF44" s="553">
        <f>'Prod&amp;Consp'!EI60*$C$17/1000</f>
        <v>1170.18</v>
      </c>
      <c r="EG44" s="553">
        <f>'Prod&amp;Consp'!EJ60*$C$17/1000</f>
        <v>1170.18</v>
      </c>
      <c r="EH44" s="553">
        <f>'Prod&amp;Consp'!EK60*$C$17/1000</f>
        <v>1170.18</v>
      </c>
      <c r="EI44" s="553">
        <f>'Prod&amp;Consp'!EL60*$C$17/1000</f>
        <v>1170.18</v>
      </c>
      <c r="EJ44" s="553">
        <f>'Prod&amp;Consp'!EM60*$C$17/1000</f>
        <v>1170.18</v>
      </c>
      <c r="EK44" s="553">
        <f>'Prod&amp;Consp'!EN60*$C$17/1000</f>
        <v>1170.18</v>
      </c>
      <c r="EL44" s="553">
        <f>'Prod&amp;Consp'!EO60*$C$17/1000</f>
        <v>1170.18</v>
      </c>
      <c r="EM44" s="553">
        <f>'Prod&amp;Consp'!EP60*$C$17/1000</f>
        <v>1170.18</v>
      </c>
      <c r="EN44" s="553">
        <f>'Prod&amp;Consp'!EQ60*$C$17/1000</f>
        <v>1170.18</v>
      </c>
      <c r="EO44" s="553">
        <f>'Prod&amp;Consp'!ER60*$C$17/1000</f>
        <v>1170.18</v>
      </c>
      <c r="EP44" s="553">
        <f>'Prod&amp;Consp'!ES60*$C$17/1000</f>
        <v>1170.18</v>
      </c>
      <c r="EQ44" s="560">
        <f t="shared" si="138"/>
        <v>14042.160000000002</v>
      </c>
      <c r="ET44" s="536"/>
      <c r="EU44" s="531" t="s">
        <v>18</v>
      </c>
      <c r="EV44" s="4" t="s">
        <v>1017</v>
      </c>
      <c r="EX44" s="553">
        <f t="shared" si="139"/>
        <v>13645.800000000003</v>
      </c>
      <c r="EY44" s="553">
        <f t="shared" si="140"/>
        <v>15986.160000000002</v>
      </c>
      <c r="EZ44" s="553">
        <f t="shared" si="141"/>
        <v>14042.160000000002</v>
      </c>
      <c r="FA44" s="553">
        <f t="shared" si="142"/>
        <v>15986.160000000002</v>
      </c>
      <c r="FB44" s="553">
        <f t="shared" si="143"/>
        <v>15986.160000000002</v>
      </c>
      <c r="FC44" s="553">
        <f t="shared" si="144"/>
        <v>14042.160000000002</v>
      </c>
      <c r="FD44" s="553">
        <f t="shared" si="145"/>
        <v>15986.160000000002</v>
      </c>
      <c r="FE44" s="553">
        <f t="shared" si="146"/>
        <v>15986.160000000002</v>
      </c>
      <c r="FF44" s="553">
        <f t="shared" si="147"/>
        <v>14042.160000000002</v>
      </c>
    </row>
    <row r="45" spans="1:162" ht="10.5" customHeight="1" x14ac:dyDescent="0.35">
      <c r="B45" s="531"/>
      <c r="F45" s="536"/>
      <c r="G45" s="531" t="s">
        <v>510</v>
      </c>
      <c r="H45" s="4" t="s">
        <v>1018</v>
      </c>
      <c r="V45" s="565"/>
      <c r="W45" s="553">
        <f>'Prod&amp;Consp'!Z61*$C$18/1000</f>
        <v>218.7</v>
      </c>
      <c r="X45" s="553">
        <f>'Prod&amp;Consp'!AA61*$C$18/1000</f>
        <v>218.7</v>
      </c>
      <c r="Y45" s="553">
        <f>'Prod&amp;Consp'!AB61*$C$18/1000</f>
        <v>263.29050000000001</v>
      </c>
      <c r="Z45" s="553">
        <f>'Prod&amp;Consp'!AC61*$C$18/1000</f>
        <v>263.29050000000001</v>
      </c>
      <c r="AA45" s="553">
        <f>'Prod&amp;Consp'!AD61*$C$18/1000</f>
        <v>263.29050000000001</v>
      </c>
      <c r="AB45" s="553">
        <f>'Prod&amp;Consp'!AE61*$C$18/1000</f>
        <v>263.29050000000001</v>
      </c>
      <c r="AC45" s="553">
        <f>'Prod&amp;Consp'!AF61*$C$18/1000</f>
        <v>263.29050000000001</v>
      </c>
      <c r="AD45" s="553">
        <f>'Prod&amp;Consp'!AG61*$C$18/1000</f>
        <v>263.29050000000001</v>
      </c>
      <c r="AE45" s="553">
        <f>'Prod&amp;Consp'!AH61*$C$18/1000</f>
        <v>263.29050000000001</v>
      </c>
      <c r="AF45" s="553">
        <f>'Prod&amp;Consp'!AI61*$C$18/1000</f>
        <v>263.29050000000001</v>
      </c>
      <c r="AG45" s="553">
        <f>'Prod&amp;Consp'!AJ61*$C$18/1000</f>
        <v>263.29050000000001</v>
      </c>
      <c r="AH45" s="553">
        <f>'Prod&amp;Consp'!AK61*$C$18/1000</f>
        <v>263.29050000000001</v>
      </c>
      <c r="AI45" s="560">
        <f t="shared" si="130"/>
        <v>3070.3050000000003</v>
      </c>
      <c r="AJ45" s="565"/>
      <c r="AK45" s="553">
        <f>'Prod&amp;Consp'!AN61*$C$18/1000</f>
        <v>263.29050000000001</v>
      </c>
      <c r="AL45" s="553">
        <f>'Prod&amp;Consp'!AO61*$C$18/1000</f>
        <v>263.29050000000001</v>
      </c>
      <c r="AM45" s="553">
        <f>'Prod&amp;Consp'!AP61*$C$18/1000</f>
        <v>263.29050000000001</v>
      </c>
      <c r="AN45" s="553">
        <f>'Prod&amp;Consp'!AQ61*$C$18/1000</f>
        <v>263.29050000000001</v>
      </c>
      <c r="AO45" s="553">
        <f>'Prod&amp;Consp'!AR61*$C$18/1000</f>
        <v>263.29050000000001</v>
      </c>
      <c r="AP45" s="553">
        <f>'Prod&amp;Consp'!AS61*$C$18/1000</f>
        <v>263.29050000000001</v>
      </c>
      <c r="AQ45" s="553">
        <f>'Prod&amp;Consp'!AT61*$C$18/1000</f>
        <v>481.9905</v>
      </c>
      <c r="AR45" s="562">
        <f>'Prod&amp;Consp'!AU61*$C$18/1000</f>
        <v>481.9905</v>
      </c>
      <c r="AS45" s="553">
        <f>'Prod&amp;Consp'!AV61*$C$18/1000</f>
        <v>263.29050000000001</v>
      </c>
      <c r="AT45" s="553">
        <f>'Prod&amp;Consp'!AW61*$C$18/1000</f>
        <v>263.29050000000001</v>
      </c>
      <c r="AU45" s="553">
        <f>'Prod&amp;Consp'!AX61*$C$18/1000</f>
        <v>263.29050000000001</v>
      </c>
      <c r="AV45" s="553">
        <f>'Prod&amp;Consp'!AY61*$C$18/1000</f>
        <v>263.29050000000001</v>
      </c>
      <c r="AW45" s="560">
        <f t="shared" si="131"/>
        <v>3596.8860000000004</v>
      </c>
      <c r="AX45" s="565"/>
      <c r="AY45" s="553">
        <f>'Prod&amp;Consp'!BB61*$C$18/1000</f>
        <v>263.29050000000001</v>
      </c>
      <c r="AZ45" s="553">
        <f>'Prod&amp;Consp'!BC61*$C$18/1000</f>
        <v>263.29050000000001</v>
      </c>
      <c r="BA45" s="553">
        <f>'Prod&amp;Consp'!BD61*$C$18/1000</f>
        <v>263.29050000000001</v>
      </c>
      <c r="BB45" s="553">
        <f>'Prod&amp;Consp'!BE61*$C$18/1000</f>
        <v>263.29050000000001</v>
      </c>
      <c r="BC45" s="553">
        <f>'Prod&amp;Consp'!BF61*$C$18/1000</f>
        <v>263.29050000000001</v>
      </c>
      <c r="BD45" s="553">
        <f>'Prod&amp;Consp'!BG61*$C$18/1000</f>
        <v>263.29050000000001</v>
      </c>
      <c r="BE45" s="553">
        <f>'Prod&amp;Consp'!BH61*$C$18/1000</f>
        <v>263.29050000000001</v>
      </c>
      <c r="BF45" s="553">
        <f>'Prod&amp;Consp'!BI61*$C$18/1000</f>
        <v>263.29050000000001</v>
      </c>
      <c r="BG45" s="553">
        <f>'Prod&amp;Consp'!BJ61*$C$18/1000</f>
        <v>263.29050000000001</v>
      </c>
      <c r="BH45" s="553">
        <f>'Prod&amp;Consp'!BK61*$C$18/1000</f>
        <v>263.29050000000001</v>
      </c>
      <c r="BI45" s="553">
        <f>'Prod&amp;Consp'!BL61*$C$18/1000</f>
        <v>263.29050000000001</v>
      </c>
      <c r="BJ45" s="553">
        <f>'Prod&amp;Consp'!BM61*$C$18/1000</f>
        <v>263.29050000000001</v>
      </c>
      <c r="BK45" s="560">
        <f t="shared" si="132"/>
        <v>3159.4860000000003</v>
      </c>
      <c r="BL45" s="565"/>
      <c r="BM45" s="553">
        <f>'Prod&amp;Consp'!BP61*$C$18/1000</f>
        <v>481.9905</v>
      </c>
      <c r="BN45" s="562">
        <f>'Prod&amp;Consp'!BQ61*$C$18/1000</f>
        <v>481.9905</v>
      </c>
      <c r="BO45" s="553">
        <f>'Prod&amp;Consp'!BR61*$C$18/1000</f>
        <v>263.29050000000001</v>
      </c>
      <c r="BP45" s="553">
        <f>'Prod&amp;Consp'!BS61*$C$18/1000</f>
        <v>263.29050000000001</v>
      </c>
      <c r="BQ45" s="553">
        <f>'Prod&amp;Consp'!BT61*$C$18/1000</f>
        <v>263.29050000000001</v>
      </c>
      <c r="BR45" s="553">
        <f>'Prod&amp;Consp'!BU61*$C$18/1000</f>
        <v>263.29050000000001</v>
      </c>
      <c r="BS45" s="553">
        <f>'Prod&amp;Consp'!BV61*$C$18/1000</f>
        <v>263.29050000000001</v>
      </c>
      <c r="BT45" s="553">
        <f>'Prod&amp;Consp'!BW61*$C$18/1000</f>
        <v>263.29050000000001</v>
      </c>
      <c r="BU45" s="553">
        <f>'Prod&amp;Consp'!BX61*$C$18/1000</f>
        <v>263.29050000000001</v>
      </c>
      <c r="BV45" s="553">
        <f>'Prod&amp;Consp'!BY61*$C$18/1000</f>
        <v>263.29050000000001</v>
      </c>
      <c r="BW45" s="553">
        <f>'Prod&amp;Consp'!BZ61*$C$18/1000</f>
        <v>263.29050000000001</v>
      </c>
      <c r="BX45" s="553">
        <f>'Prod&amp;Consp'!CA61*$C$18/1000</f>
        <v>263.29050000000001</v>
      </c>
      <c r="BY45" s="560">
        <f t="shared" si="133"/>
        <v>3596.8860000000004</v>
      </c>
      <c r="BZ45" s="565"/>
      <c r="CA45" s="553">
        <f>'Prod&amp;Consp'!CD61*$C$18/1000</f>
        <v>263.29050000000001</v>
      </c>
      <c r="CB45" s="553">
        <f>'Prod&amp;Consp'!CE61*$C$18/1000</f>
        <v>263.29050000000001</v>
      </c>
      <c r="CC45" s="553">
        <f>'Prod&amp;Consp'!CF61*$C$18/1000</f>
        <v>263.29050000000001</v>
      </c>
      <c r="CD45" s="553">
        <f>'Prod&amp;Consp'!CG61*$C$18/1000</f>
        <v>263.29050000000001</v>
      </c>
      <c r="CE45" s="553">
        <f>'Prod&amp;Consp'!CH61*$C$18/1000</f>
        <v>263.29050000000001</v>
      </c>
      <c r="CF45" s="553">
        <f>'Prod&amp;Consp'!CI61*$C$18/1000</f>
        <v>263.29050000000001</v>
      </c>
      <c r="CG45" s="553">
        <f>'Prod&amp;Consp'!CJ61*$C$18/1000</f>
        <v>481.9905</v>
      </c>
      <c r="CH45" s="562">
        <f>'Prod&amp;Consp'!CK61*$C$18/1000</f>
        <v>481.9905</v>
      </c>
      <c r="CI45" s="553">
        <f>'Prod&amp;Consp'!CL61*$C$18/1000</f>
        <v>263.29050000000001</v>
      </c>
      <c r="CJ45" s="553">
        <f>'Prod&amp;Consp'!CM61*$C$18/1000</f>
        <v>263.29050000000001</v>
      </c>
      <c r="CK45" s="553">
        <f>'Prod&amp;Consp'!CN61*$C$18/1000</f>
        <v>263.29050000000001</v>
      </c>
      <c r="CL45" s="553">
        <f>'Prod&amp;Consp'!CO61*$C$18/1000</f>
        <v>263.29050000000001</v>
      </c>
      <c r="CM45" s="560">
        <f t="shared" si="134"/>
        <v>3596.8860000000004</v>
      </c>
      <c r="CN45" s="565"/>
      <c r="CO45" s="553">
        <f>'Prod&amp;Consp'!CR61*$C$18/1000</f>
        <v>263.29050000000001</v>
      </c>
      <c r="CP45" s="553">
        <f>'Prod&amp;Consp'!CS61*$C$18/1000</f>
        <v>263.29050000000001</v>
      </c>
      <c r="CQ45" s="553">
        <f>'Prod&amp;Consp'!CT61*$C$18/1000</f>
        <v>263.29050000000001</v>
      </c>
      <c r="CR45" s="553">
        <f>'Prod&amp;Consp'!CU61*$C$18/1000</f>
        <v>263.29050000000001</v>
      </c>
      <c r="CS45" s="553">
        <f>'Prod&amp;Consp'!CV61*$C$18/1000</f>
        <v>263.29050000000001</v>
      </c>
      <c r="CT45" s="553">
        <f>'Prod&amp;Consp'!CW61*$C$18/1000</f>
        <v>263.29050000000001</v>
      </c>
      <c r="CU45" s="553">
        <f>'Prod&amp;Consp'!CX61*$C$18/1000</f>
        <v>263.29050000000001</v>
      </c>
      <c r="CV45" s="553">
        <f>'Prod&amp;Consp'!CY61*$C$18/1000</f>
        <v>263.29050000000001</v>
      </c>
      <c r="CW45" s="553">
        <f>'Prod&amp;Consp'!CZ61*$C$18/1000</f>
        <v>263.29050000000001</v>
      </c>
      <c r="CX45" s="553">
        <f>'Prod&amp;Consp'!DA61*$C$18/1000</f>
        <v>263.29050000000001</v>
      </c>
      <c r="CY45" s="553">
        <f>'Prod&amp;Consp'!DB61*$C$18/1000</f>
        <v>263.29050000000001</v>
      </c>
      <c r="CZ45" s="553">
        <f>'Prod&amp;Consp'!DC61*$C$18/1000</f>
        <v>263.29050000000001</v>
      </c>
      <c r="DA45" s="560">
        <f t="shared" si="135"/>
        <v>3159.4860000000003</v>
      </c>
      <c r="DB45" s="565"/>
      <c r="DC45" s="553">
        <f>'Prod&amp;Consp'!DF61*$C$18/1000</f>
        <v>481.9905</v>
      </c>
      <c r="DD45" s="562">
        <f>'Prod&amp;Consp'!DG61*$C$18/1000</f>
        <v>481.9905</v>
      </c>
      <c r="DE45" s="553">
        <f>'Prod&amp;Consp'!DH61*$C$18/1000</f>
        <v>263.29050000000001</v>
      </c>
      <c r="DF45" s="553">
        <f>'Prod&amp;Consp'!DI61*$C$18/1000</f>
        <v>263.29050000000001</v>
      </c>
      <c r="DG45" s="553">
        <f>'Prod&amp;Consp'!DJ61*$C$18/1000</f>
        <v>263.29050000000001</v>
      </c>
      <c r="DH45" s="553">
        <f>'Prod&amp;Consp'!DK61*$C$18/1000</f>
        <v>263.29050000000001</v>
      </c>
      <c r="DI45" s="553">
        <f>'Prod&amp;Consp'!DL61*$C$18/1000</f>
        <v>263.29050000000001</v>
      </c>
      <c r="DJ45" s="553">
        <f>'Prod&amp;Consp'!DM61*$C$18/1000</f>
        <v>263.29050000000001</v>
      </c>
      <c r="DK45" s="553">
        <f>'Prod&amp;Consp'!DN61*$C$18/1000</f>
        <v>263.29050000000001</v>
      </c>
      <c r="DL45" s="553">
        <f>'Prod&amp;Consp'!DO61*$C$18/1000</f>
        <v>263.29050000000001</v>
      </c>
      <c r="DM45" s="553">
        <f>'Prod&amp;Consp'!DP61*$C$18/1000</f>
        <v>263.29050000000001</v>
      </c>
      <c r="DN45" s="553">
        <f>'Prod&amp;Consp'!DQ61*$C$18/1000</f>
        <v>263.29050000000001</v>
      </c>
      <c r="DO45" s="560">
        <f t="shared" si="136"/>
        <v>3596.8860000000004</v>
      </c>
      <c r="DP45" s="565"/>
      <c r="DQ45" s="553">
        <f>'Prod&amp;Consp'!DT61*$C$18/1000</f>
        <v>263.29050000000001</v>
      </c>
      <c r="DR45" s="553">
        <f>'Prod&amp;Consp'!DU61*$C$18/1000</f>
        <v>263.29050000000001</v>
      </c>
      <c r="DS45" s="553">
        <f>'Prod&amp;Consp'!DV61*$C$18/1000</f>
        <v>263.29050000000001</v>
      </c>
      <c r="DT45" s="553">
        <f>'Prod&amp;Consp'!DW61*$C$18/1000</f>
        <v>263.29050000000001</v>
      </c>
      <c r="DU45" s="553">
        <f>'Prod&amp;Consp'!DX61*$C$18/1000</f>
        <v>263.29050000000001</v>
      </c>
      <c r="DV45" s="553">
        <f>'Prod&amp;Consp'!DY61*$C$18/1000</f>
        <v>263.29050000000001</v>
      </c>
      <c r="DW45" s="553">
        <f>'Prod&amp;Consp'!DZ61*$C$18/1000</f>
        <v>481.9905</v>
      </c>
      <c r="DX45" s="562">
        <f>'Prod&amp;Consp'!EA61*$C$18/1000</f>
        <v>481.9905</v>
      </c>
      <c r="DY45" s="553">
        <f>'Prod&amp;Consp'!EB61*$C$18/1000</f>
        <v>263.29050000000001</v>
      </c>
      <c r="DZ45" s="553">
        <f>'Prod&amp;Consp'!EC61*$C$18/1000</f>
        <v>263.29050000000001</v>
      </c>
      <c r="EA45" s="553">
        <f>'Prod&amp;Consp'!ED61*$C$18/1000</f>
        <v>263.29050000000001</v>
      </c>
      <c r="EB45" s="553">
        <f>'Prod&amp;Consp'!EE61*$C$18/1000</f>
        <v>263.29050000000001</v>
      </c>
      <c r="EC45" s="560">
        <f t="shared" si="137"/>
        <v>3596.8860000000004</v>
      </c>
      <c r="ED45" s="565"/>
      <c r="EE45" s="553">
        <f>'Prod&amp;Consp'!EH61*$C$18/1000</f>
        <v>263.29050000000001</v>
      </c>
      <c r="EF45" s="553">
        <f>'Prod&amp;Consp'!EI61*$C$18/1000</f>
        <v>263.29050000000001</v>
      </c>
      <c r="EG45" s="553">
        <f>'Prod&amp;Consp'!EJ61*$C$18/1000</f>
        <v>263.29050000000001</v>
      </c>
      <c r="EH45" s="553">
        <f>'Prod&amp;Consp'!EK61*$C$18/1000</f>
        <v>263.29050000000001</v>
      </c>
      <c r="EI45" s="553">
        <f>'Prod&amp;Consp'!EL61*$C$18/1000</f>
        <v>263.29050000000001</v>
      </c>
      <c r="EJ45" s="553">
        <f>'Prod&amp;Consp'!EM61*$C$18/1000</f>
        <v>263.29050000000001</v>
      </c>
      <c r="EK45" s="553">
        <f>'Prod&amp;Consp'!EN61*$C$18/1000</f>
        <v>263.29050000000001</v>
      </c>
      <c r="EL45" s="553">
        <f>'Prod&amp;Consp'!EO61*$C$18/1000</f>
        <v>263.29050000000001</v>
      </c>
      <c r="EM45" s="553">
        <f>'Prod&amp;Consp'!EP61*$C$18/1000</f>
        <v>263.29050000000001</v>
      </c>
      <c r="EN45" s="553">
        <f>'Prod&amp;Consp'!EQ61*$C$18/1000</f>
        <v>263.29050000000001</v>
      </c>
      <c r="EO45" s="553">
        <f>'Prod&amp;Consp'!ER61*$C$18/1000</f>
        <v>263.29050000000001</v>
      </c>
      <c r="EP45" s="553">
        <f>'Prod&amp;Consp'!ES61*$C$18/1000</f>
        <v>263.29050000000001</v>
      </c>
      <c r="EQ45" s="560">
        <f t="shared" si="138"/>
        <v>3159.4860000000003</v>
      </c>
      <c r="ET45" s="536"/>
      <c r="EU45" s="531" t="s">
        <v>510</v>
      </c>
      <c r="EV45" s="4" t="s">
        <v>1018</v>
      </c>
      <c r="EX45" s="553">
        <f t="shared" si="139"/>
        <v>3070.3050000000003</v>
      </c>
      <c r="EY45" s="553">
        <f t="shared" si="140"/>
        <v>3596.8860000000004</v>
      </c>
      <c r="EZ45" s="553">
        <f t="shared" si="141"/>
        <v>3159.4860000000003</v>
      </c>
      <c r="FA45" s="553">
        <f t="shared" si="142"/>
        <v>3596.8860000000004</v>
      </c>
      <c r="FB45" s="553">
        <f t="shared" si="143"/>
        <v>3596.8860000000004</v>
      </c>
      <c r="FC45" s="553">
        <f t="shared" si="144"/>
        <v>3159.4860000000003</v>
      </c>
      <c r="FD45" s="553">
        <f t="shared" si="145"/>
        <v>3596.8860000000004</v>
      </c>
      <c r="FE45" s="553">
        <f t="shared" si="146"/>
        <v>3596.8860000000004</v>
      </c>
      <c r="FF45" s="553">
        <f t="shared" si="147"/>
        <v>3159.4860000000003</v>
      </c>
    </row>
    <row r="46" spans="1:162" ht="10.5" customHeight="1" x14ac:dyDescent="0.35">
      <c r="B46" s="531"/>
      <c r="F46" s="536"/>
      <c r="G46" s="531" t="s">
        <v>511</v>
      </c>
      <c r="H46" s="4" t="s">
        <v>1019</v>
      </c>
      <c r="V46" s="565"/>
      <c r="W46" s="553">
        <f>'Prod&amp;Consp'!Z62*$C$19/1000</f>
        <v>789.75</v>
      </c>
      <c r="X46" s="553">
        <f>'Prod&amp;Consp'!AA62*$C$19/1000</f>
        <v>789.75</v>
      </c>
      <c r="Y46" s="553">
        <f>'Prod&amp;Consp'!AB62*$C$19/1000</f>
        <v>950.77125000000001</v>
      </c>
      <c r="Z46" s="553">
        <f>'Prod&amp;Consp'!AC62*$C$19/1000</f>
        <v>950.77125000000001</v>
      </c>
      <c r="AA46" s="553">
        <f>'Prod&amp;Consp'!AD62*$C$19/1000</f>
        <v>950.77125000000001</v>
      </c>
      <c r="AB46" s="553">
        <f>'Prod&amp;Consp'!AE62*$C$19/1000</f>
        <v>950.77125000000001</v>
      </c>
      <c r="AC46" s="553">
        <f>'Prod&amp;Consp'!AF62*$C$19/1000</f>
        <v>950.77125000000001</v>
      </c>
      <c r="AD46" s="553">
        <f>'Prod&amp;Consp'!AG62*$C$19/1000</f>
        <v>950.77125000000001</v>
      </c>
      <c r="AE46" s="553">
        <f>'Prod&amp;Consp'!AH62*$C$19/1000</f>
        <v>950.77125000000001</v>
      </c>
      <c r="AF46" s="553">
        <f>'Prod&amp;Consp'!AI62*$C$19/1000</f>
        <v>950.77125000000001</v>
      </c>
      <c r="AG46" s="553">
        <f>'Prod&amp;Consp'!AJ62*$C$19/1000</f>
        <v>950.77125000000001</v>
      </c>
      <c r="AH46" s="553">
        <f>'Prod&amp;Consp'!AK62*$C$19/1000</f>
        <v>950.77125000000001</v>
      </c>
      <c r="AI46" s="560">
        <f t="shared" si="130"/>
        <v>11087.212499999998</v>
      </c>
      <c r="AJ46" s="565"/>
      <c r="AK46" s="553">
        <f>'Prod&amp;Consp'!AN62*$C$19/1000</f>
        <v>950.77125000000001</v>
      </c>
      <c r="AL46" s="553">
        <f>'Prod&amp;Consp'!AO62*$C$19/1000</f>
        <v>950.77125000000001</v>
      </c>
      <c r="AM46" s="553">
        <f>'Prod&amp;Consp'!AP62*$C$19/1000</f>
        <v>950.77125000000001</v>
      </c>
      <c r="AN46" s="553">
        <f>'Prod&amp;Consp'!AQ62*$C$19/1000</f>
        <v>950.77125000000001</v>
      </c>
      <c r="AO46" s="553">
        <f>'Prod&amp;Consp'!AR62*$C$19/1000</f>
        <v>950.77125000000001</v>
      </c>
      <c r="AP46" s="553">
        <f>'Prod&amp;Consp'!AS62*$C$19/1000</f>
        <v>950.77125000000001</v>
      </c>
      <c r="AQ46" s="553">
        <f>'Prod&amp;Consp'!AT62*$C$19/1000</f>
        <v>1740.5212500000002</v>
      </c>
      <c r="AR46" s="562">
        <f>'Prod&amp;Consp'!AU62*$C$19/1000</f>
        <v>1740.5212500000002</v>
      </c>
      <c r="AS46" s="553">
        <f>'Prod&amp;Consp'!AV62*$C$19/1000</f>
        <v>950.77125000000001</v>
      </c>
      <c r="AT46" s="553">
        <f>'Prod&amp;Consp'!AW62*$C$19/1000</f>
        <v>950.77125000000001</v>
      </c>
      <c r="AU46" s="553">
        <f>'Prod&amp;Consp'!AX62*$C$19/1000</f>
        <v>950.77125000000001</v>
      </c>
      <c r="AV46" s="553">
        <f>'Prod&amp;Consp'!AY62*$C$19/1000</f>
        <v>950.77125000000001</v>
      </c>
      <c r="AW46" s="560">
        <f t="shared" si="131"/>
        <v>12988.754999999999</v>
      </c>
      <c r="AX46" s="565"/>
      <c r="AY46" s="553">
        <f>'Prod&amp;Consp'!BB62*$C$19/1000</f>
        <v>950.77125000000001</v>
      </c>
      <c r="AZ46" s="553">
        <f>'Prod&amp;Consp'!BC62*$C$19/1000</f>
        <v>950.77125000000001</v>
      </c>
      <c r="BA46" s="553">
        <f>'Prod&amp;Consp'!BD62*$C$19/1000</f>
        <v>950.77125000000001</v>
      </c>
      <c r="BB46" s="553">
        <f>'Prod&amp;Consp'!BE62*$C$19/1000</f>
        <v>950.77125000000001</v>
      </c>
      <c r="BC46" s="553">
        <f>'Prod&amp;Consp'!BF62*$C$19/1000</f>
        <v>950.77125000000001</v>
      </c>
      <c r="BD46" s="553">
        <f>'Prod&amp;Consp'!BG62*$C$19/1000</f>
        <v>950.77125000000001</v>
      </c>
      <c r="BE46" s="553">
        <f>'Prod&amp;Consp'!BH62*$C$19/1000</f>
        <v>950.77125000000001</v>
      </c>
      <c r="BF46" s="553">
        <f>'Prod&amp;Consp'!BI62*$C$19/1000</f>
        <v>950.77125000000001</v>
      </c>
      <c r="BG46" s="553">
        <f>'Prod&amp;Consp'!BJ62*$C$19/1000</f>
        <v>950.77125000000001</v>
      </c>
      <c r="BH46" s="553">
        <f>'Prod&amp;Consp'!BK62*$C$19/1000</f>
        <v>950.77125000000001</v>
      </c>
      <c r="BI46" s="553">
        <f>'Prod&amp;Consp'!BL62*$C$19/1000</f>
        <v>950.77125000000001</v>
      </c>
      <c r="BJ46" s="553">
        <f>'Prod&amp;Consp'!BM62*$C$19/1000</f>
        <v>950.77125000000001</v>
      </c>
      <c r="BK46" s="560">
        <f t="shared" si="132"/>
        <v>11409.254999999999</v>
      </c>
      <c r="BL46" s="565"/>
      <c r="BM46" s="553">
        <f>'Prod&amp;Consp'!BP62*$C$19/1000</f>
        <v>1740.5212500000002</v>
      </c>
      <c r="BN46" s="562">
        <f>'Prod&amp;Consp'!BQ62*$C$19/1000</f>
        <v>1740.5212500000002</v>
      </c>
      <c r="BO46" s="553">
        <f>'Prod&amp;Consp'!BR62*$C$19/1000</f>
        <v>950.77125000000001</v>
      </c>
      <c r="BP46" s="553">
        <f>'Prod&amp;Consp'!BS62*$C$19/1000</f>
        <v>950.77125000000001</v>
      </c>
      <c r="BQ46" s="553">
        <f>'Prod&amp;Consp'!BT62*$C$19/1000</f>
        <v>950.77125000000001</v>
      </c>
      <c r="BR46" s="553">
        <f>'Prod&amp;Consp'!BU62*$C$19/1000</f>
        <v>950.77125000000001</v>
      </c>
      <c r="BS46" s="553">
        <f>'Prod&amp;Consp'!BV62*$C$19/1000</f>
        <v>950.77125000000001</v>
      </c>
      <c r="BT46" s="553">
        <f>'Prod&amp;Consp'!BW62*$C$19/1000</f>
        <v>950.77125000000001</v>
      </c>
      <c r="BU46" s="553">
        <f>'Prod&amp;Consp'!BX62*$C$19/1000</f>
        <v>950.77125000000001</v>
      </c>
      <c r="BV46" s="553">
        <f>'Prod&amp;Consp'!BY62*$C$19/1000</f>
        <v>950.77125000000001</v>
      </c>
      <c r="BW46" s="553">
        <f>'Prod&amp;Consp'!BZ62*$C$19/1000</f>
        <v>950.77125000000001</v>
      </c>
      <c r="BX46" s="553">
        <f>'Prod&amp;Consp'!CA62*$C$19/1000</f>
        <v>950.77125000000001</v>
      </c>
      <c r="BY46" s="560">
        <f t="shared" si="133"/>
        <v>12988.754999999999</v>
      </c>
      <c r="BZ46" s="565"/>
      <c r="CA46" s="553">
        <f>'Prod&amp;Consp'!CD62*$C$19/1000</f>
        <v>950.77125000000001</v>
      </c>
      <c r="CB46" s="553">
        <f>'Prod&amp;Consp'!CE62*$C$19/1000</f>
        <v>950.77125000000001</v>
      </c>
      <c r="CC46" s="553">
        <f>'Prod&amp;Consp'!CF62*$C$19/1000</f>
        <v>950.77125000000001</v>
      </c>
      <c r="CD46" s="553">
        <f>'Prod&amp;Consp'!CG62*$C$19/1000</f>
        <v>950.77125000000001</v>
      </c>
      <c r="CE46" s="553">
        <f>'Prod&amp;Consp'!CH62*$C$19/1000</f>
        <v>950.77125000000001</v>
      </c>
      <c r="CF46" s="553">
        <f>'Prod&amp;Consp'!CI62*$C$19/1000</f>
        <v>950.77125000000001</v>
      </c>
      <c r="CG46" s="553">
        <f>'Prod&amp;Consp'!CJ62*$C$19/1000</f>
        <v>1740.5212500000002</v>
      </c>
      <c r="CH46" s="562">
        <f>'Prod&amp;Consp'!CK62*$C$19/1000</f>
        <v>1740.5212500000002</v>
      </c>
      <c r="CI46" s="553">
        <f>'Prod&amp;Consp'!CL62*$C$19/1000</f>
        <v>950.77125000000001</v>
      </c>
      <c r="CJ46" s="553">
        <f>'Prod&amp;Consp'!CM62*$C$19/1000</f>
        <v>950.77125000000001</v>
      </c>
      <c r="CK46" s="553">
        <f>'Prod&amp;Consp'!CN62*$C$19/1000</f>
        <v>950.77125000000001</v>
      </c>
      <c r="CL46" s="553">
        <f>'Prod&amp;Consp'!CO62*$C$19/1000</f>
        <v>950.77125000000001</v>
      </c>
      <c r="CM46" s="560">
        <f t="shared" si="134"/>
        <v>12988.754999999999</v>
      </c>
      <c r="CN46" s="565"/>
      <c r="CO46" s="553">
        <f>'Prod&amp;Consp'!CR62*$C$19/1000</f>
        <v>950.77125000000001</v>
      </c>
      <c r="CP46" s="553">
        <f>'Prod&amp;Consp'!CS62*$C$19/1000</f>
        <v>950.77125000000001</v>
      </c>
      <c r="CQ46" s="553">
        <f>'Prod&amp;Consp'!CT62*$C$19/1000</f>
        <v>950.77125000000001</v>
      </c>
      <c r="CR46" s="553">
        <f>'Prod&amp;Consp'!CU62*$C$19/1000</f>
        <v>950.77125000000001</v>
      </c>
      <c r="CS46" s="553">
        <f>'Prod&amp;Consp'!CV62*$C$19/1000</f>
        <v>950.77125000000001</v>
      </c>
      <c r="CT46" s="553">
        <f>'Prod&amp;Consp'!CW62*$C$19/1000</f>
        <v>950.77125000000001</v>
      </c>
      <c r="CU46" s="553">
        <f>'Prod&amp;Consp'!CX62*$C$19/1000</f>
        <v>950.77125000000001</v>
      </c>
      <c r="CV46" s="553">
        <f>'Prod&amp;Consp'!CY62*$C$19/1000</f>
        <v>950.77125000000001</v>
      </c>
      <c r="CW46" s="553">
        <f>'Prod&amp;Consp'!CZ62*$C$19/1000</f>
        <v>950.77125000000001</v>
      </c>
      <c r="CX46" s="553">
        <f>'Prod&amp;Consp'!DA62*$C$19/1000</f>
        <v>950.77125000000001</v>
      </c>
      <c r="CY46" s="553">
        <f>'Prod&amp;Consp'!DB62*$C$19/1000</f>
        <v>950.77125000000001</v>
      </c>
      <c r="CZ46" s="553">
        <f>'Prod&amp;Consp'!DC62*$C$19/1000</f>
        <v>950.77125000000001</v>
      </c>
      <c r="DA46" s="560">
        <f t="shared" si="135"/>
        <v>11409.254999999999</v>
      </c>
      <c r="DB46" s="565"/>
      <c r="DC46" s="553">
        <f>'Prod&amp;Consp'!DF62*$C$19/1000</f>
        <v>1740.5212500000002</v>
      </c>
      <c r="DD46" s="562">
        <f>'Prod&amp;Consp'!DG62*$C$19/1000</f>
        <v>1740.5212500000002</v>
      </c>
      <c r="DE46" s="553">
        <f>'Prod&amp;Consp'!DH62*$C$19/1000</f>
        <v>950.77125000000001</v>
      </c>
      <c r="DF46" s="553">
        <f>'Prod&amp;Consp'!DI62*$C$19/1000</f>
        <v>950.77125000000001</v>
      </c>
      <c r="DG46" s="553">
        <f>'Prod&amp;Consp'!DJ62*$C$19/1000</f>
        <v>950.77125000000001</v>
      </c>
      <c r="DH46" s="553">
        <f>'Prod&amp;Consp'!DK62*$C$19/1000</f>
        <v>950.77125000000001</v>
      </c>
      <c r="DI46" s="553">
        <f>'Prod&amp;Consp'!DL62*$C$19/1000</f>
        <v>950.77125000000001</v>
      </c>
      <c r="DJ46" s="553">
        <f>'Prod&amp;Consp'!DM62*$C$19/1000</f>
        <v>950.77125000000001</v>
      </c>
      <c r="DK46" s="553">
        <f>'Prod&amp;Consp'!DN62*$C$19/1000</f>
        <v>950.77125000000001</v>
      </c>
      <c r="DL46" s="553">
        <f>'Prod&amp;Consp'!DO62*$C$19/1000</f>
        <v>950.77125000000001</v>
      </c>
      <c r="DM46" s="553">
        <f>'Prod&amp;Consp'!DP62*$C$19/1000</f>
        <v>950.77125000000001</v>
      </c>
      <c r="DN46" s="553">
        <f>'Prod&amp;Consp'!DQ62*$C$19/1000</f>
        <v>950.77125000000001</v>
      </c>
      <c r="DO46" s="560">
        <f t="shared" si="136"/>
        <v>12988.754999999999</v>
      </c>
      <c r="DP46" s="565"/>
      <c r="DQ46" s="553">
        <f>'Prod&amp;Consp'!DT62*$C$19/1000</f>
        <v>950.77125000000001</v>
      </c>
      <c r="DR46" s="553">
        <f>'Prod&amp;Consp'!DU62*$C$19/1000</f>
        <v>950.77125000000001</v>
      </c>
      <c r="DS46" s="553">
        <f>'Prod&amp;Consp'!DV62*$C$19/1000</f>
        <v>950.77125000000001</v>
      </c>
      <c r="DT46" s="553">
        <f>'Prod&amp;Consp'!DW62*$C$19/1000</f>
        <v>950.77125000000001</v>
      </c>
      <c r="DU46" s="553">
        <f>'Prod&amp;Consp'!DX62*$C$19/1000</f>
        <v>950.77125000000001</v>
      </c>
      <c r="DV46" s="553">
        <f>'Prod&amp;Consp'!DY62*$C$19/1000</f>
        <v>950.77125000000001</v>
      </c>
      <c r="DW46" s="553">
        <f>'Prod&amp;Consp'!DZ62*$C$19/1000</f>
        <v>1740.5212500000002</v>
      </c>
      <c r="DX46" s="562">
        <f>'Prod&amp;Consp'!EA62*$C$19/1000</f>
        <v>1740.5212500000002</v>
      </c>
      <c r="DY46" s="553">
        <f>'Prod&amp;Consp'!EB62*$C$19/1000</f>
        <v>950.77125000000001</v>
      </c>
      <c r="DZ46" s="553">
        <f>'Prod&amp;Consp'!EC62*$C$19/1000</f>
        <v>950.77125000000001</v>
      </c>
      <c r="EA46" s="553">
        <f>'Prod&amp;Consp'!ED62*$C$19/1000</f>
        <v>950.77125000000001</v>
      </c>
      <c r="EB46" s="553">
        <f>'Prod&amp;Consp'!EE62*$C$19/1000</f>
        <v>950.77125000000001</v>
      </c>
      <c r="EC46" s="560">
        <f t="shared" si="137"/>
        <v>12988.754999999999</v>
      </c>
      <c r="ED46" s="565"/>
      <c r="EE46" s="553">
        <f>'Prod&amp;Consp'!EH62*$C$19/1000</f>
        <v>950.77125000000001</v>
      </c>
      <c r="EF46" s="553">
        <f>'Prod&amp;Consp'!EI62*$C$19/1000</f>
        <v>950.77125000000001</v>
      </c>
      <c r="EG46" s="553">
        <f>'Prod&amp;Consp'!EJ62*$C$19/1000</f>
        <v>950.77125000000001</v>
      </c>
      <c r="EH46" s="553">
        <f>'Prod&amp;Consp'!EK62*$C$19/1000</f>
        <v>950.77125000000001</v>
      </c>
      <c r="EI46" s="553">
        <f>'Prod&amp;Consp'!EL62*$C$19/1000</f>
        <v>950.77125000000001</v>
      </c>
      <c r="EJ46" s="553">
        <f>'Prod&amp;Consp'!EM62*$C$19/1000</f>
        <v>950.77125000000001</v>
      </c>
      <c r="EK46" s="553">
        <f>'Prod&amp;Consp'!EN62*$C$19/1000</f>
        <v>950.77125000000001</v>
      </c>
      <c r="EL46" s="553">
        <f>'Prod&amp;Consp'!EO62*$C$19/1000</f>
        <v>950.77125000000001</v>
      </c>
      <c r="EM46" s="553">
        <f>'Prod&amp;Consp'!EP62*$C$19/1000</f>
        <v>950.77125000000001</v>
      </c>
      <c r="EN46" s="553">
        <f>'Prod&amp;Consp'!EQ62*$C$19/1000</f>
        <v>950.77125000000001</v>
      </c>
      <c r="EO46" s="553">
        <f>'Prod&amp;Consp'!ER62*$C$19/1000</f>
        <v>950.77125000000001</v>
      </c>
      <c r="EP46" s="553">
        <f>'Prod&amp;Consp'!ES62*$C$19/1000</f>
        <v>950.77125000000001</v>
      </c>
      <c r="EQ46" s="560">
        <f t="shared" si="138"/>
        <v>11409.254999999999</v>
      </c>
      <c r="ET46" s="536"/>
      <c r="EU46" s="531" t="s">
        <v>511</v>
      </c>
      <c r="EV46" s="4" t="s">
        <v>1019</v>
      </c>
      <c r="EX46" s="553">
        <f t="shared" si="139"/>
        <v>11087.212499999998</v>
      </c>
      <c r="EY46" s="553">
        <f t="shared" si="140"/>
        <v>12988.754999999999</v>
      </c>
      <c r="EZ46" s="553">
        <f t="shared" si="141"/>
        <v>11409.254999999999</v>
      </c>
      <c r="FA46" s="553">
        <f t="shared" si="142"/>
        <v>12988.754999999999</v>
      </c>
      <c r="FB46" s="553">
        <f t="shared" si="143"/>
        <v>12988.754999999999</v>
      </c>
      <c r="FC46" s="553">
        <f t="shared" si="144"/>
        <v>11409.254999999999</v>
      </c>
      <c r="FD46" s="553">
        <f t="shared" si="145"/>
        <v>12988.754999999999</v>
      </c>
      <c r="FE46" s="553">
        <f t="shared" si="146"/>
        <v>12988.754999999999</v>
      </c>
      <c r="FF46" s="553">
        <f t="shared" si="147"/>
        <v>11409.254999999999</v>
      </c>
    </row>
    <row r="47" spans="1:162" ht="10.5" customHeight="1" x14ac:dyDescent="0.35">
      <c r="B47" s="531"/>
      <c r="F47" s="536"/>
      <c r="G47" s="531" t="s">
        <v>526</v>
      </c>
      <c r="H47" s="4" t="s">
        <v>1020</v>
      </c>
      <c r="V47" s="565"/>
      <c r="W47" s="553">
        <f>'Prod&amp;Consp'!Z63*$C$20/1000</f>
        <v>1020.6000000000001</v>
      </c>
      <c r="X47" s="553">
        <f>'Prod&amp;Consp'!AA63*$C$20/1000</f>
        <v>1020.6000000000001</v>
      </c>
      <c r="Y47" s="553">
        <f>'Prod&amp;Consp'!AB63*$C$20/1000</f>
        <v>1228.6890000000001</v>
      </c>
      <c r="Z47" s="553">
        <f>'Prod&amp;Consp'!AC63*$C$20/1000</f>
        <v>1228.6890000000001</v>
      </c>
      <c r="AA47" s="553">
        <f>'Prod&amp;Consp'!AD63*$C$20/1000</f>
        <v>1228.6890000000001</v>
      </c>
      <c r="AB47" s="553">
        <f>'Prod&amp;Consp'!AE63*$C$20/1000</f>
        <v>1228.6890000000001</v>
      </c>
      <c r="AC47" s="553">
        <f>'Prod&amp;Consp'!AF63*$C$20/1000</f>
        <v>1228.6890000000001</v>
      </c>
      <c r="AD47" s="553">
        <f>'Prod&amp;Consp'!AG63*$C$20/1000</f>
        <v>1228.6890000000001</v>
      </c>
      <c r="AE47" s="553">
        <f>'Prod&amp;Consp'!AH63*$C$20/1000</f>
        <v>1228.6890000000001</v>
      </c>
      <c r="AF47" s="553">
        <f>'Prod&amp;Consp'!AI63*$C$20/1000</f>
        <v>1228.6890000000001</v>
      </c>
      <c r="AG47" s="553">
        <f>'Prod&amp;Consp'!AJ63*$C$20/1000</f>
        <v>1228.6890000000001</v>
      </c>
      <c r="AH47" s="553">
        <f>'Prod&amp;Consp'!AK63*$C$20/1000</f>
        <v>1228.6890000000001</v>
      </c>
      <c r="AI47" s="560">
        <f t="shared" si="130"/>
        <v>14328.090000000002</v>
      </c>
      <c r="AJ47" s="565"/>
      <c r="AK47" s="553">
        <f>'Prod&amp;Consp'!AN63*$C$20/1000</f>
        <v>1228.6890000000001</v>
      </c>
      <c r="AL47" s="553">
        <f>'Prod&amp;Consp'!AO63*$C$20/1000</f>
        <v>1228.6890000000001</v>
      </c>
      <c r="AM47" s="553">
        <f>'Prod&amp;Consp'!AP63*$C$20/1000</f>
        <v>1228.6890000000001</v>
      </c>
      <c r="AN47" s="553">
        <f>'Prod&amp;Consp'!AQ63*$C$20/1000</f>
        <v>1228.6890000000001</v>
      </c>
      <c r="AO47" s="553">
        <f>'Prod&amp;Consp'!AR63*$C$20/1000</f>
        <v>1228.6890000000001</v>
      </c>
      <c r="AP47" s="553">
        <f>'Prod&amp;Consp'!AS63*$C$20/1000</f>
        <v>1228.6890000000001</v>
      </c>
      <c r="AQ47" s="553">
        <f>'Prod&amp;Consp'!AT63*$C$20/1000</f>
        <v>2249.2890000000002</v>
      </c>
      <c r="AR47" s="562">
        <f>'Prod&amp;Consp'!AU63*$C$20/1000</f>
        <v>2249.2890000000002</v>
      </c>
      <c r="AS47" s="553">
        <f>'Prod&amp;Consp'!AV63*$C$20/1000</f>
        <v>1228.6890000000001</v>
      </c>
      <c r="AT47" s="553">
        <f>'Prod&amp;Consp'!AW63*$C$20/1000</f>
        <v>1228.6890000000001</v>
      </c>
      <c r="AU47" s="553">
        <f>'Prod&amp;Consp'!AX63*$C$20/1000</f>
        <v>1228.6890000000001</v>
      </c>
      <c r="AV47" s="553">
        <f>'Prod&amp;Consp'!AY63*$C$20/1000</f>
        <v>1228.6890000000001</v>
      </c>
      <c r="AW47" s="560">
        <f t="shared" si="131"/>
        <v>16785.468000000001</v>
      </c>
      <c r="AX47" s="565"/>
      <c r="AY47" s="553">
        <f>'Prod&amp;Consp'!BB63*$C$20/1000</f>
        <v>1228.6890000000001</v>
      </c>
      <c r="AZ47" s="553">
        <f>'Prod&amp;Consp'!BC63*$C$20/1000</f>
        <v>1228.6890000000001</v>
      </c>
      <c r="BA47" s="553">
        <f>'Prod&amp;Consp'!BD63*$C$20/1000</f>
        <v>1228.6890000000001</v>
      </c>
      <c r="BB47" s="553">
        <f>'Prod&amp;Consp'!BE63*$C$20/1000</f>
        <v>1228.6890000000001</v>
      </c>
      <c r="BC47" s="553">
        <f>'Prod&amp;Consp'!BF63*$C$20/1000</f>
        <v>1228.6890000000001</v>
      </c>
      <c r="BD47" s="553">
        <f>'Prod&amp;Consp'!BG63*$C$20/1000</f>
        <v>1228.6890000000001</v>
      </c>
      <c r="BE47" s="553">
        <f>'Prod&amp;Consp'!BH63*$C$20/1000</f>
        <v>1228.6890000000001</v>
      </c>
      <c r="BF47" s="553">
        <f>'Prod&amp;Consp'!BI63*$C$20/1000</f>
        <v>1228.6890000000001</v>
      </c>
      <c r="BG47" s="553">
        <f>'Prod&amp;Consp'!BJ63*$C$20/1000</f>
        <v>1228.6890000000001</v>
      </c>
      <c r="BH47" s="553">
        <f>'Prod&amp;Consp'!BK63*$C$20/1000</f>
        <v>1228.6890000000001</v>
      </c>
      <c r="BI47" s="553">
        <f>'Prod&amp;Consp'!BL63*$C$20/1000</f>
        <v>1228.6890000000001</v>
      </c>
      <c r="BJ47" s="553">
        <f>'Prod&amp;Consp'!BM63*$C$20/1000</f>
        <v>1228.6890000000001</v>
      </c>
      <c r="BK47" s="560">
        <f t="shared" si="132"/>
        <v>14744.268000000002</v>
      </c>
      <c r="BL47" s="565"/>
      <c r="BM47" s="553">
        <f>'Prod&amp;Consp'!BP63*$C$20/1000</f>
        <v>2249.2890000000002</v>
      </c>
      <c r="BN47" s="562">
        <f>'Prod&amp;Consp'!BQ63*$C$20/1000</f>
        <v>2249.2890000000002</v>
      </c>
      <c r="BO47" s="553">
        <f>'Prod&amp;Consp'!BR63*$C$20/1000</f>
        <v>1228.6890000000001</v>
      </c>
      <c r="BP47" s="553">
        <f>'Prod&amp;Consp'!BS63*$C$20/1000</f>
        <v>1228.6890000000001</v>
      </c>
      <c r="BQ47" s="553">
        <f>'Prod&amp;Consp'!BT63*$C$20/1000</f>
        <v>1228.6890000000001</v>
      </c>
      <c r="BR47" s="553">
        <f>'Prod&amp;Consp'!BU63*$C$20/1000</f>
        <v>1228.6890000000001</v>
      </c>
      <c r="BS47" s="553">
        <f>'Prod&amp;Consp'!BV63*$C$20/1000</f>
        <v>1228.6890000000001</v>
      </c>
      <c r="BT47" s="553">
        <f>'Prod&amp;Consp'!BW63*$C$20/1000</f>
        <v>1228.6890000000001</v>
      </c>
      <c r="BU47" s="553">
        <f>'Prod&amp;Consp'!BX63*$C$20/1000</f>
        <v>1228.6890000000001</v>
      </c>
      <c r="BV47" s="553">
        <f>'Prod&amp;Consp'!BY63*$C$20/1000</f>
        <v>1228.6890000000001</v>
      </c>
      <c r="BW47" s="553">
        <f>'Prod&amp;Consp'!BZ63*$C$20/1000</f>
        <v>1228.6890000000001</v>
      </c>
      <c r="BX47" s="553">
        <f>'Prod&amp;Consp'!CA63*$C$20/1000</f>
        <v>1228.6890000000001</v>
      </c>
      <c r="BY47" s="560">
        <f t="shared" si="133"/>
        <v>16785.468000000001</v>
      </c>
      <c r="BZ47" s="565"/>
      <c r="CA47" s="553">
        <f>'Prod&amp;Consp'!CD63*$C$20/1000</f>
        <v>1228.6890000000001</v>
      </c>
      <c r="CB47" s="553">
        <f>'Prod&amp;Consp'!CE63*$C$20/1000</f>
        <v>1228.6890000000001</v>
      </c>
      <c r="CC47" s="553">
        <f>'Prod&amp;Consp'!CF63*$C$20/1000</f>
        <v>1228.6890000000001</v>
      </c>
      <c r="CD47" s="553">
        <f>'Prod&amp;Consp'!CG63*$C$20/1000</f>
        <v>1228.6890000000001</v>
      </c>
      <c r="CE47" s="553">
        <f>'Prod&amp;Consp'!CH63*$C$20/1000</f>
        <v>1228.6890000000001</v>
      </c>
      <c r="CF47" s="553">
        <f>'Prod&amp;Consp'!CI63*$C$20/1000</f>
        <v>1228.6890000000001</v>
      </c>
      <c r="CG47" s="553">
        <f>'Prod&amp;Consp'!CJ63*$C$20/1000</f>
        <v>2249.2890000000002</v>
      </c>
      <c r="CH47" s="562">
        <f>'Prod&amp;Consp'!CK63*$C$20/1000</f>
        <v>2249.2890000000002</v>
      </c>
      <c r="CI47" s="553">
        <f>'Prod&amp;Consp'!CL63*$C$20/1000</f>
        <v>1228.6890000000001</v>
      </c>
      <c r="CJ47" s="553">
        <f>'Prod&amp;Consp'!CM63*$C$20/1000</f>
        <v>1228.6890000000001</v>
      </c>
      <c r="CK47" s="553">
        <f>'Prod&amp;Consp'!CN63*$C$20/1000</f>
        <v>1228.6890000000001</v>
      </c>
      <c r="CL47" s="553">
        <f>'Prod&amp;Consp'!CO63*$C$20/1000</f>
        <v>1228.6890000000001</v>
      </c>
      <c r="CM47" s="560">
        <f t="shared" si="134"/>
        <v>16785.468000000001</v>
      </c>
      <c r="CN47" s="565"/>
      <c r="CO47" s="553">
        <f>'Prod&amp;Consp'!CR63*$C$20/1000</f>
        <v>1228.6890000000001</v>
      </c>
      <c r="CP47" s="553">
        <f>'Prod&amp;Consp'!CS63*$C$20/1000</f>
        <v>1228.6890000000001</v>
      </c>
      <c r="CQ47" s="553">
        <f>'Prod&amp;Consp'!CT63*$C$20/1000</f>
        <v>1228.6890000000001</v>
      </c>
      <c r="CR47" s="553">
        <f>'Prod&amp;Consp'!CU63*$C$20/1000</f>
        <v>1228.6890000000001</v>
      </c>
      <c r="CS47" s="553">
        <f>'Prod&amp;Consp'!CV63*$C$20/1000</f>
        <v>1228.6890000000001</v>
      </c>
      <c r="CT47" s="553">
        <f>'Prod&amp;Consp'!CW63*$C$20/1000</f>
        <v>1228.6890000000001</v>
      </c>
      <c r="CU47" s="553">
        <f>'Prod&amp;Consp'!CX63*$C$20/1000</f>
        <v>1228.6890000000001</v>
      </c>
      <c r="CV47" s="553">
        <f>'Prod&amp;Consp'!CY63*$C$20/1000</f>
        <v>1228.6890000000001</v>
      </c>
      <c r="CW47" s="553">
        <f>'Prod&amp;Consp'!CZ63*$C$20/1000</f>
        <v>1228.6890000000001</v>
      </c>
      <c r="CX47" s="553">
        <f>'Prod&amp;Consp'!DA63*$C$20/1000</f>
        <v>1228.6890000000001</v>
      </c>
      <c r="CY47" s="553">
        <f>'Prod&amp;Consp'!DB63*$C$20/1000</f>
        <v>1228.6890000000001</v>
      </c>
      <c r="CZ47" s="553">
        <f>'Prod&amp;Consp'!DC63*$C$20/1000</f>
        <v>1228.6890000000001</v>
      </c>
      <c r="DA47" s="560">
        <f t="shared" si="135"/>
        <v>14744.268000000002</v>
      </c>
      <c r="DB47" s="565"/>
      <c r="DC47" s="553">
        <f>'Prod&amp;Consp'!DF63*$C$20/1000</f>
        <v>2249.2890000000002</v>
      </c>
      <c r="DD47" s="562">
        <f>'Prod&amp;Consp'!DG63*$C$20/1000</f>
        <v>2249.2890000000002</v>
      </c>
      <c r="DE47" s="553">
        <f>'Prod&amp;Consp'!DH63*$C$20/1000</f>
        <v>1228.6890000000001</v>
      </c>
      <c r="DF47" s="553">
        <f>'Prod&amp;Consp'!DI63*$C$20/1000</f>
        <v>1228.6890000000001</v>
      </c>
      <c r="DG47" s="553">
        <f>'Prod&amp;Consp'!DJ63*$C$20/1000</f>
        <v>1228.6890000000001</v>
      </c>
      <c r="DH47" s="553">
        <f>'Prod&amp;Consp'!DK63*$C$20/1000</f>
        <v>1228.6890000000001</v>
      </c>
      <c r="DI47" s="553">
        <f>'Prod&amp;Consp'!DL63*$C$20/1000</f>
        <v>1228.6890000000001</v>
      </c>
      <c r="DJ47" s="553">
        <f>'Prod&amp;Consp'!DM63*$C$20/1000</f>
        <v>1228.6890000000001</v>
      </c>
      <c r="DK47" s="553">
        <f>'Prod&amp;Consp'!DN63*$C$20/1000</f>
        <v>1228.6890000000001</v>
      </c>
      <c r="DL47" s="553">
        <f>'Prod&amp;Consp'!DO63*$C$20/1000</f>
        <v>1228.6890000000001</v>
      </c>
      <c r="DM47" s="553">
        <f>'Prod&amp;Consp'!DP63*$C$20/1000</f>
        <v>1228.6890000000001</v>
      </c>
      <c r="DN47" s="553">
        <f>'Prod&amp;Consp'!DQ63*$C$20/1000</f>
        <v>1228.6890000000001</v>
      </c>
      <c r="DO47" s="560">
        <f t="shared" si="136"/>
        <v>16785.468000000001</v>
      </c>
      <c r="DP47" s="565"/>
      <c r="DQ47" s="553">
        <f>'Prod&amp;Consp'!DT63*$C$20/1000</f>
        <v>1228.6890000000001</v>
      </c>
      <c r="DR47" s="553">
        <f>'Prod&amp;Consp'!DU63*$C$20/1000</f>
        <v>1228.6890000000001</v>
      </c>
      <c r="DS47" s="553">
        <f>'Prod&amp;Consp'!DV63*$C$20/1000</f>
        <v>1228.6890000000001</v>
      </c>
      <c r="DT47" s="553">
        <f>'Prod&amp;Consp'!DW63*$C$20/1000</f>
        <v>1228.6890000000001</v>
      </c>
      <c r="DU47" s="553">
        <f>'Prod&amp;Consp'!DX63*$C$20/1000</f>
        <v>1228.6890000000001</v>
      </c>
      <c r="DV47" s="553">
        <f>'Prod&amp;Consp'!DY63*$C$20/1000</f>
        <v>1228.6890000000001</v>
      </c>
      <c r="DW47" s="553">
        <f>'Prod&amp;Consp'!DZ63*$C$20/1000</f>
        <v>2249.2890000000002</v>
      </c>
      <c r="DX47" s="562">
        <f>'Prod&amp;Consp'!EA63*$C$20/1000</f>
        <v>2249.2890000000002</v>
      </c>
      <c r="DY47" s="553">
        <f>'Prod&amp;Consp'!EB63*$C$20/1000</f>
        <v>1228.6890000000001</v>
      </c>
      <c r="DZ47" s="553">
        <f>'Prod&amp;Consp'!EC63*$C$20/1000</f>
        <v>1228.6890000000001</v>
      </c>
      <c r="EA47" s="553">
        <f>'Prod&amp;Consp'!ED63*$C$20/1000</f>
        <v>1228.6890000000001</v>
      </c>
      <c r="EB47" s="553">
        <f>'Prod&amp;Consp'!EE63*$C$20/1000</f>
        <v>1228.6890000000001</v>
      </c>
      <c r="EC47" s="560">
        <f t="shared" si="137"/>
        <v>16785.468000000001</v>
      </c>
      <c r="ED47" s="565"/>
      <c r="EE47" s="553">
        <f>'Prod&amp;Consp'!EH63*$C$20/1000</f>
        <v>1228.6890000000001</v>
      </c>
      <c r="EF47" s="553">
        <f>'Prod&amp;Consp'!EI63*$C$20/1000</f>
        <v>1228.6890000000001</v>
      </c>
      <c r="EG47" s="553">
        <f>'Prod&amp;Consp'!EJ63*$C$20/1000</f>
        <v>1228.6890000000001</v>
      </c>
      <c r="EH47" s="553">
        <f>'Prod&amp;Consp'!EK63*$C$20/1000</f>
        <v>1228.6890000000001</v>
      </c>
      <c r="EI47" s="553">
        <f>'Prod&amp;Consp'!EL63*$C$20/1000</f>
        <v>1228.6890000000001</v>
      </c>
      <c r="EJ47" s="553">
        <f>'Prod&amp;Consp'!EM63*$C$20/1000</f>
        <v>1228.6890000000001</v>
      </c>
      <c r="EK47" s="553">
        <f>'Prod&amp;Consp'!EN63*$C$20/1000</f>
        <v>1228.6890000000001</v>
      </c>
      <c r="EL47" s="553">
        <f>'Prod&amp;Consp'!EO63*$C$20/1000</f>
        <v>1228.6890000000001</v>
      </c>
      <c r="EM47" s="553">
        <f>'Prod&amp;Consp'!EP63*$C$20/1000</f>
        <v>1228.6890000000001</v>
      </c>
      <c r="EN47" s="553">
        <f>'Prod&amp;Consp'!EQ63*$C$20/1000</f>
        <v>1228.6890000000001</v>
      </c>
      <c r="EO47" s="553">
        <f>'Prod&amp;Consp'!ER63*$C$20/1000</f>
        <v>1228.6890000000001</v>
      </c>
      <c r="EP47" s="553">
        <f>'Prod&amp;Consp'!ES63*$C$20/1000</f>
        <v>1228.6890000000001</v>
      </c>
      <c r="EQ47" s="560">
        <f t="shared" si="138"/>
        <v>14744.268000000002</v>
      </c>
      <c r="ET47" s="536"/>
      <c r="EU47" s="531" t="s">
        <v>526</v>
      </c>
      <c r="EV47" s="4" t="s">
        <v>1020</v>
      </c>
      <c r="EX47" s="553">
        <f t="shared" si="139"/>
        <v>14328.090000000002</v>
      </c>
      <c r="EY47" s="553">
        <f t="shared" si="140"/>
        <v>16785.468000000001</v>
      </c>
      <c r="EZ47" s="553">
        <f t="shared" si="141"/>
        <v>14744.268000000002</v>
      </c>
      <c r="FA47" s="553">
        <f t="shared" si="142"/>
        <v>16785.468000000001</v>
      </c>
      <c r="FB47" s="553">
        <f t="shared" si="143"/>
        <v>16785.468000000001</v>
      </c>
      <c r="FC47" s="553">
        <f t="shared" si="144"/>
        <v>14744.268000000002</v>
      </c>
      <c r="FD47" s="553">
        <f t="shared" si="145"/>
        <v>16785.468000000001</v>
      </c>
      <c r="FE47" s="553">
        <f t="shared" si="146"/>
        <v>16785.468000000001</v>
      </c>
      <c r="FF47" s="553">
        <f t="shared" si="147"/>
        <v>14744.268000000002</v>
      </c>
    </row>
    <row r="48" spans="1:162" ht="10.5" customHeight="1" x14ac:dyDescent="0.35">
      <c r="B48" s="531"/>
      <c r="F48" s="536"/>
      <c r="G48" s="531" t="s">
        <v>513</v>
      </c>
      <c r="H48" s="4" t="s">
        <v>1021</v>
      </c>
      <c r="V48" s="565"/>
      <c r="W48" s="553">
        <f>'Prod&amp;Consp'!Z64*$C$21/1000</f>
        <v>1458</v>
      </c>
      <c r="X48" s="553">
        <f>'Prod&amp;Consp'!AA64*$C$21/1000</f>
        <v>1458</v>
      </c>
      <c r="Y48" s="553">
        <f>'Prod&amp;Consp'!AB64*$C$21/1000</f>
        <v>1755.27</v>
      </c>
      <c r="Z48" s="553">
        <f>'Prod&amp;Consp'!AC64*$C$21/1000</f>
        <v>1755.27</v>
      </c>
      <c r="AA48" s="553">
        <f>'Prod&amp;Consp'!AD64*$C$21/1000</f>
        <v>1755.27</v>
      </c>
      <c r="AB48" s="553">
        <f>'Prod&amp;Consp'!AE64*$C$21/1000</f>
        <v>1755.27</v>
      </c>
      <c r="AC48" s="553">
        <f>'Prod&amp;Consp'!AF64*$C$21/1000</f>
        <v>1755.27</v>
      </c>
      <c r="AD48" s="553">
        <f>'Prod&amp;Consp'!AG64*$C$21/1000</f>
        <v>1755.27</v>
      </c>
      <c r="AE48" s="553">
        <f>'Prod&amp;Consp'!AH64*$C$21/1000</f>
        <v>1755.27</v>
      </c>
      <c r="AF48" s="553">
        <f>'Prod&amp;Consp'!AI64*$C$21/1000</f>
        <v>1755.27</v>
      </c>
      <c r="AG48" s="553">
        <f>'Prod&amp;Consp'!AJ64*$C$21/1000</f>
        <v>1755.27</v>
      </c>
      <c r="AH48" s="553">
        <f>'Prod&amp;Consp'!AK64*$C$21/1000</f>
        <v>1755.27</v>
      </c>
      <c r="AI48" s="560">
        <f t="shared" si="130"/>
        <v>20468.700000000004</v>
      </c>
      <c r="AJ48" s="565"/>
      <c r="AK48" s="553">
        <f>'Prod&amp;Consp'!AN64*$C$21/1000</f>
        <v>1755.27</v>
      </c>
      <c r="AL48" s="553">
        <f>'Prod&amp;Consp'!AO64*$C$21/1000</f>
        <v>1755.27</v>
      </c>
      <c r="AM48" s="553">
        <f>'Prod&amp;Consp'!AP64*$C$21/1000</f>
        <v>1755.27</v>
      </c>
      <c r="AN48" s="553">
        <f>'Prod&amp;Consp'!AQ64*$C$21/1000</f>
        <v>1755.27</v>
      </c>
      <c r="AO48" s="553">
        <f>'Prod&amp;Consp'!AR64*$C$21/1000</f>
        <v>1755.27</v>
      </c>
      <c r="AP48" s="553">
        <f>'Prod&amp;Consp'!AS64*$C$21/1000</f>
        <v>1755.27</v>
      </c>
      <c r="AQ48" s="553">
        <f>'Prod&amp;Consp'!AT64*$C$21/1000</f>
        <v>3213.2700000000004</v>
      </c>
      <c r="AR48" s="562">
        <f>'Prod&amp;Consp'!AU64*$C$21/1000</f>
        <v>3213.2700000000004</v>
      </c>
      <c r="AS48" s="553">
        <f>'Prod&amp;Consp'!AV64*$C$21/1000</f>
        <v>1755.27</v>
      </c>
      <c r="AT48" s="553">
        <f>'Prod&amp;Consp'!AW64*$C$21/1000</f>
        <v>1755.27</v>
      </c>
      <c r="AU48" s="553">
        <f>'Prod&amp;Consp'!AX64*$C$21/1000</f>
        <v>1755.27</v>
      </c>
      <c r="AV48" s="553">
        <f>'Prod&amp;Consp'!AY64*$C$21/1000</f>
        <v>1755.27</v>
      </c>
      <c r="AW48" s="560">
        <f t="shared" si="131"/>
        <v>23979.240000000005</v>
      </c>
      <c r="AX48" s="565"/>
      <c r="AY48" s="553">
        <f>'Prod&amp;Consp'!BB64*$C$21/1000</f>
        <v>1755.27</v>
      </c>
      <c r="AZ48" s="553">
        <f>'Prod&amp;Consp'!BC64*$C$21/1000</f>
        <v>1755.27</v>
      </c>
      <c r="BA48" s="553">
        <f>'Prod&amp;Consp'!BD64*$C$21/1000</f>
        <v>1755.27</v>
      </c>
      <c r="BB48" s="553">
        <f>'Prod&amp;Consp'!BE64*$C$21/1000</f>
        <v>1755.27</v>
      </c>
      <c r="BC48" s="553">
        <f>'Prod&amp;Consp'!BF64*$C$21/1000</f>
        <v>1755.27</v>
      </c>
      <c r="BD48" s="553">
        <f>'Prod&amp;Consp'!BG64*$C$21/1000</f>
        <v>1755.27</v>
      </c>
      <c r="BE48" s="553">
        <f>'Prod&amp;Consp'!BH64*$C$21/1000</f>
        <v>1755.27</v>
      </c>
      <c r="BF48" s="553">
        <f>'Prod&amp;Consp'!BI64*$C$21/1000</f>
        <v>1755.27</v>
      </c>
      <c r="BG48" s="553">
        <f>'Prod&amp;Consp'!BJ64*$C$21/1000</f>
        <v>1755.27</v>
      </c>
      <c r="BH48" s="553">
        <f>'Prod&amp;Consp'!BK64*$C$21/1000</f>
        <v>1755.27</v>
      </c>
      <c r="BI48" s="553">
        <f>'Prod&amp;Consp'!BL64*$C$21/1000</f>
        <v>1755.27</v>
      </c>
      <c r="BJ48" s="553">
        <f>'Prod&amp;Consp'!BM64*$C$21/1000</f>
        <v>1755.27</v>
      </c>
      <c r="BK48" s="560">
        <f t="shared" si="132"/>
        <v>21063.24</v>
      </c>
      <c r="BL48" s="565"/>
      <c r="BM48" s="553">
        <f>'Prod&amp;Consp'!BP64*$C$21/1000</f>
        <v>3213.2700000000004</v>
      </c>
      <c r="BN48" s="562">
        <f>'Prod&amp;Consp'!BQ64*$C$21/1000</f>
        <v>3213.2700000000004</v>
      </c>
      <c r="BO48" s="553">
        <f>'Prod&amp;Consp'!BR64*$C$21/1000</f>
        <v>1755.27</v>
      </c>
      <c r="BP48" s="553">
        <f>'Prod&amp;Consp'!BS64*$C$21/1000</f>
        <v>1755.27</v>
      </c>
      <c r="BQ48" s="553">
        <f>'Prod&amp;Consp'!BT64*$C$21/1000</f>
        <v>1755.27</v>
      </c>
      <c r="BR48" s="553">
        <f>'Prod&amp;Consp'!BU64*$C$21/1000</f>
        <v>1755.27</v>
      </c>
      <c r="BS48" s="553">
        <f>'Prod&amp;Consp'!BV64*$C$21/1000</f>
        <v>1755.27</v>
      </c>
      <c r="BT48" s="553">
        <f>'Prod&amp;Consp'!BW64*$C$21/1000</f>
        <v>1755.27</v>
      </c>
      <c r="BU48" s="553">
        <f>'Prod&amp;Consp'!BX64*$C$21/1000</f>
        <v>1755.27</v>
      </c>
      <c r="BV48" s="553">
        <f>'Prod&amp;Consp'!BY64*$C$21/1000</f>
        <v>1755.27</v>
      </c>
      <c r="BW48" s="553">
        <f>'Prod&amp;Consp'!BZ64*$C$21/1000</f>
        <v>1755.27</v>
      </c>
      <c r="BX48" s="553">
        <f>'Prod&amp;Consp'!CA64*$C$21/1000</f>
        <v>1755.27</v>
      </c>
      <c r="BY48" s="560">
        <f t="shared" si="133"/>
        <v>23979.240000000005</v>
      </c>
      <c r="BZ48" s="565"/>
      <c r="CA48" s="553">
        <f>'Prod&amp;Consp'!CD64*$C$21/1000</f>
        <v>1755.27</v>
      </c>
      <c r="CB48" s="553">
        <f>'Prod&amp;Consp'!CE64*$C$21/1000</f>
        <v>1755.27</v>
      </c>
      <c r="CC48" s="553">
        <f>'Prod&amp;Consp'!CF64*$C$21/1000</f>
        <v>1755.27</v>
      </c>
      <c r="CD48" s="553">
        <f>'Prod&amp;Consp'!CG64*$C$21/1000</f>
        <v>1755.27</v>
      </c>
      <c r="CE48" s="553">
        <f>'Prod&amp;Consp'!CH64*$C$21/1000</f>
        <v>1755.27</v>
      </c>
      <c r="CF48" s="553">
        <f>'Prod&amp;Consp'!CI64*$C$21/1000</f>
        <v>1755.27</v>
      </c>
      <c r="CG48" s="553">
        <f>'Prod&amp;Consp'!CJ64*$C$21/1000</f>
        <v>3213.2700000000004</v>
      </c>
      <c r="CH48" s="562">
        <f>'Prod&amp;Consp'!CK64*$C$21/1000</f>
        <v>3213.2700000000004</v>
      </c>
      <c r="CI48" s="553">
        <f>'Prod&amp;Consp'!CL64*$C$21/1000</f>
        <v>1755.27</v>
      </c>
      <c r="CJ48" s="553">
        <f>'Prod&amp;Consp'!CM64*$C$21/1000</f>
        <v>1755.27</v>
      </c>
      <c r="CK48" s="553">
        <f>'Prod&amp;Consp'!CN64*$C$21/1000</f>
        <v>1755.27</v>
      </c>
      <c r="CL48" s="553">
        <f>'Prod&amp;Consp'!CO64*$C$21/1000</f>
        <v>1755.27</v>
      </c>
      <c r="CM48" s="560">
        <f t="shared" si="134"/>
        <v>23979.240000000005</v>
      </c>
      <c r="CN48" s="565"/>
      <c r="CO48" s="553">
        <f>'Prod&amp;Consp'!CR64*$C$21/1000</f>
        <v>1755.27</v>
      </c>
      <c r="CP48" s="553">
        <f>'Prod&amp;Consp'!CS64*$C$21/1000</f>
        <v>1755.27</v>
      </c>
      <c r="CQ48" s="553">
        <f>'Prod&amp;Consp'!CT64*$C$21/1000</f>
        <v>1755.27</v>
      </c>
      <c r="CR48" s="553">
        <f>'Prod&amp;Consp'!CU64*$C$21/1000</f>
        <v>1755.27</v>
      </c>
      <c r="CS48" s="553">
        <f>'Prod&amp;Consp'!CV64*$C$21/1000</f>
        <v>1755.27</v>
      </c>
      <c r="CT48" s="553">
        <f>'Prod&amp;Consp'!CW64*$C$21/1000</f>
        <v>1755.27</v>
      </c>
      <c r="CU48" s="553">
        <f>'Prod&amp;Consp'!CX64*$C$21/1000</f>
        <v>1755.27</v>
      </c>
      <c r="CV48" s="553">
        <f>'Prod&amp;Consp'!CY64*$C$21/1000</f>
        <v>1755.27</v>
      </c>
      <c r="CW48" s="553">
        <f>'Prod&amp;Consp'!CZ64*$C$21/1000</f>
        <v>1755.27</v>
      </c>
      <c r="CX48" s="553">
        <f>'Prod&amp;Consp'!DA64*$C$21/1000</f>
        <v>1755.27</v>
      </c>
      <c r="CY48" s="553">
        <f>'Prod&amp;Consp'!DB64*$C$21/1000</f>
        <v>1755.27</v>
      </c>
      <c r="CZ48" s="553">
        <f>'Prod&amp;Consp'!DC64*$C$21/1000</f>
        <v>1755.27</v>
      </c>
      <c r="DA48" s="560">
        <f t="shared" si="135"/>
        <v>21063.24</v>
      </c>
      <c r="DB48" s="565"/>
      <c r="DC48" s="553">
        <f>'Prod&amp;Consp'!DF64*$C$21/1000</f>
        <v>3213.2700000000004</v>
      </c>
      <c r="DD48" s="562">
        <f>'Prod&amp;Consp'!DG64*$C$21/1000</f>
        <v>3213.2700000000004</v>
      </c>
      <c r="DE48" s="553">
        <f>'Prod&amp;Consp'!DH64*$C$21/1000</f>
        <v>1755.27</v>
      </c>
      <c r="DF48" s="553">
        <f>'Prod&amp;Consp'!DI64*$C$21/1000</f>
        <v>1755.27</v>
      </c>
      <c r="DG48" s="553">
        <f>'Prod&amp;Consp'!DJ64*$C$21/1000</f>
        <v>1755.27</v>
      </c>
      <c r="DH48" s="553">
        <f>'Prod&amp;Consp'!DK64*$C$21/1000</f>
        <v>1755.27</v>
      </c>
      <c r="DI48" s="553">
        <f>'Prod&amp;Consp'!DL64*$C$21/1000</f>
        <v>1755.27</v>
      </c>
      <c r="DJ48" s="553">
        <f>'Prod&amp;Consp'!DM64*$C$21/1000</f>
        <v>1755.27</v>
      </c>
      <c r="DK48" s="553">
        <f>'Prod&amp;Consp'!DN64*$C$21/1000</f>
        <v>1755.27</v>
      </c>
      <c r="DL48" s="553">
        <f>'Prod&amp;Consp'!DO64*$C$21/1000</f>
        <v>1755.27</v>
      </c>
      <c r="DM48" s="553">
        <f>'Prod&amp;Consp'!DP64*$C$21/1000</f>
        <v>1755.27</v>
      </c>
      <c r="DN48" s="553">
        <f>'Prod&amp;Consp'!DQ64*$C$21/1000</f>
        <v>1755.27</v>
      </c>
      <c r="DO48" s="560">
        <f t="shared" si="136"/>
        <v>23979.240000000005</v>
      </c>
      <c r="DP48" s="565"/>
      <c r="DQ48" s="553">
        <f>'Prod&amp;Consp'!DT64*$C$21/1000</f>
        <v>1755.27</v>
      </c>
      <c r="DR48" s="553">
        <f>'Prod&amp;Consp'!DU64*$C$21/1000</f>
        <v>1755.27</v>
      </c>
      <c r="DS48" s="553">
        <f>'Prod&amp;Consp'!DV64*$C$21/1000</f>
        <v>1755.27</v>
      </c>
      <c r="DT48" s="553">
        <f>'Prod&amp;Consp'!DW64*$C$21/1000</f>
        <v>1755.27</v>
      </c>
      <c r="DU48" s="553">
        <f>'Prod&amp;Consp'!DX64*$C$21/1000</f>
        <v>1755.27</v>
      </c>
      <c r="DV48" s="553">
        <f>'Prod&amp;Consp'!DY64*$C$21/1000</f>
        <v>1755.27</v>
      </c>
      <c r="DW48" s="553">
        <f>'Prod&amp;Consp'!DZ64*$C$21/1000</f>
        <v>3213.2700000000004</v>
      </c>
      <c r="DX48" s="562">
        <f>'Prod&amp;Consp'!EA64*$C$21/1000</f>
        <v>3213.2700000000004</v>
      </c>
      <c r="DY48" s="553">
        <f>'Prod&amp;Consp'!EB64*$C$21/1000</f>
        <v>1755.27</v>
      </c>
      <c r="DZ48" s="553">
        <f>'Prod&amp;Consp'!EC64*$C$21/1000</f>
        <v>1755.27</v>
      </c>
      <c r="EA48" s="553">
        <f>'Prod&amp;Consp'!ED64*$C$21/1000</f>
        <v>1755.27</v>
      </c>
      <c r="EB48" s="553">
        <f>'Prod&amp;Consp'!EE64*$C$21/1000</f>
        <v>1755.27</v>
      </c>
      <c r="EC48" s="560">
        <f t="shared" si="137"/>
        <v>23979.240000000005</v>
      </c>
      <c r="ED48" s="565"/>
      <c r="EE48" s="553">
        <f>'Prod&amp;Consp'!EH64*$C$21/1000</f>
        <v>1755.27</v>
      </c>
      <c r="EF48" s="553">
        <f>'Prod&amp;Consp'!EI64*$C$21/1000</f>
        <v>1755.27</v>
      </c>
      <c r="EG48" s="553">
        <f>'Prod&amp;Consp'!EJ64*$C$21/1000</f>
        <v>1755.27</v>
      </c>
      <c r="EH48" s="553">
        <f>'Prod&amp;Consp'!EK64*$C$21/1000</f>
        <v>1755.27</v>
      </c>
      <c r="EI48" s="553">
        <f>'Prod&amp;Consp'!EL64*$C$21/1000</f>
        <v>1755.27</v>
      </c>
      <c r="EJ48" s="553">
        <f>'Prod&amp;Consp'!EM64*$C$21/1000</f>
        <v>1755.27</v>
      </c>
      <c r="EK48" s="553">
        <f>'Prod&amp;Consp'!EN64*$C$21/1000</f>
        <v>1755.27</v>
      </c>
      <c r="EL48" s="553">
        <f>'Prod&amp;Consp'!EO64*$C$21/1000</f>
        <v>1755.27</v>
      </c>
      <c r="EM48" s="553">
        <f>'Prod&amp;Consp'!EP64*$C$21/1000</f>
        <v>1755.27</v>
      </c>
      <c r="EN48" s="553">
        <f>'Prod&amp;Consp'!EQ64*$C$21/1000</f>
        <v>1755.27</v>
      </c>
      <c r="EO48" s="553">
        <f>'Prod&amp;Consp'!ER64*$C$21/1000</f>
        <v>1755.27</v>
      </c>
      <c r="EP48" s="553">
        <f>'Prod&amp;Consp'!ES64*$C$21/1000</f>
        <v>1755.27</v>
      </c>
      <c r="EQ48" s="560">
        <f t="shared" si="138"/>
        <v>21063.24</v>
      </c>
      <c r="ET48" s="536"/>
      <c r="EU48" s="531" t="s">
        <v>513</v>
      </c>
      <c r="EV48" s="4" t="s">
        <v>1021</v>
      </c>
      <c r="EX48" s="553">
        <f t="shared" si="139"/>
        <v>20468.700000000004</v>
      </c>
      <c r="EY48" s="553">
        <f t="shared" si="140"/>
        <v>23979.240000000005</v>
      </c>
      <c r="EZ48" s="553">
        <f t="shared" si="141"/>
        <v>21063.24</v>
      </c>
      <c r="FA48" s="553">
        <f t="shared" si="142"/>
        <v>23979.240000000005</v>
      </c>
      <c r="FB48" s="553">
        <f t="shared" si="143"/>
        <v>23979.240000000005</v>
      </c>
      <c r="FC48" s="553">
        <f t="shared" si="144"/>
        <v>21063.24</v>
      </c>
      <c r="FD48" s="553">
        <f t="shared" si="145"/>
        <v>23979.240000000005</v>
      </c>
      <c r="FE48" s="553">
        <f t="shared" si="146"/>
        <v>23979.240000000005</v>
      </c>
      <c r="FF48" s="553">
        <f t="shared" si="147"/>
        <v>21063.24</v>
      </c>
    </row>
    <row r="49" spans="2:162" ht="10.5" customHeight="1" x14ac:dyDescent="0.35">
      <c r="B49" s="531"/>
      <c r="F49" s="536">
        <v>2.2999999999999998</v>
      </c>
      <c r="G49" s="531" t="s">
        <v>43</v>
      </c>
      <c r="H49" s="4"/>
      <c r="V49" s="565"/>
      <c r="W49" s="553"/>
      <c r="X49" s="553"/>
      <c r="Y49" s="553"/>
      <c r="Z49" s="553"/>
      <c r="AA49" s="553"/>
      <c r="AB49" s="553"/>
      <c r="AC49" s="553"/>
      <c r="AD49" s="553"/>
      <c r="AE49" s="553"/>
      <c r="AF49" s="553"/>
      <c r="AG49" s="553"/>
      <c r="AH49" s="553"/>
      <c r="AI49" s="560"/>
      <c r="AJ49" s="565"/>
      <c r="AK49" s="553"/>
      <c r="AL49" s="553"/>
      <c r="AM49" s="553"/>
      <c r="AN49" s="553"/>
      <c r="AO49" s="553"/>
      <c r="AP49" s="553"/>
      <c r="AQ49" s="553"/>
      <c r="AR49" s="562"/>
      <c r="AS49" s="553"/>
      <c r="AT49" s="553"/>
      <c r="AU49" s="553"/>
      <c r="AV49" s="553"/>
      <c r="AW49" s="560"/>
      <c r="AX49" s="565"/>
      <c r="AY49" s="553"/>
      <c r="AZ49" s="553"/>
      <c r="BA49" s="553"/>
      <c r="BB49" s="553"/>
      <c r="BC49" s="553"/>
      <c r="BD49" s="553"/>
      <c r="BE49" s="553"/>
      <c r="BF49" s="553"/>
      <c r="BG49" s="553"/>
      <c r="BH49" s="553"/>
      <c r="BI49" s="553"/>
      <c r="BJ49" s="553"/>
      <c r="BK49" s="560"/>
      <c r="BL49" s="565"/>
      <c r="BM49" s="553"/>
      <c r="BN49" s="562"/>
      <c r="BO49" s="553"/>
      <c r="BP49" s="553"/>
      <c r="BQ49" s="553"/>
      <c r="BR49" s="553"/>
      <c r="BS49" s="553"/>
      <c r="BT49" s="553"/>
      <c r="BU49" s="553"/>
      <c r="BV49" s="553"/>
      <c r="BW49" s="553"/>
      <c r="BX49" s="553"/>
      <c r="BY49" s="560"/>
      <c r="BZ49" s="565"/>
      <c r="CA49" s="553"/>
      <c r="CB49" s="553"/>
      <c r="CC49" s="553"/>
      <c r="CD49" s="553"/>
      <c r="CE49" s="553"/>
      <c r="CF49" s="553"/>
      <c r="CG49" s="553"/>
      <c r="CH49" s="562"/>
      <c r="CI49" s="553"/>
      <c r="CJ49" s="553"/>
      <c r="CK49" s="553"/>
      <c r="CL49" s="553"/>
      <c r="CM49" s="560"/>
      <c r="CN49" s="565"/>
      <c r="CO49" s="553"/>
      <c r="CP49" s="553"/>
      <c r="CQ49" s="553"/>
      <c r="CR49" s="553"/>
      <c r="CS49" s="553"/>
      <c r="CT49" s="553"/>
      <c r="CU49" s="553"/>
      <c r="CV49" s="553"/>
      <c r="CW49" s="553"/>
      <c r="CX49" s="553"/>
      <c r="CY49" s="553"/>
      <c r="CZ49" s="553"/>
      <c r="DA49" s="560"/>
      <c r="DB49" s="565"/>
      <c r="DC49" s="553"/>
      <c r="DD49" s="562"/>
      <c r="DE49" s="553"/>
      <c r="DF49" s="553"/>
      <c r="DG49" s="553"/>
      <c r="DH49" s="553"/>
      <c r="DI49" s="553"/>
      <c r="DJ49" s="553"/>
      <c r="DK49" s="553"/>
      <c r="DL49" s="553"/>
      <c r="DM49" s="553"/>
      <c r="DN49" s="553"/>
      <c r="DO49" s="560"/>
      <c r="DP49" s="565"/>
      <c r="DQ49" s="553"/>
      <c r="DR49" s="553"/>
      <c r="DS49" s="553"/>
      <c r="DT49" s="553"/>
      <c r="DU49" s="553"/>
      <c r="DV49" s="553"/>
      <c r="DW49" s="553"/>
      <c r="DX49" s="562"/>
      <c r="DY49" s="553"/>
      <c r="DZ49" s="553"/>
      <c r="EA49" s="553"/>
      <c r="EB49" s="553"/>
      <c r="EC49" s="560"/>
      <c r="ED49" s="565"/>
      <c r="EE49" s="553"/>
      <c r="EF49" s="553"/>
      <c r="EG49" s="553"/>
      <c r="EH49" s="553"/>
      <c r="EI49" s="553"/>
      <c r="EJ49" s="553"/>
      <c r="EK49" s="553"/>
      <c r="EL49" s="553"/>
      <c r="EM49" s="553"/>
      <c r="EN49" s="553"/>
      <c r="EO49" s="553"/>
      <c r="EP49" s="553"/>
      <c r="EQ49" s="560"/>
      <c r="ET49" s="536">
        <v>2.2999999999999998</v>
      </c>
      <c r="EU49" s="531" t="s">
        <v>43</v>
      </c>
      <c r="EV49" s="4"/>
      <c r="EX49" s="576">
        <f>SUM(EX50:EX52)</f>
        <v>16870</v>
      </c>
      <c r="EY49" s="576">
        <f t="shared" ref="EY49:FF49" si="148">SUM(EY50:EY52)</f>
        <v>12420</v>
      </c>
      <c r="EZ49" s="576">
        <f t="shared" si="148"/>
        <v>4450</v>
      </c>
      <c r="FA49" s="576">
        <f t="shared" si="148"/>
        <v>16870</v>
      </c>
      <c r="FB49" s="576">
        <f t="shared" si="148"/>
        <v>12420</v>
      </c>
      <c r="FC49" s="576">
        <f t="shared" si="148"/>
        <v>4450</v>
      </c>
      <c r="FD49" s="576">
        <f t="shared" si="148"/>
        <v>16870</v>
      </c>
      <c r="FE49" s="576">
        <f t="shared" si="148"/>
        <v>12420</v>
      </c>
      <c r="FF49" s="576">
        <f t="shared" si="148"/>
        <v>4450</v>
      </c>
    </row>
    <row r="50" spans="2:162" ht="10.5" customHeight="1" x14ac:dyDescent="0.35">
      <c r="B50" s="531"/>
      <c r="F50" s="536"/>
      <c r="G50" s="531" t="s">
        <v>9</v>
      </c>
      <c r="H50" s="4" t="s">
        <v>1081</v>
      </c>
      <c r="V50" s="565"/>
      <c r="W50" s="553">
        <f>'Prod&amp;Consp'!Z66*$C$23/1000</f>
        <v>6300</v>
      </c>
      <c r="X50" s="553">
        <f>'Prod&amp;Consp'!AA66*$C$23/1000</f>
        <v>0</v>
      </c>
      <c r="Y50" s="553">
        <f>'Prod&amp;Consp'!AB66*$C$23/1000</f>
        <v>0</v>
      </c>
      <c r="Z50" s="553">
        <f>'Prod&amp;Consp'!AC66*$C$23/1000</f>
        <v>0</v>
      </c>
      <c r="AA50" s="553">
        <f>'Prod&amp;Consp'!AD66*$C$23/1000</f>
        <v>0</v>
      </c>
      <c r="AB50" s="553">
        <f>'Prod&amp;Consp'!AE66*$C$23/1000</f>
        <v>0</v>
      </c>
      <c r="AC50" s="553">
        <f>'Prod&amp;Consp'!AF66*$C$23/1000</f>
        <v>0</v>
      </c>
      <c r="AD50" s="553">
        <f>'Prod&amp;Consp'!AG66*$C$23/1000</f>
        <v>0</v>
      </c>
      <c r="AE50" s="553">
        <f>'Prod&amp;Consp'!AH66*$C$23/1000</f>
        <v>0</v>
      </c>
      <c r="AF50" s="553">
        <f>'Prod&amp;Consp'!AI66*$C$23/1000</f>
        <v>0</v>
      </c>
      <c r="AG50" s="553">
        <f>'Prod&amp;Consp'!AJ66*$C$23/1000</f>
        <v>0</v>
      </c>
      <c r="AH50" s="553">
        <f>'Prod&amp;Consp'!AK66*$C$23/1000</f>
        <v>0</v>
      </c>
      <c r="AI50" s="560">
        <f t="shared" ref="AI50:AI52" si="149">SUM(W50:AH50)</f>
        <v>6300</v>
      </c>
      <c r="AJ50" s="565"/>
      <c r="AK50" s="553">
        <f>'Prod&amp;Consp'!AN66*$C$23/1000</f>
        <v>0</v>
      </c>
      <c r="AL50" s="553">
        <f>'Prod&amp;Consp'!AO66*$C$23/1000</f>
        <v>0</v>
      </c>
      <c r="AM50" s="553">
        <f>'Prod&amp;Consp'!AP66*$C$23/1000</f>
        <v>0</v>
      </c>
      <c r="AN50" s="553">
        <f>'Prod&amp;Consp'!AQ66*$C$23/1000</f>
        <v>0</v>
      </c>
      <c r="AO50" s="553">
        <f>'Prod&amp;Consp'!AR66*$C$23/1000</f>
        <v>0</v>
      </c>
      <c r="AP50" s="553">
        <f>'Prod&amp;Consp'!AS66*$C$23/1000</f>
        <v>0</v>
      </c>
      <c r="AQ50" s="553">
        <f>'Prod&amp;Consp'!AT66*$C$23/1000</f>
        <v>6300</v>
      </c>
      <c r="AR50" s="562">
        <f>'Prod&amp;Consp'!AU66*$C$23/1000</f>
        <v>0</v>
      </c>
      <c r="AS50" s="553">
        <f>'Prod&amp;Consp'!AV66*$C$23/1000</f>
        <v>0</v>
      </c>
      <c r="AT50" s="553">
        <f>'Prod&amp;Consp'!AW66*$C$23/1000</f>
        <v>0</v>
      </c>
      <c r="AU50" s="553">
        <f>'Prod&amp;Consp'!AX66*$C$23/1000</f>
        <v>0</v>
      </c>
      <c r="AV50" s="553">
        <f>'Prod&amp;Consp'!AY66*$C$23/1000</f>
        <v>0</v>
      </c>
      <c r="AW50" s="560">
        <f t="shared" ref="AW50:AW52" si="150">SUM(AK50:AV50)</f>
        <v>6300</v>
      </c>
      <c r="AX50" s="565"/>
      <c r="AY50" s="553">
        <f>'Prod&amp;Consp'!BB66*$C$23/1000</f>
        <v>0</v>
      </c>
      <c r="AZ50" s="553">
        <f>'Prod&amp;Consp'!BC66*$C$23/1000</f>
        <v>0</v>
      </c>
      <c r="BA50" s="553">
        <f>'Prod&amp;Consp'!BD66*$C$23/1000</f>
        <v>0</v>
      </c>
      <c r="BB50" s="553">
        <f>'Prod&amp;Consp'!BE66*$C$23/1000</f>
        <v>0</v>
      </c>
      <c r="BC50" s="553">
        <f>'Prod&amp;Consp'!BF66*$C$23/1000</f>
        <v>0</v>
      </c>
      <c r="BD50" s="553">
        <f>'Prod&amp;Consp'!BG66*$C$23/1000</f>
        <v>0</v>
      </c>
      <c r="BE50" s="553">
        <f>'Prod&amp;Consp'!BH66*$C$23/1000</f>
        <v>0</v>
      </c>
      <c r="BF50" s="553">
        <f>'Prod&amp;Consp'!BI66*$C$23/1000</f>
        <v>0</v>
      </c>
      <c r="BG50" s="553">
        <f>'Prod&amp;Consp'!BJ66*$C$23/1000</f>
        <v>0</v>
      </c>
      <c r="BH50" s="553">
        <f>'Prod&amp;Consp'!BK66*$C$23/1000</f>
        <v>0</v>
      </c>
      <c r="BI50" s="553">
        <f>'Prod&amp;Consp'!BL66*$C$23/1000</f>
        <v>0</v>
      </c>
      <c r="BJ50" s="553">
        <f>'Prod&amp;Consp'!BM66*$C$23/1000</f>
        <v>0</v>
      </c>
      <c r="BK50" s="560">
        <f t="shared" ref="BK50:BK52" si="151">SUM(AY50:BJ50)</f>
        <v>0</v>
      </c>
      <c r="BL50" s="565"/>
      <c r="BM50" s="553">
        <f>'Prod&amp;Consp'!BP66*$C$23/1000</f>
        <v>6300</v>
      </c>
      <c r="BN50" s="562">
        <f>'Prod&amp;Consp'!BQ66*$C$23/1000</f>
        <v>0</v>
      </c>
      <c r="BO50" s="553">
        <f>'Prod&amp;Consp'!BR66*$C$23/1000</f>
        <v>0</v>
      </c>
      <c r="BP50" s="553">
        <f>'Prod&amp;Consp'!BS66*$C$23/1000</f>
        <v>0</v>
      </c>
      <c r="BQ50" s="553">
        <f>'Prod&amp;Consp'!BT66*$C$23/1000</f>
        <v>0</v>
      </c>
      <c r="BR50" s="553">
        <f>'Prod&amp;Consp'!BU66*$C$23/1000</f>
        <v>0</v>
      </c>
      <c r="BS50" s="553">
        <f>'Prod&amp;Consp'!BV66*$C$23/1000</f>
        <v>0</v>
      </c>
      <c r="BT50" s="553">
        <f>'Prod&amp;Consp'!BW66*$C$23/1000</f>
        <v>0</v>
      </c>
      <c r="BU50" s="553">
        <f>'Prod&amp;Consp'!BX66*$C$23/1000</f>
        <v>0</v>
      </c>
      <c r="BV50" s="553">
        <f>'Prod&amp;Consp'!BY66*$C$23/1000</f>
        <v>0</v>
      </c>
      <c r="BW50" s="553">
        <f>'Prod&amp;Consp'!BZ66*$C$23/1000</f>
        <v>0</v>
      </c>
      <c r="BX50" s="553">
        <f>'Prod&amp;Consp'!CA66*$C$23/1000</f>
        <v>0</v>
      </c>
      <c r="BY50" s="560">
        <f t="shared" ref="BY50:BY52" si="152">SUM(BM50:BX50)</f>
        <v>6300</v>
      </c>
      <c r="BZ50" s="565"/>
      <c r="CA50" s="553">
        <f>'Prod&amp;Consp'!CD66*$C$23/1000</f>
        <v>0</v>
      </c>
      <c r="CB50" s="553">
        <f>'Prod&amp;Consp'!CE66*$C$23/1000</f>
        <v>0</v>
      </c>
      <c r="CC50" s="553">
        <f>'Prod&amp;Consp'!CF66*$C$23/1000</f>
        <v>0</v>
      </c>
      <c r="CD50" s="553">
        <f>'Prod&amp;Consp'!CG66*$C$23/1000</f>
        <v>0</v>
      </c>
      <c r="CE50" s="553">
        <f>'Prod&amp;Consp'!CH66*$C$23/1000</f>
        <v>0</v>
      </c>
      <c r="CF50" s="553">
        <f>'Prod&amp;Consp'!CI66*$C$23/1000</f>
        <v>0</v>
      </c>
      <c r="CG50" s="553">
        <f>'Prod&amp;Consp'!CJ66*$C$23/1000</f>
        <v>6300</v>
      </c>
      <c r="CH50" s="562">
        <f>'Prod&amp;Consp'!CK66*$C$23/1000</f>
        <v>0</v>
      </c>
      <c r="CI50" s="553">
        <f>'Prod&amp;Consp'!CL66*$C$23/1000</f>
        <v>0</v>
      </c>
      <c r="CJ50" s="553">
        <f>'Prod&amp;Consp'!CM66*$C$23/1000</f>
        <v>0</v>
      </c>
      <c r="CK50" s="553">
        <f>'Prod&amp;Consp'!CN66*$C$23/1000</f>
        <v>0</v>
      </c>
      <c r="CL50" s="553">
        <f>'Prod&amp;Consp'!CO66*$C$23/1000</f>
        <v>0</v>
      </c>
      <c r="CM50" s="560">
        <f t="shared" ref="CM50:CM52" si="153">SUM(CA50:CL50)</f>
        <v>6300</v>
      </c>
      <c r="CN50" s="565"/>
      <c r="CO50" s="553">
        <f>'Prod&amp;Consp'!CR66*$C$23/1000</f>
        <v>0</v>
      </c>
      <c r="CP50" s="553">
        <f>'Prod&amp;Consp'!CS66*$C$23/1000</f>
        <v>0</v>
      </c>
      <c r="CQ50" s="553">
        <f>'Prod&amp;Consp'!CT66*$C$23/1000</f>
        <v>0</v>
      </c>
      <c r="CR50" s="553">
        <f>'Prod&amp;Consp'!CU66*$C$23/1000</f>
        <v>0</v>
      </c>
      <c r="CS50" s="553">
        <f>'Prod&amp;Consp'!CV66*$C$23/1000</f>
        <v>0</v>
      </c>
      <c r="CT50" s="553">
        <f>'Prod&amp;Consp'!CW66*$C$23/1000</f>
        <v>0</v>
      </c>
      <c r="CU50" s="553">
        <f>'Prod&amp;Consp'!CX66*$C$23/1000</f>
        <v>0</v>
      </c>
      <c r="CV50" s="553">
        <f>'Prod&amp;Consp'!CY66*$C$23/1000</f>
        <v>0</v>
      </c>
      <c r="CW50" s="553">
        <f>'Prod&amp;Consp'!CZ66*$C$23/1000</f>
        <v>0</v>
      </c>
      <c r="CX50" s="553">
        <f>'Prod&amp;Consp'!DA66*$C$23/1000</f>
        <v>0</v>
      </c>
      <c r="CY50" s="553">
        <f>'Prod&amp;Consp'!DB66*$C$23/1000</f>
        <v>0</v>
      </c>
      <c r="CZ50" s="553">
        <f>'Prod&amp;Consp'!DC66*$C$23/1000</f>
        <v>0</v>
      </c>
      <c r="DA50" s="560">
        <f t="shared" ref="DA50:DA52" si="154">SUM(CO50:CZ50)</f>
        <v>0</v>
      </c>
      <c r="DB50" s="565"/>
      <c r="DC50" s="553">
        <f>'Prod&amp;Consp'!DF66*$C$23/1000</f>
        <v>6300</v>
      </c>
      <c r="DD50" s="562">
        <f>'Prod&amp;Consp'!DG66*$C$23/1000</f>
        <v>0</v>
      </c>
      <c r="DE50" s="553">
        <f>'Prod&amp;Consp'!DH66*$C$23/1000</f>
        <v>0</v>
      </c>
      <c r="DF50" s="553">
        <f>'Prod&amp;Consp'!DI66*$C$23/1000</f>
        <v>0</v>
      </c>
      <c r="DG50" s="553">
        <f>'Prod&amp;Consp'!DJ66*$C$23/1000</f>
        <v>0</v>
      </c>
      <c r="DH50" s="553">
        <f>'Prod&amp;Consp'!DK66*$C$23/1000</f>
        <v>0</v>
      </c>
      <c r="DI50" s="553">
        <f>'Prod&amp;Consp'!DL66*$C$23/1000</f>
        <v>0</v>
      </c>
      <c r="DJ50" s="553">
        <f>'Prod&amp;Consp'!DM66*$C$23/1000</f>
        <v>0</v>
      </c>
      <c r="DK50" s="553">
        <f>'Prod&amp;Consp'!DN66*$C$23/1000</f>
        <v>0</v>
      </c>
      <c r="DL50" s="553">
        <f>'Prod&amp;Consp'!DO66*$C$23/1000</f>
        <v>0</v>
      </c>
      <c r="DM50" s="553">
        <f>'Prod&amp;Consp'!DP66*$C$23/1000</f>
        <v>0</v>
      </c>
      <c r="DN50" s="553">
        <f>'Prod&amp;Consp'!DQ66*$C$23/1000</f>
        <v>0</v>
      </c>
      <c r="DO50" s="560">
        <f t="shared" ref="DO50:DO52" si="155">SUM(DC50:DN50)</f>
        <v>6300</v>
      </c>
      <c r="DP50" s="565"/>
      <c r="DQ50" s="553">
        <f>'Prod&amp;Consp'!DT66*$C$23/1000</f>
        <v>0</v>
      </c>
      <c r="DR50" s="553">
        <f>'Prod&amp;Consp'!DU66*$C$23/1000</f>
        <v>0</v>
      </c>
      <c r="DS50" s="553">
        <f>'Prod&amp;Consp'!DV66*$C$23/1000</f>
        <v>0</v>
      </c>
      <c r="DT50" s="553">
        <f>'Prod&amp;Consp'!DW66*$C$23/1000</f>
        <v>0</v>
      </c>
      <c r="DU50" s="553">
        <f>'Prod&amp;Consp'!DX66*$C$23/1000</f>
        <v>0</v>
      </c>
      <c r="DV50" s="553">
        <f>'Prod&amp;Consp'!DY66*$C$23/1000</f>
        <v>0</v>
      </c>
      <c r="DW50" s="553">
        <f>'Prod&amp;Consp'!DZ66*$C$23/1000</f>
        <v>6300</v>
      </c>
      <c r="DX50" s="562">
        <f>'Prod&amp;Consp'!EA66*$C$23/1000</f>
        <v>0</v>
      </c>
      <c r="DY50" s="553">
        <f>'Prod&amp;Consp'!EB66*$C$23/1000</f>
        <v>0</v>
      </c>
      <c r="DZ50" s="553">
        <f>'Prod&amp;Consp'!EC66*$C$23/1000</f>
        <v>0</v>
      </c>
      <c r="EA50" s="553">
        <f>'Prod&amp;Consp'!ED66*$C$23/1000</f>
        <v>0</v>
      </c>
      <c r="EB50" s="553">
        <f>'Prod&amp;Consp'!EE66*$C$23/1000</f>
        <v>0</v>
      </c>
      <c r="EC50" s="560">
        <f t="shared" ref="EC50:EC52" si="156">SUM(DQ50:EB50)</f>
        <v>6300</v>
      </c>
      <c r="ED50" s="565"/>
      <c r="EE50" s="553">
        <f>'Prod&amp;Consp'!EH66*$C$23/1000</f>
        <v>0</v>
      </c>
      <c r="EF50" s="553">
        <f>'Prod&amp;Consp'!EI66*$C$23/1000</f>
        <v>0</v>
      </c>
      <c r="EG50" s="553">
        <f>'Prod&amp;Consp'!EJ66*$C$23/1000</f>
        <v>0</v>
      </c>
      <c r="EH50" s="553">
        <f>'Prod&amp;Consp'!EK66*$C$23/1000</f>
        <v>0</v>
      </c>
      <c r="EI50" s="553">
        <f>'Prod&amp;Consp'!EL66*$C$23/1000</f>
        <v>0</v>
      </c>
      <c r="EJ50" s="553">
        <f>'Prod&amp;Consp'!EM66*$C$23/1000</f>
        <v>0</v>
      </c>
      <c r="EK50" s="553">
        <f>'Prod&amp;Consp'!EN66*$C$23/1000</f>
        <v>0</v>
      </c>
      <c r="EL50" s="553">
        <f>'Prod&amp;Consp'!EO66*$C$23/1000</f>
        <v>0</v>
      </c>
      <c r="EM50" s="553">
        <f>'Prod&amp;Consp'!EP66*$C$23/1000</f>
        <v>0</v>
      </c>
      <c r="EN50" s="553">
        <f>'Prod&amp;Consp'!EQ66*$C$23/1000</f>
        <v>0</v>
      </c>
      <c r="EO50" s="553">
        <f>'Prod&amp;Consp'!ER66*$C$23/1000</f>
        <v>0</v>
      </c>
      <c r="EP50" s="553">
        <f>'Prod&amp;Consp'!ES66*$C$23/1000</f>
        <v>0</v>
      </c>
      <c r="EQ50" s="560">
        <f t="shared" ref="EQ50:EQ52" si="157">SUM(EE50:EP50)</f>
        <v>0</v>
      </c>
      <c r="ET50" s="536"/>
      <c r="EU50" s="531" t="s">
        <v>9</v>
      </c>
      <c r="EV50" s="4" t="s">
        <v>1081</v>
      </c>
      <c r="EX50" s="553">
        <f t="shared" si="139"/>
        <v>6300</v>
      </c>
      <c r="EY50" s="553">
        <f t="shared" si="140"/>
        <v>6300</v>
      </c>
      <c r="EZ50" s="553">
        <f t="shared" si="141"/>
        <v>0</v>
      </c>
      <c r="FA50" s="553">
        <f t="shared" si="142"/>
        <v>6300</v>
      </c>
      <c r="FB50" s="553">
        <f t="shared" si="143"/>
        <v>6300</v>
      </c>
      <c r="FC50" s="553">
        <f t="shared" si="144"/>
        <v>0</v>
      </c>
      <c r="FD50" s="553">
        <f t="shared" si="145"/>
        <v>6300</v>
      </c>
      <c r="FE50" s="553">
        <f t="shared" si="146"/>
        <v>6300</v>
      </c>
      <c r="FF50" s="553">
        <f t="shared" si="147"/>
        <v>0</v>
      </c>
    </row>
    <row r="51" spans="2:162" ht="10.5" customHeight="1" x14ac:dyDescent="0.35">
      <c r="B51" s="531"/>
      <c r="F51" s="536"/>
      <c r="G51" s="531" t="s">
        <v>10</v>
      </c>
      <c r="H51" s="4" t="s">
        <v>1082</v>
      </c>
      <c r="V51" s="565"/>
      <c r="W51" s="553">
        <f>'Prod&amp;Consp'!Z67*$C$24/1000</f>
        <v>0</v>
      </c>
      <c r="X51" s="553">
        <f>'Prod&amp;Consp'!AA67*$C$24/1000</f>
        <v>6120</v>
      </c>
      <c r="Y51" s="553">
        <f>'Prod&amp;Consp'!AB67*$C$24/1000</f>
        <v>0</v>
      </c>
      <c r="Z51" s="553">
        <f>'Prod&amp;Consp'!AC67*$C$24/1000</f>
        <v>0</v>
      </c>
      <c r="AA51" s="553">
        <f>'Prod&amp;Consp'!AD67*$C$24/1000</f>
        <v>0</v>
      </c>
      <c r="AB51" s="553">
        <f>'Prod&amp;Consp'!AE67*$C$24/1000</f>
        <v>0</v>
      </c>
      <c r="AC51" s="553">
        <f>'Prod&amp;Consp'!AF67*$C$24/1000</f>
        <v>0</v>
      </c>
      <c r="AD51" s="553">
        <f>'Prod&amp;Consp'!AG67*$C$24/1000</f>
        <v>0</v>
      </c>
      <c r="AE51" s="553">
        <f>'Prod&amp;Consp'!AH67*$C$24/1000</f>
        <v>0</v>
      </c>
      <c r="AF51" s="553">
        <f>'Prod&amp;Consp'!AI67*$C$24/1000</f>
        <v>0</v>
      </c>
      <c r="AG51" s="553">
        <f>'Prod&amp;Consp'!AJ67*$C$24/1000</f>
        <v>0</v>
      </c>
      <c r="AH51" s="553">
        <f>'Prod&amp;Consp'!AK67*$C$24/1000</f>
        <v>0</v>
      </c>
      <c r="AI51" s="560">
        <f t="shared" si="149"/>
        <v>6120</v>
      </c>
      <c r="AJ51" s="565"/>
      <c r="AK51" s="553">
        <f>'Prod&amp;Consp'!AN67*$C$24/1000</f>
        <v>0</v>
      </c>
      <c r="AL51" s="553">
        <f>'Prod&amp;Consp'!AO67*$C$24/1000</f>
        <v>0</v>
      </c>
      <c r="AM51" s="553">
        <f>'Prod&amp;Consp'!AP67*$C$24/1000</f>
        <v>0</v>
      </c>
      <c r="AN51" s="553">
        <f>'Prod&amp;Consp'!AQ67*$C$24/1000</f>
        <v>0</v>
      </c>
      <c r="AO51" s="553">
        <f>'Prod&amp;Consp'!AR67*$C$24/1000</f>
        <v>0</v>
      </c>
      <c r="AP51" s="553">
        <f>'Prod&amp;Consp'!AS67*$C$24/1000</f>
        <v>0</v>
      </c>
      <c r="AQ51" s="553">
        <f>'Prod&amp;Consp'!AT67*$C$24/1000</f>
        <v>0</v>
      </c>
      <c r="AR51" s="562">
        <f>'Prod&amp;Consp'!AU67*$C$24/1000</f>
        <v>6120</v>
      </c>
      <c r="AS51" s="553">
        <f>'Prod&amp;Consp'!AV67*$C$24/1000</f>
        <v>0</v>
      </c>
      <c r="AT51" s="553">
        <f>'Prod&amp;Consp'!AW67*$C$24/1000</f>
        <v>0</v>
      </c>
      <c r="AU51" s="553">
        <f>'Prod&amp;Consp'!AX67*$C$24/1000</f>
        <v>0</v>
      </c>
      <c r="AV51" s="553">
        <f>'Prod&amp;Consp'!AY67*$C$24/1000</f>
        <v>0</v>
      </c>
      <c r="AW51" s="560">
        <f t="shared" si="150"/>
        <v>6120</v>
      </c>
      <c r="AX51" s="565"/>
      <c r="AY51" s="553">
        <f>'Prod&amp;Consp'!BB67*$C$24/1000</f>
        <v>0</v>
      </c>
      <c r="AZ51" s="553">
        <f>'Prod&amp;Consp'!BC67*$C$24/1000</f>
        <v>0</v>
      </c>
      <c r="BA51" s="553">
        <f>'Prod&amp;Consp'!BD67*$C$24/1000</f>
        <v>0</v>
      </c>
      <c r="BB51" s="553">
        <f>'Prod&amp;Consp'!BE67*$C$24/1000</f>
        <v>0</v>
      </c>
      <c r="BC51" s="553">
        <f>'Prod&amp;Consp'!BF67*$C$24/1000</f>
        <v>0</v>
      </c>
      <c r="BD51" s="553">
        <f>'Prod&amp;Consp'!BG67*$C$24/1000</f>
        <v>0</v>
      </c>
      <c r="BE51" s="553">
        <f>'Prod&amp;Consp'!BH67*$C$24/1000</f>
        <v>0</v>
      </c>
      <c r="BF51" s="553">
        <f>'Prod&amp;Consp'!BI67*$C$24/1000</f>
        <v>0</v>
      </c>
      <c r="BG51" s="553">
        <f>'Prod&amp;Consp'!BJ67*$C$24/1000</f>
        <v>0</v>
      </c>
      <c r="BH51" s="553">
        <f>'Prod&amp;Consp'!BK67*$C$24/1000</f>
        <v>0</v>
      </c>
      <c r="BI51" s="553">
        <f>'Prod&amp;Consp'!BL67*$C$24/1000</f>
        <v>0</v>
      </c>
      <c r="BJ51" s="553">
        <f>'Prod&amp;Consp'!BM67*$C$24/1000</f>
        <v>0</v>
      </c>
      <c r="BK51" s="560">
        <f t="shared" si="151"/>
        <v>0</v>
      </c>
      <c r="BL51" s="565"/>
      <c r="BM51" s="553">
        <f>'Prod&amp;Consp'!BP67*$C$24/1000</f>
        <v>0</v>
      </c>
      <c r="BN51" s="562">
        <f>'Prod&amp;Consp'!BQ67*$C$24/1000</f>
        <v>6120</v>
      </c>
      <c r="BO51" s="553">
        <f>'Prod&amp;Consp'!BR67*$C$24/1000</f>
        <v>0</v>
      </c>
      <c r="BP51" s="553">
        <f>'Prod&amp;Consp'!BS67*$C$24/1000</f>
        <v>0</v>
      </c>
      <c r="BQ51" s="553">
        <f>'Prod&amp;Consp'!BT67*$C$24/1000</f>
        <v>0</v>
      </c>
      <c r="BR51" s="553">
        <f>'Prod&amp;Consp'!BU67*$C$24/1000</f>
        <v>0</v>
      </c>
      <c r="BS51" s="553">
        <f>'Prod&amp;Consp'!BV67*$C$24/1000</f>
        <v>0</v>
      </c>
      <c r="BT51" s="553">
        <f>'Prod&amp;Consp'!BW67*$C$24/1000</f>
        <v>0</v>
      </c>
      <c r="BU51" s="553">
        <f>'Prod&amp;Consp'!BX67*$C$24/1000</f>
        <v>0</v>
      </c>
      <c r="BV51" s="553">
        <f>'Prod&amp;Consp'!BY67*$C$24/1000</f>
        <v>0</v>
      </c>
      <c r="BW51" s="553">
        <f>'Prod&amp;Consp'!BZ67*$C$24/1000</f>
        <v>0</v>
      </c>
      <c r="BX51" s="553">
        <f>'Prod&amp;Consp'!CA67*$C$24/1000</f>
        <v>0</v>
      </c>
      <c r="BY51" s="560">
        <f t="shared" si="152"/>
        <v>6120</v>
      </c>
      <c r="BZ51" s="565"/>
      <c r="CA51" s="553">
        <f>'Prod&amp;Consp'!CD67*$C$24/1000</f>
        <v>0</v>
      </c>
      <c r="CB51" s="553">
        <f>'Prod&amp;Consp'!CE67*$C$24/1000</f>
        <v>0</v>
      </c>
      <c r="CC51" s="553">
        <f>'Prod&amp;Consp'!CF67*$C$24/1000</f>
        <v>0</v>
      </c>
      <c r="CD51" s="553">
        <f>'Prod&amp;Consp'!CG67*$C$24/1000</f>
        <v>0</v>
      </c>
      <c r="CE51" s="553">
        <f>'Prod&amp;Consp'!CH67*$C$24/1000</f>
        <v>0</v>
      </c>
      <c r="CF51" s="553">
        <f>'Prod&amp;Consp'!CI67*$C$24/1000</f>
        <v>0</v>
      </c>
      <c r="CG51" s="553">
        <f>'Prod&amp;Consp'!CJ67*$C$24/1000</f>
        <v>0</v>
      </c>
      <c r="CH51" s="562">
        <f>'Prod&amp;Consp'!CK67*$C$24/1000</f>
        <v>6120</v>
      </c>
      <c r="CI51" s="553">
        <f>'Prod&amp;Consp'!CL67*$C$24/1000</f>
        <v>0</v>
      </c>
      <c r="CJ51" s="553">
        <f>'Prod&amp;Consp'!CM67*$C$24/1000</f>
        <v>0</v>
      </c>
      <c r="CK51" s="553">
        <f>'Prod&amp;Consp'!CN67*$C$24/1000</f>
        <v>0</v>
      </c>
      <c r="CL51" s="553">
        <f>'Prod&amp;Consp'!CO67*$C$24/1000</f>
        <v>0</v>
      </c>
      <c r="CM51" s="560">
        <f t="shared" si="153"/>
        <v>6120</v>
      </c>
      <c r="CN51" s="565"/>
      <c r="CO51" s="553">
        <f>'Prod&amp;Consp'!CR67*$C$24/1000</f>
        <v>0</v>
      </c>
      <c r="CP51" s="553">
        <f>'Prod&amp;Consp'!CS67*$C$24/1000</f>
        <v>0</v>
      </c>
      <c r="CQ51" s="553">
        <f>'Prod&amp;Consp'!CT67*$C$24/1000</f>
        <v>0</v>
      </c>
      <c r="CR51" s="553">
        <f>'Prod&amp;Consp'!CU67*$C$24/1000</f>
        <v>0</v>
      </c>
      <c r="CS51" s="553">
        <f>'Prod&amp;Consp'!CV67*$C$24/1000</f>
        <v>0</v>
      </c>
      <c r="CT51" s="553">
        <f>'Prod&amp;Consp'!CW67*$C$24/1000</f>
        <v>0</v>
      </c>
      <c r="CU51" s="553">
        <f>'Prod&amp;Consp'!CX67*$C$24/1000</f>
        <v>0</v>
      </c>
      <c r="CV51" s="553">
        <f>'Prod&amp;Consp'!CY67*$C$24/1000</f>
        <v>0</v>
      </c>
      <c r="CW51" s="553">
        <f>'Prod&amp;Consp'!CZ67*$C$24/1000</f>
        <v>0</v>
      </c>
      <c r="CX51" s="553">
        <f>'Prod&amp;Consp'!DA67*$C$24/1000</f>
        <v>0</v>
      </c>
      <c r="CY51" s="553">
        <f>'Prod&amp;Consp'!DB67*$C$24/1000</f>
        <v>0</v>
      </c>
      <c r="CZ51" s="553">
        <f>'Prod&amp;Consp'!DC67*$C$24/1000</f>
        <v>0</v>
      </c>
      <c r="DA51" s="560">
        <f t="shared" si="154"/>
        <v>0</v>
      </c>
      <c r="DB51" s="565"/>
      <c r="DC51" s="553">
        <f>'Prod&amp;Consp'!DF67*$C$24/1000</f>
        <v>0</v>
      </c>
      <c r="DD51" s="562">
        <f>'Prod&amp;Consp'!DG67*$C$24/1000</f>
        <v>6120</v>
      </c>
      <c r="DE51" s="553">
        <f>'Prod&amp;Consp'!DH67*$C$24/1000</f>
        <v>0</v>
      </c>
      <c r="DF51" s="553">
        <f>'Prod&amp;Consp'!DI67*$C$24/1000</f>
        <v>0</v>
      </c>
      <c r="DG51" s="553">
        <f>'Prod&amp;Consp'!DJ67*$C$24/1000</f>
        <v>0</v>
      </c>
      <c r="DH51" s="553">
        <f>'Prod&amp;Consp'!DK67*$C$24/1000</f>
        <v>0</v>
      </c>
      <c r="DI51" s="553">
        <f>'Prod&amp;Consp'!DL67*$C$24/1000</f>
        <v>0</v>
      </c>
      <c r="DJ51" s="553">
        <f>'Prod&amp;Consp'!DM67*$C$24/1000</f>
        <v>0</v>
      </c>
      <c r="DK51" s="553">
        <f>'Prod&amp;Consp'!DN67*$C$24/1000</f>
        <v>0</v>
      </c>
      <c r="DL51" s="553">
        <f>'Prod&amp;Consp'!DO67*$C$24/1000</f>
        <v>0</v>
      </c>
      <c r="DM51" s="553">
        <f>'Prod&amp;Consp'!DP67*$C$24/1000</f>
        <v>0</v>
      </c>
      <c r="DN51" s="553">
        <f>'Prod&amp;Consp'!DQ67*$C$24/1000</f>
        <v>0</v>
      </c>
      <c r="DO51" s="560">
        <f t="shared" si="155"/>
        <v>6120</v>
      </c>
      <c r="DP51" s="565"/>
      <c r="DQ51" s="553">
        <f>'Prod&amp;Consp'!DT67*$C$24/1000</f>
        <v>0</v>
      </c>
      <c r="DR51" s="553">
        <f>'Prod&amp;Consp'!DU67*$C$24/1000</f>
        <v>0</v>
      </c>
      <c r="DS51" s="553">
        <f>'Prod&amp;Consp'!DV67*$C$24/1000</f>
        <v>0</v>
      </c>
      <c r="DT51" s="553">
        <f>'Prod&amp;Consp'!DW67*$C$24/1000</f>
        <v>0</v>
      </c>
      <c r="DU51" s="553">
        <f>'Prod&amp;Consp'!DX67*$C$24/1000</f>
        <v>0</v>
      </c>
      <c r="DV51" s="553">
        <f>'Prod&amp;Consp'!DY67*$C$24/1000</f>
        <v>0</v>
      </c>
      <c r="DW51" s="553">
        <f>'Prod&amp;Consp'!DZ67*$C$24/1000</f>
        <v>0</v>
      </c>
      <c r="DX51" s="562">
        <f>'Prod&amp;Consp'!EA67*$C$24/1000</f>
        <v>6120</v>
      </c>
      <c r="DY51" s="553">
        <f>'Prod&amp;Consp'!EB67*$C$24/1000</f>
        <v>0</v>
      </c>
      <c r="DZ51" s="553">
        <f>'Prod&amp;Consp'!EC67*$C$24/1000</f>
        <v>0</v>
      </c>
      <c r="EA51" s="553">
        <f>'Prod&amp;Consp'!ED67*$C$24/1000</f>
        <v>0</v>
      </c>
      <c r="EB51" s="553">
        <f>'Prod&amp;Consp'!EE67*$C$24/1000</f>
        <v>0</v>
      </c>
      <c r="EC51" s="560">
        <f t="shared" si="156"/>
        <v>6120</v>
      </c>
      <c r="ED51" s="565"/>
      <c r="EE51" s="553">
        <f>'Prod&amp;Consp'!EH67*$C$24/1000</f>
        <v>0</v>
      </c>
      <c r="EF51" s="553">
        <f>'Prod&amp;Consp'!EI67*$C$24/1000</f>
        <v>0</v>
      </c>
      <c r="EG51" s="553">
        <f>'Prod&amp;Consp'!EJ67*$C$24/1000</f>
        <v>0</v>
      </c>
      <c r="EH51" s="553">
        <f>'Prod&amp;Consp'!EK67*$C$24/1000</f>
        <v>0</v>
      </c>
      <c r="EI51" s="553">
        <f>'Prod&amp;Consp'!EL67*$C$24/1000</f>
        <v>0</v>
      </c>
      <c r="EJ51" s="553">
        <f>'Prod&amp;Consp'!EM67*$C$24/1000</f>
        <v>0</v>
      </c>
      <c r="EK51" s="553">
        <f>'Prod&amp;Consp'!EN67*$C$24/1000</f>
        <v>0</v>
      </c>
      <c r="EL51" s="553">
        <f>'Prod&amp;Consp'!EO67*$C$24/1000</f>
        <v>0</v>
      </c>
      <c r="EM51" s="553">
        <f>'Prod&amp;Consp'!EP67*$C$24/1000</f>
        <v>0</v>
      </c>
      <c r="EN51" s="553">
        <f>'Prod&amp;Consp'!EQ67*$C$24/1000</f>
        <v>0</v>
      </c>
      <c r="EO51" s="553">
        <f>'Prod&amp;Consp'!ER67*$C$24/1000</f>
        <v>0</v>
      </c>
      <c r="EP51" s="553">
        <f>'Prod&amp;Consp'!ES67*$C$24/1000</f>
        <v>0</v>
      </c>
      <c r="EQ51" s="560">
        <f t="shared" si="157"/>
        <v>0</v>
      </c>
      <c r="ET51" s="536"/>
      <c r="EU51" s="531" t="s">
        <v>10</v>
      </c>
      <c r="EV51" s="4" t="s">
        <v>1082</v>
      </c>
      <c r="EX51" s="553">
        <f t="shared" si="139"/>
        <v>6120</v>
      </c>
      <c r="EY51" s="553">
        <f t="shared" si="140"/>
        <v>6120</v>
      </c>
      <c r="EZ51" s="553">
        <f t="shared" si="141"/>
        <v>0</v>
      </c>
      <c r="FA51" s="553">
        <f t="shared" si="142"/>
        <v>6120</v>
      </c>
      <c r="FB51" s="553">
        <f t="shared" si="143"/>
        <v>6120</v>
      </c>
      <c r="FC51" s="553">
        <f t="shared" si="144"/>
        <v>0</v>
      </c>
      <c r="FD51" s="553">
        <f t="shared" si="145"/>
        <v>6120</v>
      </c>
      <c r="FE51" s="553">
        <f t="shared" si="146"/>
        <v>6120</v>
      </c>
      <c r="FF51" s="553">
        <f t="shared" si="147"/>
        <v>0</v>
      </c>
    </row>
    <row r="52" spans="2:162" ht="10.5" customHeight="1" x14ac:dyDescent="0.35">
      <c r="B52" s="531"/>
      <c r="F52" s="536"/>
      <c r="G52" s="531" t="s">
        <v>13</v>
      </c>
      <c r="H52" s="4" t="s">
        <v>1083</v>
      </c>
      <c r="V52" s="565"/>
      <c r="W52" s="553">
        <f>'Prod&amp;Consp'!Z68*$C$25/1000</f>
        <v>0</v>
      </c>
      <c r="X52" s="553">
        <f>'Prod&amp;Consp'!AA68*$C$25/1000</f>
        <v>0</v>
      </c>
      <c r="Y52" s="553">
        <f>'Prod&amp;Consp'!AB68*$C$25/1000</f>
        <v>0</v>
      </c>
      <c r="Z52" s="553">
        <f>'Prod&amp;Consp'!AC68*$C$25/1000</f>
        <v>0</v>
      </c>
      <c r="AA52" s="553">
        <f>'Prod&amp;Consp'!AD68*$C$25/1000</f>
        <v>0</v>
      </c>
      <c r="AB52" s="553">
        <f>'Prod&amp;Consp'!AE68*$C$25/1000</f>
        <v>0</v>
      </c>
      <c r="AC52" s="553">
        <f>'Prod&amp;Consp'!AF68*$C$25/1000</f>
        <v>0</v>
      </c>
      <c r="AD52" s="553">
        <f>'Prod&amp;Consp'!AG68*$C$25/1000</f>
        <v>4450</v>
      </c>
      <c r="AE52" s="553">
        <f>'Prod&amp;Consp'!AH68*$C$25/1000</f>
        <v>0</v>
      </c>
      <c r="AF52" s="553">
        <f>'Prod&amp;Consp'!AI68*$C$25/1000</f>
        <v>0</v>
      </c>
      <c r="AG52" s="553">
        <f>'Prod&amp;Consp'!AJ68*$C$25/1000</f>
        <v>0</v>
      </c>
      <c r="AH52" s="553">
        <f>'Prod&amp;Consp'!AK68*$C$25/1000</f>
        <v>0</v>
      </c>
      <c r="AI52" s="560">
        <f t="shared" si="149"/>
        <v>4450</v>
      </c>
      <c r="AJ52" s="565"/>
      <c r="AK52" s="553">
        <f>'Prod&amp;Consp'!AN68*$C$25/1000</f>
        <v>0</v>
      </c>
      <c r="AL52" s="553">
        <f>'Prod&amp;Consp'!AO68*$C$25/1000</f>
        <v>0</v>
      </c>
      <c r="AM52" s="553">
        <f>'Prod&amp;Consp'!AP68*$C$25/1000</f>
        <v>0</v>
      </c>
      <c r="AN52" s="553">
        <f>'Prod&amp;Consp'!AQ68*$C$25/1000</f>
        <v>0</v>
      </c>
      <c r="AO52" s="553">
        <f>'Prod&amp;Consp'!AR68*$C$25/1000</f>
        <v>0</v>
      </c>
      <c r="AP52" s="553">
        <f>'Prod&amp;Consp'!AS68*$C$25/1000</f>
        <v>0</v>
      </c>
      <c r="AQ52" s="553">
        <f>'Prod&amp;Consp'!AT68*$C$25/1000</f>
        <v>0</v>
      </c>
      <c r="AR52" s="562">
        <f>'Prod&amp;Consp'!AU68*$C$25/1000</f>
        <v>0</v>
      </c>
      <c r="AS52" s="553">
        <f>'Prod&amp;Consp'!AV68*$C$25/1000</f>
        <v>0</v>
      </c>
      <c r="AT52" s="553">
        <f>'Prod&amp;Consp'!AW68*$C$25/1000</f>
        <v>0</v>
      </c>
      <c r="AU52" s="553">
        <f>'Prod&amp;Consp'!AX68*$C$25/1000</f>
        <v>0</v>
      </c>
      <c r="AV52" s="553">
        <f>'Prod&amp;Consp'!AY68*$C$25/1000</f>
        <v>0</v>
      </c>
      <c r="AW52" s="560">
        <f t="shared" si="150"/>
        <v>0</v>
      </c>
      <c r="AX52" s="565"/>
      <c r="AY52" s="553">
        <f>'Prod&amp;Consp'!BB68*$C$25/1000</f>
        <v>0</v>
      </c>
      <c r="AZ52" s="553">
        <f>'Prod&amp;Consp'!BC68*$C$25/1000</f>
        <v>4450</v>
      </c>
      <c r="BA52" s="553">
        <f>'Prod&amp;Consp'!BD68*$C$25/1000</f>
        <v>0</v>
      </c>
      <c r="BB52" s="553">
        <f>'Prod&amp;Consp'!BE68*$C$25/1000</f>
        <v>0</v>
      </c>
      <c r="BC52" s="553">
        <f>'Prod&amp;Consp'!BF68*$C$25/1000</f>
        <v>0</v>
      </c>
      <c r="BD52" s="553">
        <f>'Prod&amp;Consp'!BG68*$C$25/1000</f>
        <v>0</v>
      </c>
      <c r="BE52" s="553">
        <f>'Prod&amp;Consp'!BH68*$C$25/1000</f>
        <v>0</v>
      </c>
      <c r="BF52" s="553">
        <f>'Prod&amp;Consp'!BI68*$C$25/1000</f>
        <v>0</v>
      </c>
      <c r="BG52" s="553">
        <f>'Prod&amp;Consp'!BJ68*$C$25/1000</f>
        <v>0</v>
      </c>
      <c r="BH52" s="553">
        <f>'Prod&amp;Consp'!BK68*$C$25/1000</f>
        <v>0</v>
      </c>
      <c r="BI52" s="553">
        <f>'Prod&amp;Consp'!BL68*$C$25/1000</f>
        <v>0</v>
      </c>
      <c r="BJ52" s="553">
        <f>'Prod&amp;Consp'!BM68*$C$25/1000</f>
        <v>0</v>
      </c>
      <c r="BK52" s="560">
        <f t="shared" si="151"/>
        <v>4450</v>
      </c>
      <c r="BL52" s="565"/>
      <c r="BM52" s="553">
        <f>'Prod&amp;Consp'!BP68*$C$25/1000</f>
        <v>0</v>
      </c>
      <c r="BN52" s="562">
        <f>'Prod&amp;Consp'!BQ68*$C$25/1000</f>
        <v>0</v>
      </c>
      <c r="BO52" s="553">
        <f>'Prod&amp;Consp'!BR68*$C$25/1000</f>
        <v>0</v>
      </c>
      <c r="BP52" s="553">
        <f>'Prod&amp;Consp'!BS68*$C$25/1000</f>
        <v>0</v>
      </c>
      <c r="BQ52" s="553">
        <f>'Prod&amp;Consp'!BT68*$C$25/1000</f>
        <v>0</v>
      </c>
      <c r="BR52" s="553">
        <f>'Prod&amp;Consp'!BU68*$C$25/1000</f>
        <v>0</v>
      </c>
      <c r="BS52" s="553">
        <f>'Prod&amp;Consp'!BV68*$C$25/1000</f>
        <v>0</v>
      </c>
      <c r="BT52" s="553">
        <f>'Prod&amp;Consp'!BW68*$C$25/1000</f>
        <v>4450</v>
      </c>
      <c r="BU52" s="553">
        <f>'Prod&amp;Consp'!BX68*$C$25/1000</f>
        <v>0</v>
      </c>
      <c r="BV52" s="553">
        <f>'Prod&amp;Consp'!BY68*$C$25/1000</f>
        <v>0</v>
      </c>
      <c r="BW52" s="553">
        <f>'Prod&amp;Consp'!BZ68*$C$25/1000</f>
        <v>0</v>
      </c>
      <c r="BX52" s="553">
        <f>'Prod&amp;Consp'!CA68*$C$25/1000</f>
        <v>0</v>
      </c>
      <c r="BY52" s="560">
        <f t="shared" si="152"/>
        <v>4450</v>
      </c>
      <c r="BZ52" s="565"/>
      <c r="CA52" s="553">
        <f>'Prod&amp;Consp'!CD68*$C$25/1000</f>
        <v>0</v>
      </c>
      <c r="CB52" s="553">
        <f>'Prod&amp;Consp'!CE68*$C$25/1000</f>
        <v>0</v>
      </c>
      <c r="CC52" s="553">
        <f>'Prod&amp;Consp'!CF68*$C$25/1000</f>
        <v>0</v>
      </c>
      <c r="CD52" s="553">
        <f>'Prod&amp;Consp'!CG68*$C$25/1000</f>
        <v>0</v>
      </c>
      <c r="CE52" s="553">
        <f>'Prod&amp;Consp'!CH68*$C$25/1000</f>
        <v>0</v>
      </c>
      <c r="CF52" s="553">
        <f>'Prod&amp;Consp'!CI68*$C$25/1000</f>
        <v>0</v>
      </c>
      <c r="CG52" s="553">
        <f>'Prod&amp;Consp'!CJ68*$C$25/1000</f>
        <v>0</v>
      </c>
      <c r="CH52" s="562">
        <f>'Prod&amp;Consp'!CK68*$C$25/1000</f>
        <v>0</v>
      </c>
      <c r="CI52" s="553">
        <f>'Prod&amp;Consp'!CL68*$C$25/1000</f>
        <v>0</v>
      </c>
      <c r="CJ52" s="553">
        <f>'Prod&amp;Consp'!CM68*$C$25/1000</f>
        <v>0</v>
      </c>
      <c r="CK52" s="553">
        <f>'Prod&amp;Consp'!CN68*$C$25/1000</f>
        <v>0</v>
      </c>
      <c r="CL52" s="553">
        <f>'Prod&amp;Consp'!CO68*$C$25/1000</f>
        <v>0</v>
      </c>
      <c r="CM52" s="560">
        <f t="shared" si="153"/>
        <v>0</v>
      </c>
      <c r="CN52" s="565"/>
      <c r="CO52" s="553">
        <f>'Prod&amp;Consp'!CR68*$C$25/1000</f>
        <v>0</v>
      </c>
      <c r="CP52" s="553">
        <f>'Prod&amp;Consp'!CS68*$C$25/1000</f>
        <v>0</v>
      </c>
      <c r="CQ52" s="553">
        <f>'Prod&amp;Consp'!CT68*$C$25/1000</f>
        <v>4450</v>
      </c>
      <c r="CR52" s="553">
        <f>'Prod&amp;Consp'!CU68*$C$25/1000</f>
        <v>0</v>
      </c>
      <c r="CS52" s="553">
        <f>'Prod&amp;Consp'!CV68*$C$25/1000</f>
        <v>0</v>
      </c>
      <c r="CT52" s="553">
        <f>'Prod&amp;Consp'!CW68*$C$25/1000</f>
        <v>0</v>
      </c>
      <c r="CU52" s="553">
        <f>'Prod&amp;Consp'!CX68*$C$25/1000</f>
        <v>0</v>
      </c>
      <c r="CV52" s="553">
        <f>'Prod&amp;Consp'!CY68*$C$25/1000</f>
        <v>0</v>
      </c>
      <c r="CW52" s="553">
        <f>'Prod&amp;Consp'!CZ68*$C$25/1000</f>
        <v>0</v>
      </c>
      <c r="CX52" s="553">
        <f>'Prod&amp;Consp'!DA68*$C$25/1000</f>
        <v>0</v>
      </c>
      <c r="CY52" s="553">
        <f>'Prod&amp;Consp'!DB68*$C$25/1000</f>
        <v>0</v>
      </c>
      <c r="CZ52" s="553">
        <f>'Prod&amp;Consp'!DC68*$C$25/1000</f>
        <v>0</v>
      </c>
      <c r="DA52" s="560">
        <f t="shared" si="154"/>
        <v>4450</v>
      </c>
      <c r="DB52" s="565"/>
      <c r="DC52" s="553">
        <f>'Prod&amp;Consp'!DF68*$C$25/1000</f>
        <v>0</v>
      </c>
      <c r="DD52" s="562">
        <f>'Prod&amp;Consp'!DG68*$C$25/1000</f>
        <v>0</v>
      </c>
      <c r="DE52" s="553">
        <f>'Prod&amp;Consp'!DH68*$C$25/1000</f>
        <v>0</v>
      </c>
      <c r="DF52" s="553">
        <f>'Prod&amp;Consp'!DI68*$C$25/1000</f>
        <v>0</v>
      </c>
      <c r="DG52" s="553">
        <f>'Prod&amp;Consp'!DJ68*$C$25/1000</f>
        <v>0</v>
      </c>
      <c r="DH52" s="553">
        <f>'Prod&amp;Consp'!DK68*$C$25/1000</f>
        <v>0</v>
      </c>
      <c r="DI52" s="553">
        <f>'Prod&amp;Consp'!DL68*$C$25/1000</f>
        <v>0</v>
      </c>
      <c r="DJ52" s="553">
        <f>'Prod&amp;Consp'!DM68*$C$25/1000</f>
        <v>4450</v>
      </c>
      <c r="DK52" s="553">
        <f>'Prod&amp;Consp'!DN68*$C$25/1000</f>
        <v>0</v>
      </c>
      <c r="DL52" s="553">
        <f>'Prod&amp;Consp'!DO68*$C$25/1000</f>
        <v>0</v>
      </c>
      <c r="DM52" s="553">
        <f>'Prod&amp;Consp'!DP68*$C$25/1000</f>
        <v>0</v>
      </c>
      <c r="DN52" s="553">
        <f>'Prod&amp;Consp'!DQ68*$C$25/1000</f>
        <v>0</v>
      </c>
      <c r="DO52" s="560">
        <f t="shared" si="155"/>
        <v>4450</v>
      </c>
      <c r="DP52" s="565"/>
      <c r="DQ52" s="553">
        <f>'Prod&amp;Consp'!DT68*$C$25/1000</f>
        <v>0</v>
      </c>
      <c r="DR52" s="553">
        <f>'Prod&amp;Consp'!DU68*$C$25/1000</f>
        <v>0</v>
      </c>
      <c r="DS52" s="553">
        <f>'Prod&amp;Consp'!DV68*$C$25/1000</f>
        <v>0</v>
      </c>
      <c r="DT52" s="553">
        <f>'Prod&amp;Consp'!DW68*$C$25/1000</f>
        <v>0</v>
      </c>
      <c r="DU52" s="553">
        <f>'Prod&amp;Consp'!DX68*$C$25/1000</f>
        <v>0</v>
      </c>
      <c r="DV52" s="553">
        <f>'Prod&amp;Consp'!DY68*$C$25/1000</f>
        <v>0</v>
      </c>
      <c r="DW52" s="553">
        <f>'Prod&amp;Consp'!DZ68*$C$25/1000</f>
        <v>0</v>
      </c>
      <c r="DX52" s="562">
        <f>'Prod&amp;Consp'!EA68*$C$25/1000</f>
        <v>0</v>
      </c>
      <c r="DY52" s="553">
        <f>'Prod&amp;Consp'!EB68*$C$25/1000</f>
        <v>0</v>
      </c>
      <c r="DZ52" s="553">
        <f>'Prod&amp;Consp'!EC68*$C$25/1000</f>
        <v>0</v>
      </c>
      <c r="EA52" s="553">
        <f>'Prod&amp;Consp'!ED68*$C$25/1000</f>
        <v>0</v>
      </c>
      <c r="EB52" s="553">
        <f>'Prod&amp;Consp'!EE68*$C$25/1000</f>
        <v>0</v>
      </c>
      <c r="EC52" s="560">
        <f t="shared" si="156"/>
        <v>0</v>
      </c>
      <c r="ED52" s="565"/>
      <c r="EE52" s="553">
        <f>'Prod&amp;Consp'!EH68*$C$25/1000</f>
        <v>0</v>
      </c>
      <c r="EF52" s="553">
        <f>'Prod&amp;Consp'!EI68*$C$25/1000</f>
        <v>4450</v>
      </c>
      <c r="EG52" s="553">
        <f>'Prod&amp;Consp'!EJ68*$C$25/1000</f>
        <v>0</v>
      </c>
      <c r="EH52" s="553">
        <f>'Prod&amp;Consp'!EK68*$C$25/1000</f>
        <v>0</v>
      </c>
      <c r="EI52" s="553">
        <f>'Prod&amp;Consp'!EL68*$C$25/1000</f>
        <v>0</v>
      </c>
      <c r="EJ52" s="553">
        <f>'Prod&amp;Consp'!EM68*$C$25/1000</f>
        <v>0</v>
      </c>
      <c r="EK52" s="553">
        <f>'Prod&amp;Consp'!EN68*$C$25/1000</f>
        <v>0</v>
      </c>
      <c r="EL52" s="553">
        <f>'Prod&amp;Consp'!EO68*$C$25/1000</f>
        <v>0</v>
      </c>
      <c r="EM52" s="553">
        <f>'Prod&amp;Consp'!EP68*$C$25/1000</f>
        <v>0</v>
      </c>
      <c r="EN52" s="553">
        <f>'Prod&amp;Consp'!EQ68*$C$25/1000</f>
        <v>0</v>
      </c>
      <c r="EO52" s="553">
        <f>'Prod&amp;Consp'!ER68*$C$25/1000</f>
        <v>0</v>
      </c>
      <c r="EP52" s="553">
        <f>'Prod&amp;Consp'!ES68*$C$25/1000</f>
        <v>0</v>
      </c>
      <c r="EQ52" s="560">
        <f t="shared" si="157"/>
        <v>4450</v>
      </c>
      <c r="ET52" s="536"/>
      <c r="EU52" s="531" t="s">
        <v>13</v>
      </c>
      <c r="EV52" s="4" t="s">
        <v>1083</v>
      </c>
      <c r="EX52" s="553">
        <f t="shared" si="139"/>
        <v>4450</v>
      </c>
      <c r="EY52" s="553">
        <f t="shared" si="140"/>
        <v>0</v>
      </c>
      <c r="EZ52" s="553">
        <f t="shared" si="141"/>
        <v>4450</v>
      </c>
      <c r="FA52" s="553">
        <f t="shared" si="142"/>
        <v>4450</v>
      </c>
      <c r="FB52" s="553">
        <f t="shared" si="143"/>
        <v>0</v>
      </c>
      <c r="FC52" s="553">
        <f t="shared" si="144"/>
        <v>4450</v>
      </c>
      <c r="FD52" s="553">
        <f t="shared" si="145"/>
        <v>4450</v>
      </c>
      <c r="FE52" s="553">
        <f t="shared" si="146"/>
        <v>0</v>
      </c>
      <c r="FF52" s="553">
        <f t="shared" si="147"/>
        <v>4450</v>
      </c>
    </row>
    <row r="53" spans="2:162" ht="10.5" customHeight="1" x14ac:dyDescent="0.35">
      <c r="B53" s="531"/>
      <c r="F53" s="547" t="s">
        <v>1261</v>
      </c>
      <c r="G53" s="531" t="s">
        <v>51</v>
      </c>
      <c r="H53" s="4"/>
      <c r="V53" s="565"/>
      <c r="W53" s="553"/>
      <c r="X53" s="553"/>
      <c r="Y53" s="553"/>
      <c r="Z53" s="553"/>
      <c r="AA53" s="553"/>
      <c r="AB53" s="553"/>
      <c r="AC53" s="553"/>
      <c r="AD53" s="553"/>
      <c r="AE53" s="553"/>
      <c r="AF53" s="553"/>
      <c r="AG53" s="553"/>
      <c r="AH53" s="553"/>
      <c r="AI53" s="560"/>
      <c r="AJ53" s="565"/>
      <c r="AK53" s="553"/>
      <c r="AL53" s="553"/>
      <c r="AM53" s="553"/>
      <c r="AN53" s="553"/>
      <c r="AO53" s="553"/>
      <c r="AP53" s="553"/>
      <c r="AQ53" s="553"/>
      <c r="AR53" s="562"/>
      <c r="AS53" s="553"/>
      <c r="AT53" s="553"/>
      <c r="AU53" s="553"/>
      <c r="AV53" s="553"/>
      <c r="AW53" s="560"/>
      <c r="AX53" s="565"/>
      <c r="AY53" s="553"/>
      <c r="AZ53" s="553"/>
      <c r="BA53" s="553"/>
      <c r="BB53" s="553"/>
      <c r="BC53" s="553"/>
      <c r="BD53" s="553"/>
      <c r="BE53" s="553"/>
      <c r="BF53" s="553"/>
      <c r="BG53" s="553"/>
      <c r="BH53" s="553"/>
      <c r="BI53" s="553"/>
      <c r="BJ53" s="553"/>
      <c r="BK53" s="560"/>
      <c r="BL53" s="565"/>
      <c r="BM53" s="553"/>
      <c r="BN53" s="562"/>
      <c r="BO53" s="553"/>
      <c r="BP53" s="553"/>
      <c r="BQ53" s="553"/>
      <c r="BR53" s="553"/>
      <c r="BS53" s="553"/>
      <c r="BT53" s="553"/>
      <c r="BU53" s="553"/>
      <c r="BV53" s="553"/>
      <c r="BW53" s="553"/>
      <c r="BX53" s="553"/>
      <c r="BY53" s="560"/>
      <c r="BZ53" s="565"/>
      <c r="CA53" s="553"/>
      <c r="CB53" s="553"/>
      <c r="CC53" s="553"/>
      <c r="CD53" s="553"/>
      <c r="CE53" s="553"/>
      <c r="CF53" s="553"/>
      <c r="CG53" s="553"/>
      <c r="CH53" s="562"/>
      <c r="CI53" s="553"/>
      <c r="CJ53" s="553"/>
      <c r="CK53" s="553"/>
      <c r="CL53" s="553"/>
      <c r="CM53" s="560"/>
      <c r="CN53" s="565"/>
      <c r="CO53" s="553"/>
      <c r="CP53" s="553"/>
      <c r="CQ53" s="553"/>
      <c r="CR53" s="553"/>
      <c r="CS53" s="553"/>
      <c r="CT53" s="553"/>
      <c r="CU53" s="553"/>
      <c r="CV53" s="553"/>
      <c r="CW53" s="553"/>
      <c r="CX53" s="553"/>
      <c r="CY53" s="553"/>
      <c r="CZ53" s="553"/>
      <c r="DA53" s="560"/>
      <c r="DB53" s="565"/>
      <c r="DC53" s="553"/>
      <c r="DD53" s="562"/>
      <c r="DE53" s="553"/>
      <c r="DF53" s="553"/>
      <c r="DG53" s="553"/>
      <c r="DH53" s="553"/>
      <c r="DI53" s="553"/>
      <c r="DJ53" s="553"/>
      <c r="DK53" s="553"/>
      <c r="DL53" s="553"/>
      <c r="DM53" s="553"/>
      <c r="DN53" s="553"/>
      <c r="DO53" s="560"/>
      <c r="DP53" s="565"/>
      <c r="DQ53" s="553"/>
      <c r="DR53" s="553"/>
      <c r="DS53" s="553"/>
      <c r="DT53" s="553"/>
      <c r="DU53" s="553"/>
      <c r="DV53" s="553"/>
      <c r="DW53" s="553"/>
      <c r="DX53" s="562"/>
      <c r="DY53" s="553"/>
      <c r="DZ53" s="553"/>
      <c r="EA53" s="553"/>
      <c r="EB53" s="553"/>
      <c r="EC53" s="560"/>
      <c r="ED53" s="565"/>
      <c r="EE53" s="553"/>
      <c r="EF53" s="553"/>
      <c r="EG53" s="553"/>
      <c r="EH53" s="553"/>
      <c r="EI53" s="553"/>
      <c r="EJ53" s="553"/>
      <c r="EK53" s="553"/>
      <c r="EL53" s="553"/>
      <c r="EM53" s="553"/>
      <c r="EN53" s="553"/>
      <c r="EO53" s="553"/>
      <c r="EP53" s="553"/>
      <c r="EQ53" s="560"/>
      <c r="ET53" s="536">
        <v>2.4</v>
      </c>
      <c r="EU53" s="531" t="s">
        <v>51</v>
      </c>
      <c r="EV53" s="4"/>
      <c r="EX53" s="576">
        <f>SUM(EX54:EX55)</f>
        <v>5460</v>
      </c>
      <c r="EY53" s="576">
        <f t="shared" ref="EY53:FF53" si="158">SUM(EY54:EY55)</f>
        <v>4380</v>
      </c>
      <c r="EZ53" s="576">
        <f t="shared" si="158"/>
        <v>1080</v>
      </c>
      <c r="FA53" s="576">
        <f t="shared" si="158"/>
        <v>5460</v>
      </c>
      <c r="FB53" s="576">
        <f t="shared" si="158"/>
        <v>4380</v>
      </c>
      <c r="FC53" s="576">
        <f t="shared" si="158"/>
        <v>1080</v>
      </c>
      <c r="FD53" s="576">
        <f t="shared" si="158"/>
        <v>5460</v>
      </c>
      <c r="FE53" s="576">
        <f t="shared" si="158"/>
        <v>4380</v>
      </c>
      <c r="FF53" s="576">
        <f t="shared" si="158"/>
        <v>1080</v>
      </c>
    </row>
    <row r="54" spans="2:162" ht="10.5" customHeight="1" x14ac:dyDescent="0.35">
      <c r="B54" s="531"/>
      <c r="F54" s="536"/>
      <c r="G54" s="531" t="s">
        <v>9</v>
      </c>
      <c r="H54" s="4" t="s">
        <v>491</v>
      </c>
      <c r="V54" s="565"/>
      <c r="W54" s="553">
        <f>'Prod&amp;Consp'!Z70*$C$27/1000</f>
        <v>1080</v>
      </c>
      <c r="X54" s="553">
        <f>'Prod&amp;Consp'!AA70*$C$27/1000</f>
        <v>0</v>
      </c>
      <c r="Y54" s="553">
        <f>'Prod&amp;Consp'!AB70*$C$27/1000</f>
        <v>0</v>
      </c>
      <c r="Z54" s="553">
        <f>'Prod&amp;Consp'!AC70*$C$27/1000</f>
        <v>0</v>
      </c>
      <c r="AA54" s="553">
        <f>'Prod&amp;Consp'!AD70*$C$27/1000</f>
        <v>0</v>
      </c>
      <c r="AB54" s="553">
        <f>'Prod&amp;Consp'!AE70*$C$27/1000</f>
        <v>0</v>
      </c>
      <c r="AC54" s="553">
        <f>'Prod&amp;Consp'!AF70*$C$27/1000</f>
        <v>0</v>
      </c>
      <c r="AD54" s="553">
        <f>'Prod&amp;Consp'!AG70*$C$27/1000</f>
        <v>1080</v>
      </c>
      <c r="AE54" s="553">
        <f>'Prod&amp;Consp'!AH70*$C$27/1000</f>
        <v>0</v>
      </c>
      <c r="AF54" s="553">
        <f>'Prod&amp;Consp'!AI70*$C$27/1000</f>
        <v>0</v>
      </c>
      <c r="AG54" s="553">
        <f>'Prod&amp;Consp'!AJ70*$C$27/1000</f>
        <v>0</v>
      </c>
      <c r="AH54" s="553">
        <f>'Prod&amp;Consp'!AK70*$C$27/1000</f>
        <v>0</v>
      </c>
      <c r="AI54" s="560">
        <f t="shared" ref="AI54:AI60" si="159">SUM(W54:AH54)</f>
        <v>2160</v>
      </c>
      <c r="AJ54" s="565"/>
      <c r="AK54" s="553">
        <f>'Prod&amp;Consp'!AN70*$C$27/1000</f>
        <v>0</v>
      </c>
      <c r="AL54" s="553">
        <f>'Prod&amp;Consp'!AO70*$C$27/1000</f>
        <v>0</v>
      </c>
      <c r="AM54" s="553">
        <f>'Prod&amp;Consp'!AP70*$C$27/1000</f>
        <v>0</v>
      </c>
      <c r="AN54" s="553">
        <f>'Prod&amp;Consp'!AQ70*$C$27/1000</f>
        <v>0</v>
      </c>
      <c r="AO54" s="553">
        <f>'Prod&amp;Consp'!AR70*$C$27/1000</f>
        <v>0</v>
      </c>
      <c r="AP54" s="553">
        <f>'Prod&amp;Consp'!AS70*$C$27/1000</f>
        <v>0</v>
      </c>
      <c r="AQ54" s="553">
        <f>'Prod&amp;Consp'!AT70*$C$27/1000</f>
        <v>1080</v>
      </c>
      <c r="AR54" s="562">
        <f>'Prod&amp;Consp'!AU70*$C$27/1000</f>
        <v>0</v>
      </c>
      <c r="AS54" s="553">
        <f>'Prod&amp;Consp'!AV70*$C$27/1000</f>
        <v>0</v>
      </c>
      <c r="AT54" s="553">
        <f>'Prod&amp;Consp'!AW70*$C$27/1000</f>
        <v>0</v>
      </c>
      <c r="AU54" s="553">
        <f>'Prod&amp;Consp'!AX70*$C$27/1000</f>
        <v>0</v>
      </c>
      <c r="AV54" s="553">
        <f>'Prod&amp;Consp'!AY70*$C$27/1000</f>
        <v>0</v>
      </c>
      <c r="AW54" s="560">
        <f t="shared" ref="AW54:AW60" si="160">SUM(AK54:AV54)</f>
        <v>1080</v>
      </c>
      <c r="AX54" s="565"/>
      <c r="AY54" s="553">
        <f>'Prod&amp;Consp'!BB70*$C$27/1000</f>
        <v>0</v>
      </c>
      <c r="AZ54" s="553">
        <f>'Prod&amp;Consp'!BC70*$C$27/1000</f>
        <v>1080</v>
      </c>
      <c r="BA54" s="553">
        <f>'Prod&amp;Consp'!BD70*$C$27/1000</f>
        <v>0</v>
      </c>
      <c r="BB54" s="553">
        <f>'Prod&amp;Consp'!BE70*$C$27/1000</f>
        <v>0</v>
      </c>
      <c r="BC54" s="553">
        <f>'Prod&amp;Consp'!BF70*$C$27/1000</f>
        <v>0</v>
      </c>
      <c r="BD54" s="553">
        <f>'Prod&amp;Consp'!BG70*$C$27/1000</f>
        <v>0</v>
      </c>
      <c r="BE54" s="553">
        <f>'Prod&amp;Consp'!BH70*$C$27/1000</f>
        <v>0</v>
      </c>
      <c r="BF54" s="553">
        <f>'Prod&amp;Consp'!BI70*$C$27/1000</f>
        <v>0</v>
      </c>
      <c r="BG54" s="553">
        <f>'Prod&amp;Consp'!BJ70*$C$27/1000</f>
        <v>0</v>
      </c>
      <c r="BH54" s="553">
        <f>'Prod&amp;Consp'!BK70*$C$27/1000</f>
        <v>0</v>
      </c>
      <c r="BI54" s="553">
        <f>'Prod&amp;Consp'!BL70*$C$27/1000</f>
        <v>0</v>
      </c>
      <c r="BJ54" s="553">
        <f>'Prod&amp;Consp'!BM70*$C$27/1000</f>
        <v>0</v>
      </c>
      <c r="BK54" s="560">
        <f t="shared" ref="BK54:BK60" si="161">SUM(AY54:BJ54)</f>
        <v>1080</v>
      </c>
      <c r="BL54" s="565"/>
      <c r="BM54" s="553">
        <f>'Prod&amp;Consp'!BP70*$C$27/1000</f>
        <v>1080</v>
      </c>
      <c r="BN54" s="562">
        <f>'Prod&amp;Consp'!BQ70*$C$27/1000</f>
        <v>0</v>
      </c>
      <c r="BO54" s="553">
        <f>'Prod&amp;Consp'!BR70*$C$27/1000</f>
        <v>0</v>
      </c>
      <c r="BP54" s="553">
        <f>'Prod&amp;Consp'!BS70*$C$27/1000</f>
        <v>0</v>
      </c>
      <c r="BQ54" s="553">
        <f>'Prod&amp;Consp'!BT70*$C$27/1000</f>
        <v>0</v>
      </c>
      <c r="BR54" s="553">
        <f>'Prod&amp;Consp'!BU70*$C$27/1000</f>
        <v>0</v>
      </c>
      <c r="BS54" s="553">
        <f>'Prod&amp;Consp'!BV70*$C$27/1000</f>
        <v>0</v>
      </c>
      <c r="BT54" s="553">
        <f>'Prod&amp;Consp'!BW70*$C$27/1000</f>
        <v>1080</v>
      </c>
      <c r="BU54" s="553">
        <f>'Prod&amp;Consp'!BX70*$C$27/1000</f>
        <v>0</v>
      </c>
      <c r="BV54" s="553">
        <f>'Prod&amp;Consp'!BY70*$C$27/1000</f>
        <v>0</v>
      </c>
      <c r="BW54" s="553">
        <f>'Prod&amp;Consp'!BZ70*$C$27/1000</f>
        <v>0</v>
      </c>
      <c r="BX54" s="553">
        <f>'Prod&amp;Consp'!CA70*$C$27/1000</f>
        <v>0</v>
      </c>
      <c r="BY54" s="560">
        <f t="shared" ref="BY54:BY60" si="162">SUM(BM54:BX54)</f>
        <v>2160</v>
      </c>
      <c r="BZ54" s="565"/>
      <c r="CA54" s="553">
        <f>'Prod&amp;Consp'!CD70*$C$27/1000</f>
        <v>0</v>
      </c>
      <c r="CB54" s="553">
        <f>'Prod&amp;Consp'!CE70*$C$27/1000</f>
        <v>0</v>
      </c>
      <c r="CC54" s="553">
        <f>'Prod&amp;Consp'!CF70*$C$27/1000</f>
        <v>0</v>
      </c>
      <c r="CD54" s="553">
        <f>'Prod&amp;Consp'!CG70*$C$27/1000</f>
        <v>0</v>
      </c>
      <c r="CE54" s="553">
        <f>'Prod&amp;Consp'!CH70*$C$27/1000</f>
        <v>0</v>
      </c>
      <c r="CF54" s="553">
        <f>'Prod&amp;Consp'!CI70*$C$27/1000</f>
        <v>0</v>
      </c>
      <c r="CG54" s="553">
        <f>'Prod&amp;Consp'!CJ70*$C$27/1000</f>
        <v>1080</v>
      </c>
      <c r="CH54" s="562">
        <f>'Prod&amp;Consp'!CK70*$C$27/1000</f>
        <v>0</v>
      </c>
      <c r="CI54" s="553">
        <f>'Prod&amp;Consp'!CL70*$C$27/1000</f>
        <v>0</v>
      </c>
      <c r="CJ54" s="553">
        <f>'Prod&amp;Consp'!CM70*$C$27/1000</f>
        <v>0</v>
      </c>
      <c r="CK54" s="553">
        <f>'Prod&amp;Consp'!CN70*$C$27/1000</f>
        <v>0</v>
      </c>
      <c r="CL54" s="553">
        <f>'Prod&amp;Consp'!CO70*$C$27/1000</f>
        <v>0</v>
      </c>
      <c r="CM54" s="560">
        <f t="shared" ref="CM54:CM60" si="163">SUM(CA54:CL54)</f>
        <v>1080</v>
      </c>
      <c r="CN54" s="565"/>
      <c r="CO54" s="553">
        <f>'Prod&amp;Consp'!CR70*$C$27/1000</f>
        <v>0</v>
      </c>
      <c r="CP54" s="553">
        <f>'Prod&amp;Consp'!CS70*$C$27/1000</f>
        <v>0</v>
      </c>
      <c r="CQ54" s="553">
        <f>'Prod&amp;Consp'!CT70*$C$27/1000</f>
        <v>1080</v>
      </c>
      <c r="CR54" s="553">
        <f>'Prod&amp;Consp'!CU70*$C$27/1000</f>
        <v>0</v>
      </c>
      <c r="CS54" s="553">
        <f>'Prod&amp;Consp'!CV70*$C$27/1000</f>
        <v>0</v>
      </c>
      <c r="CT54" s="553">
        <f>'Prod&amp;Consp'!CW70*$C$27/1000</f>
        <v>0</v>
      </c>
      <c r="CU54" s="553">
        <f>'Prod&amp;Consp'!CX70*$C$27/1000</f>
        <v>0</v>
      </c>
      <c r="CV54" s="553">
        <f>'Prod&amp;Consp'!CY70*$C$27/1000</f>
        <v>0</v>
      </c>
      <c r="CW54" s="553">
        <f>'Prod&amp;Consp'!CZ70*$C$27/1000</f>
        <v>0</v>
      </c>
      <c r="CX54" s="553">
        <f>'Prod&amp;Consp'!DA70*$C$27/1000</f>
        <v>0</v>
      </c>
      <c r="CY54" s="553">
        <f>'Prod&amp;Consp'!DB70*$C$27/1000</f>
        <v>0</v>
      </c>
      <c r="CZ54" s="553">
        <f>'Prod&amp;Consp'!DC70*$C$27/1000</f>
        <v>0</v>
      </c>
      <c r="DA54" s="560">
        <f t="shared" ref="DA54:DA60" si="164">SUM(CO54:CZ54)</f>
        <v>1080</v>
      </c>
      <c r="DB54" s="565"/>
      <c r="DC54" s="553">
        <f>'Prod&amp;Consp'!DF70*$C$27/1000</f>
        <v>1080</v>
      </c>
      <c r="DD54" s="562">
        <f>'Prod&amp;Consp'!DG70*$C$27/1000</f>
        <v>0</v>
      </c>
      <c r="DE54" s="553">
        <f>'Prod&amp;Consp'!DH70*$C$27/1000</f>
        <v>0</v>
      </c>
      <c r="DF54" s="553">
        <f>'Prod&amp;Consp'!DI70*$C$27/1000</f>
        <v>0</v>
      </c>
      <c r="DG54" s="553">
        <f>'Prod&amp;Consp'!DJ70*$C$27/1000</f>
        <v>0</v>
      </c>
      <c r="DH54" s="553">
        <f>'Prod&amp;Consp'!DK70*$C$27/1000</f>
        <v>0</v>
      </c>
      <c r="DI54" s="553">
        <f>'Prod&amp;Consp'!DL70*$C$27/1000</f>
        <v>0</v>
      </c>
      <c r="DJ54" s="553">
        <f>'Prod&amp;Consp'!DM70*$C$27/1000</f>
        <v>1080</v>
      </c>
      <c r="DK54" s="553">
        <f>'Prod&amp;Consp'!DN70*$C$27/1000</f>
        <v>0</v>
      </c>
      <c r="DL54" s="553">
        <f>'Prod&amp;Consp'!DO70*$C$27/1000</f>
        <v>0</v>
      </c>
      <c r="DM54" s="553">
        <f>'Prod&amp;Consp'!DP70*$C$27/1000</f>
        <v>0</v>
      </c>
      <c r="DN54" s="553">
        <f>'Prod&amp;Consp'!DQ70*$C$27/1000</f>
        <v>0</v>
      </c>
      <c r="DO54" s="560">
        <f t="shared" ref="DO54:DO60" si="165">SUM(DC54:DN54)</f>
        <v>2160</v>
      </c>
      <c r="DP54" s="565"/>
      <c r="DQ54" s="553">
        <f>'Prod&amp;Consp'!DT70*$C$27/1000</f>
        <v>0</v>
      </c>
      <c r="DR54" s="553">
        <f>'Prod&amp;Consp'!DU70*$C$27/1000</f>
        <v>0</v>
      </c>
      <c r="DS54" s="553">
        <f>'Prod&amp;Consp'!DV70*$C$27/1000</f>
        <v>0</v>
      </c>
      <c r="DT54" s="553">
        <f>'Prod&amp;Consp'!DW70*$C$27/1000</f>
        <v>0</v>
      </c>
      <c r="DU54" s="553">
        <f>'Prod&amp;Consp'!DX70*$C$27/1000</f>
        <v>0</v>
      </c>
      <c r="DV54" s="553">
        <f>'Prod&amp;Consp'!DY70*$C$27/1000</f>
        <v>0</v>
      </c>
      <c r="DW54" s="553">
        <f>'Prod&amp;Consp'!DZ70*$C$27/1000</f>
        <v>1080</v>
      </c>
      <c r="DX54" s="562">
        <f>'Prod&amp;Consp'!EA70*$C$27/1000</f>
        <v>0</v>
      </c>
      <c r="DY54" s="553">
        <f>'Prod&amp;Consp'!EB70*$C$27/1000</f>
        <v>0</v>
      </c>
      <c r="DZ54" s="553">
        <f>'Prod&amp;Consp'!EC70*$C$27/1000</f>
        <v>0</v>
      </c>
      <c r="EA54" s="553">
        <f>'Prod&amp;Consp'!ED70*$C$27/1000</f>
        <v>0</v>
      </c>
      <c r="EB54" s="553">
        <f>'Prod&amp;Consp'!EE70*$C$27/1000</f>
        <v>0</v>
      </c>
      <c r="EC54" s="560">
        <f t="shared" ref="EC54:EC60" si="166">SUM(DQ54:EB54)</f>
        <v>1080</v>
      </c>
      <c r="ED54" s="565"/>
      <c r="EE54" s="553">
        <f>'Prod&amp;Consp'!EH70*$C$27/1000</f>
        <v>0</v>
      </c>
      <c r="EF54" s="553">
        <f>'Prod&amp;Consp'!EI70*$C$27/1000</f>
        <v>1080</v>
      </c>
      <c r="EG54" s="553">
        <f>'Prod&amp;Consp'!EJ70*$C$27/1000</f>
        <v>0</v>
      </c>
      <c r="EH54" s="553">
        <f>'Prod&amp;Consp'!EK70*$C$27/1000</f>
        <v>0</v>
      </c>
      <c r="EI54" s="553">
        <f>'Prod&amp;Consp'!EL70*$C$27/1000</f>
        <v>0</v>
      </c>
      <c r="EJ54" s="553">
        <f>'Prod&amp;Consp'!EM70*$C$27/1000</f>
        <v>0</v>
      </c>
      <c r="EK54" s="553">
        <f>'Prod&amp;Consp'!EN70*$C$27/1000</f>
        <v>0</v>
      </c>
      <c r="EL54" s="553">
        <f>'Prod&amp;Consp'!EO70*$C$27/1000</f>
        <v>0</v>
      </c>
      <c r="EM54" s="553">
        <f>'Prod&amp;Consp'!EP70*$C$27/1000</f>
        <v>0</v>
      </c>
      <c r="EN54" s="553">
        <f>'Prod&amp;Consp'!EQ70*$C$27/1000</f>
        <v>0</v>
      </c>
      <c r="EO54" s="553">
        <f>'Prod&amp;Consp'!ER70*$C$27/1000</f>
        <v>0</v>
      </c>
      <c r="EP54" s="553">
        <f>'Prod&amp;Consp'!ES70*$C$27/1000</f>
        <v>0</v>
      </c>
      <c r="EQ54" s="560">
        <f t="shared" ref="EQ54:EQ60" si="167">SUM(EE54:EP54)</f>
        <v>1080</v>
      </c>
      <c r="ET54" s="536"/>
      <c r="EU54" s="531" t="s">
        <v>9</v>
      </c>
      <c r="EV54" s="4" t="s">
        <v>491</v>
      </c>
      <c r="EX54" s="553">
        <f t="shared" si="139"/>
        <v>2160</v>
      </c>
      <c r="EY54" s="553">
        <f t="shared" si="140"/>
        <v>1080</v>
      </c>
      <c r="EZ54" s="553">
        <f t="shared" si="141"/>
        <v>1080</v>
      </c>
      <c r="FA54" s="553">
        <f t="shared" si="142"/>
        <v>2160</v>
      </c>
      <c r="FB54" s="553">
        <f t="shared" si="143"/>
        <v>1080</v>
      </c>
      <c r="FC54" s="553">
        <f t="shared" si="144"/>
        <v>1080</v>
      </c>
      <c r="FD54" s="553">
        <f t="shared" si="145"/>
        <v>2160</v>
      </c>
      <c r="FE54" s="553">
        <f t="shared" si="146"/>
        <v>1080</v>
      </c>
      <c r="FF54" s="553">
        <f t="shared" si="147"/>
        <v>1080</v>
      </c>
    </row>
    <row r="55" spans="2:162" ht="10.5" customHeight="1" x14ac:dyDescent="0.35">
      <c r="B55" s="531"/>
      <c r="F55" s="536"/>
      <c r="G55" s="531" t="s">
        <v>10</v>
      </c>
      <c r="H55" s="4" t="s">
        <v>468</v>
      </c>
      <c r="V55" s="565"/>
      <c r="W55" s="553">
        <f>'Prod&amp;Consp'!Z71*$C$28/1000</f>
        <v>0</v>
      </c>
      <c r="X55" s="553">
        <f>'Prod&amp;Consp'!AA71*$C$28/1000</f>
        <v>0</v>
      </c>
      <c r="Y55" s="553">
        <f>'Prod&amp;Consp'!AB71*$C$28/1000</f>
        <v>3300</v>
      </c>
      <c r="Z55" s="553">
        <f>'Prod&amp;Consp'!AC71*$C$28/1000</f>
        <v>0</v>
      </c>
      <c r="AA55" s="553">
        <f>'Prod&amp;Consp'!AD71*$C$28/1000</f>
        <v>0</v>
      </c>
      <c r="AB55" s="553">
        <f>'Prod&amp;Consp'!AE71*$C$28/1000</f>
        <v>0</v>
      </c>
      <c r="AC55" s="553">
        <f>'Prod&amp;Consp'!AF71*$C$28/1000</f>
        <v>0</v>
      </c>
      <c r="AD55" s="553">
        <f>'Prod&amp;Consp'!AG71*$C$28/1000</f>
        <v>0</v>
      </c>
      <c r="AE55" s="553">
        <f>'Prod&amp;Consp'!AH71*$C$28/1000</f>
        <v>0</v>
      </c>
      <c r="AF55" s="553">
        <f>'Prod&amp;Consp'!AI71*$C$28/1000</f>
        <v>0</v>
      </c>
      <c r="AG55" s="553">
        <f>'Prod&amp;Consp'!AJ71*$C$28/1000</f>
        <v>0</v>
      </c>
      <c r="AH55" s="553">
        <f>'Prod&amp;Consp'!AK71*$C$28/1000</f>
        <v>0</v>
      </c>
      <c r="AI55" s="560">
        <f t="shared" si="159"/>
        <v>3300</v>
      </c>
      <c r="AJ55" s="565"/>
      <c r="AK55" s="553">
        <f>'Prod&amp;Consp'!AN71*$C$28/1000</f>
        <v>0</v>
      </c>
      <c r="AL55" s="553">
        <f>'Prod&amp;Consp'!AO71*$C$28/1000</f>
        <v>0</v>
      </c>
      <c r="AM55" s="553">
        <f>'Prod&amp;Consp'!AP71*$C$28/1000</f>
        <v>0</v>
      </c>
      <c r="AN55" s="553">
        <f>'Prod&amp;Consp'!AQ71*$C$28/1000</f>
        <v>0</v>
      </c>
      <c r="AO55" s="553">
        <f>'Prod&amp;Consp'!AR71*$C$28/1000</f>
        <v>0</v>
      </c>
      <c r="AP55" s="553">
        <f>'Prod&amp;Consp'!AS71*$C$28/1000</f>
        <v>0</v>
      </c>
      <c r="AQ55" s="553">
        <f>'Prod&amp;Consp'!AT71*$C$28/1000</f>
        <v>0</v>
      </c>
      <c r="AR55" s="562">
        <f>'Prod&amp;Consp'!AU71*$C$28/1000</f>
        <v>0</v>
      </c>
      <c r="AS55" s="553">
        <f>'Prod&amp;Consp'!AV71*$C$28/1000</f>
        <v>3300</v>
      </c>
      <c r="AT55" s="553">
        <f>'Prod&amp;Consp'!AW71*$C$28/1000</f>
        <v>0</v>
      </c>
      <c r="AU55" s="553">
        <f>'Prod&amp;Consp'!AX71*$C$28/1000</f>
        <v>0</v>
      </c>
      <c r="AV55" s="553">
        <f>'Prod&amp;Consp'!AY71*$C$28/1000</f>
        <v>0</v>
      </c>
      <c r="AW55" s="560">
        <f t="shared" si="160"/>
        <v>3300</v>
      </c>
      <c r="AX55" s="565"/>
      <c r="AY55" s="553">
        <f>'Prod&amp;Consp'!BB71*$C$28/1000</f>
        <v>0</v>
      </c>
      <c r="AZ55" s="553">
        <f>'Prod&amp;Consp'!BC71*$C$28/1000</f>
        <v>0</v>
      </c>
      <c r="BA55" s="553">
        <f>'Prod&amp;Consp'!BD71*$C$28/1000</f>
        <v>0</v>
      </c>
      <c r="BB55" s="553">
        <f>'Prod&amp;Consp'!BE71*$C$28/1000</f>
        <v>0</v>
      </c>
      <c r="BC55" s="553">
        <f>'Prod&amp;Consp'!BF71*$C$28/1000</f>
        <v>0</v>
      </c>
      <c r="BD55" s="553">
        <f>'Prod&amp;Consp'!BG71*$C$28/1000</f>
        <v>0</v>
      </c>
      <c r="BE55" s="553">
        <f>'Prod&amp;Consp'!BH71*$C$28/1000</f>
        <v>0</v>
      </c>
      <c r="BF55" s="553">
        <f>'Prod&amp;Consp'!BI71*$C$28/1000</f>
        <v>0</v>
      </c>
      <c r="BG55" s="553">
        <f>'Prod&amp;Consp'!BJ71*$C$28/1000</f>
        <v>0</v>
      </c>
      <c r="BH55" s="553">
        <f>'Prod&amp;Consp'!BK71*$C$28/1000</f>
        <v>0</v>
      </c>
      <c r="BI55" s="553">
        <f>'Prod&amp;Consp'!BL71*$C$28/1000</f>
        <v>0</v>
      </c>
      <c r="BJ55" s="553">
        <f>'Prod&amp;Consp'!BM71*$C$28/1000</f>
        <v>0</v>
      </c>
      <c r="BK55" s="560">
        <f t="shared" si="161"/>
        <v>0</v>
      </c>
      <c r="BL55" s="565"/>
      <c r="BM55" s="553">
        <f>'Prod&amp;Consp'!BP71*$C$28/1000</f>
        <v>0</v>
      </c>
      <c r="BN55" s="562">
        <f>'Prod&amp;Consp'!BQ71*$C$28/1000</f>
        <v>0</v>
      </c>
      <c r="BO55" s="553">
        <f>'Prod&amp;Consp'!BR71*$C$28/1000</f>
        <v>3300</v>
      </c>
      <c r="BP55" s="553">
        <f>'Prod&amp;Consp'!BS71*$C$28/1000</f>
        <v>0</v>
      </c>
      <c r="BQ55" s="553">
        <f>'Prod&amp;Consp'!BT71*$C$28/1000</f>
        <v>0</v>
      </c>
      <c r="BR55" s="553">
        <f>'Prod&amp;Consp'!BU71*$C$28/1000</f>
        <v>0</v>
      </c>
      <c r="BS55" s="553">
        <f>'Prod&amp;Consp'!BV71*$C$28/1000</f>
        <v>0</v>
      </c>
      <c r="BT55" s="553">
        <f>'Prod&amp;Consp'!BW71*$C$28/1000</f>
        <v>0</v>
      </c>
      <c r="BU55" s="553">
        <f>'Prod&amp;Consp'!BX71*$C$28/1000</f>
        <v>0</v>
      </c>
      <c r="BV55" s="553">
        <f>'Prod&amp;Consp'!BY71*$C$28/1000</f>
        <v>0</v>
      </c>
      <c r="BW55" s="553">
        <f>'Prod&amp;Consp'!BZ71*$C$28/1000</f>
        <v>0</v>
      </c>
      <c r="BX55" s="553">
        <f>'Prod&amp;Consp'!CA71*$C$28/1000</f>
        <v>0</v>
      </c>
      <c r="BY55" s="560">
        <f t="shared" si="162"/>
        <v>3300</v>
      </c>
      <c r="BZ55" s="565"/>
      <c r="CA55" s="553">
        <f>'Prod&amp;Consp'!CD71*$C$28/1000</f>
        <v>0</v>
      </c>
      <c r="CB55" s="553">
        <f>'Prod&amp;Consp'!CE71*$C$28/1000</f>
        <v>0</v>
      </c>
      <c r="CC55" s="553">
        <f>'Prod&amp;Consp'!CF71*$C$28/1000</f>
        <v>0</v>
      </c>
      <c r="CD55" s="553">
        <f>'Prod&amp;Consp'!CG71*$C$28/1000</f>
        <v>0</v>
      </c>
      <c r="CE55" s="553">
        <f>'Prod&amp;Consp'!CH71*$C$28/1000</f>
        <v>0</v>
      </c>
      <c r="CF55" s="553">
        <f>'Prod&amp;Consp'!CI71*$C$28/1000</f>
        <v>0</v>
      </c>
      <c r="CG55" s="553">
        <f>'Prod&amp;Consp'!CJ71*$C$28/1000</f>
        <v>0</v>
      </c>
      <c r="CH55" s="562">
        <f>'Prod&amp;Consp'!CK71*$C$28/1000</f>
        <v>0</v>
      </c>
      <c r="CI55" s="553">
        <f>'Prod&amp;Consp'!CL71*$C$28/1000</f>
        <v>3300</v>
      </c>
      <c r="CJ55" s="553">
        <f>'Prod&amp;Consp'!CM71*$C$28/1000</f>
        <v>0</v>
      </c>
      <c r="CK55" s="553">
        <f>'Prod&amp;Consp'!CN71*$C$28/1000</f>
        <v>0</v>
      </c>
      <c r="CL55" s="553">
        <f>'Prod&amp;Consp'!CO71*$C$28/1000</f>
        <v>0</v>
      </c>
      <c r="CM55" s="560">
        <f t="shared" si="163"/>
        <v>3300</v>
      </c>
      <c r="CN55" s="565"/>
      <c r="CO55" s="553">
        <f>'Prod&amp;Consp'!CR71*$C$28/1000</f>
        <v>0</v>
      </c>
      <c r="CP55" s="553">
        <f>'Prod&amp;Consp'!CS71*$C$28/1000</f>
        <v>0</v>
      </c>
      <c r="CQ55" s="553">
        <f>'Prod&amp;Consp'!CT71*$C$28/1000</f>
        <v>0</v>
      </c>
      <c r="CR55" s="553">
        <f>'Prod&amp;Consp'!CU71*$C$28/1000</f>
        <v>0</v>
      </c>
      <c r="CS55" s="553">
        <f>'Prod&amp;Consp'!CV71*$C$28/1000</f>
        <v>0</v>
      </c>
      <c r="CT55" s="553">
        <f>'Prod&amp;Consp'!CW71*$C$28/1000</f>
        <v>0</v>
      </c>
      <c r="CU55" s="553">
        <f>'Prod&amp;Consp'!CX71*$C$28/1000</f>
        <v>0</v>
      </c>
      <c r="CV55" s="553">
        <f>'Prod&amp;Consp'!CY71*$C$28/1000</f>
        <v>0</v>
      </c>
      <c r="CW55" s="553">
        <f>'Prod&amp;Consp'!CZ71*$C$28/1000</f>
        <v>0</v>
      </c>
      <c r="CX55" s="553">
        <f>'Prod&amp;Consp'!DA71*$C$28/1000</f>
        <v>0</v>
      </c>
      <c r="CY55" s="553">
        <f>'Prod&amp;Consp'!DB71*$C$28/1000</f>
        <v>0</v>
      </c>
      <c r="CZ55" s="553">
        <f>'Prod&amp;Consp'!DC71*$C$28/1000</f>
        <v>0</v>
      </c>
      <c r="DA55" s="560">
        <f t="shared" si="164"/>
        <v>0</v>
      </c>
      <c r="DB55" s="565"/>
      <c r="DC55" s="553">
        <f>'Prod&amp;Consp'!DF71*$C$28/1000</f>
        <v>0</v>
      </c>
      <c r="DD55" s="562">
        <f>'Prod&amp;Consp'!DG71*$C$28/1000</f>
        <v>0</v>
      </c>
      <c r="DE55" s="553">
        <f>'Prod&amp;Consp'!DH71*$C$28/1000</f>
        <v>3300</v>
      </c>
      <c r="DF55" s="553">
        <f>'Prod&amp;Consp'!DI71*$C$28/1000</f>
        <v>0</v>
      </c>
      <c r="DG55" s="553">
        <f>'Prod&amp;Consp'!DJ71*$C$28/1000</f>
        <v>0</v>
      </c>
      <c r="DH55" s="553">
        <f>'Prod&amp;Consp'!DK71*$C$28/1000</f>
        <v>0</v>
      </c>
      <c r="DI55" s="553">
        <f>'Prod&amp;Consp'!DL71*$C$28/1000</f>
        <v>0</v>
      </c>
      <c r="DJ55" s="553">
        <f>'Prod&amp;Consp'!DM71*$C$28/1000</f>
        <v>0</v>
      </c>
      <c r="DK55" s="553">
        <f>'Prod&amp;Consp'!DN71*$C$28/1000</f>
        <v>0</v>
      </c>
      <c r="DL55" s="553">
        <f>'Prod&amp;Consp'!DO71*$C$28/1000</f>
        <v>0</v>
      </c>
      <c r="DM55" s="553">
        <f>'Prod&amp;Consp'!DP71*$C$28/1000</f>
        <v>0</v>
      </c>
      <c r="DN55" s="553">
        <f>'Prod&amp;Consp'!DQ71*$C$28/1000</f>
        <v>0</v>
      </c>
      <c r="DO55" s="560">
        <f t="shared" si="165"/>
        <v>3300</v>
      </c>
      <c r="DP55" s="565"/>
      <c r="DQ55" s="553">
        <f>'Prod&amp;Consp'!DT71*$C$28/1000</f>
        <v>0</v>
      </c>
      <c r="DR55" s="553">
        <f>'Prod&amp;Consp'!DU71*$C$28/1000</f>
        <v>0</v>
      </c>
      <c r="DS55" s="553">
        <f>'Prod&amp;Consp'!DV71*$C$28/1000</f>
        <v>0</v>
      </c>
      <c r="DT55" s="553">
        <f>'Prod&amp;Consp'!DW71*$C$28/1000</f>
        <v>0</v>
      </c>
      <c r="DU55" s="553">
        <f>'Prod&amp;Consp'!DX71*$C$28/1000</f>
        <v>0</v>
      </c>
      <c r="DV55" s="553">
        <f>'Prod&amp;Consp'!DY71*$C$28/1000</f>
        <v>0</v>
      </c>
      <c r="DW55" s="553">
        <f>'Prod&amp;Consp'!DZ71*$C$28/1000</f>
        <v>0</v>
      </c>
      <c r="DX55" s="562">
        <f>'Prod&amp;Consp'!EA71*$C$28/1000</f>
        <v>0</v>
      </c>
      <c r="DY55" s="553">
        <f>'Prod&amp;Consp'!EB71*$C$28/1000</f>
        <v>3300</v>
      </c>
      <c r="DZ55" s="553">
        <f>'Prod&amp;Consp'!EC71*$C$28/1000</f>
        <v>0</v>
      </c>
      <c r="EA55" s="553">
        <f>'Prod&amp;Consp'!ED71*$C$28/1000</f>
        <v>0</v>
      </c>
      <c r="EB55" s="553">
        <f>'Prod&amp;Consp'!EE71*$C$28/1000</f>
        <v>0</v>
      </c>
      <c r="EC55" s="560">
        <f t="shared" si="166"/>
        <v>3300</v>
      </c>
      <c r="ED55" s="565"/>
      <c r="EE55" s="553">
        <f>'Prod&amp;Consp'!EH71*$C$28/1000</f>
        <v>0</v>
      </c>
      <c r="EF55" s="553">
        <f>'Prod&amp;Consp'!EI71*$C$28/1000</f>
        <v>0</v>
      </c>
      <c r="EG55" s="553">
        <f>'Prod&amp;Consp'!EJ71*$C$28/1000</f>
        <v>0</v>
      </c>
      <c r="EH55" s="553">
        <f>'Prod&amp;Consp'!EK71*$C$28/1000</f>
        <v>0</v>
      </c>
      <c r="EI55" s="553">
        <f>'Prod&amp;Consp'!EL71*$C$28/1000</f>
        <v>0</v>
      </c>
      <c r="EJ55" s="553">
        <f>'Prod&amp;Consp'!EM71*$C$28/1000</f>
        <v>0</v>
      </c>
      <c r="EK55" s="553">
        <f>'Prod&amp;Consp'!EN71*$C$28/1000</f>
        <v>0</v>
      </c>
      <c r="EL55" s="553">
        <f>'Prod&amp;Consp'!EO71*$C$28/1000</f>
        <v>0</v>
      </c>
      <c r="EM55" s="553">
        <f>'Prod&amp;Consp'!EP71*$C$28/1000</f>
        <v>0</v>
      </c>
      <c r="EN55" s="553">
        <f>'Prod&amp;Consp'!EQ71*$C$28/1000</f>
        <v>0</v>
      </c>
      <c r="EO55" s="553">
        <f>'Prod&amp;Consp'!ER71*$C$28/1000</f>
        <v>0</v>
      </c>
      <c r="EP55" s="553">
        <f>'Prod&amp;Consp'!ES71*$C$28/1000</f>
        <v>0</v>
      </c>
      <c r="EQ55" s="560">
        <f t="shared" si="167"/>
        <v>0</v>
      </c>
      <c r="ET55" s="536"/>
      <c r="EU55" s="531" t="s">
        <v>10</v>
      </c>
      <c r="EV55" s="4" t="s">
        <v>468</v>
      </c>
      <c r="EX55" s="553">
        <f t="shared" si="139"/>
        <v>3300</v>
      </c>
      <c r="EY55" s="553">
        <f t="shared" si="140"/>
        <v>3300</v>
      </c>
      <c r="EZ55" s="553">
        <f t="shared" si="141"/>
        <v>0</v>
      </c>
      <c r="FA55" s="553">
        <f t="shared" si="142"/>
        <v>3300</v>
      </c>
      <c r="FB55" s="553">
        <f t="shared" si="143"/>
        <v>3300</v>
      </c>
      <c r="FC55" s="553">
        <f t="shared" si="144"/>
        <v>0</v>
      </c>
      <c r="FD55" s="553">
        <f t="shared" si="145"/>
        <v>3300</v>
      </c>
      <c r="FE55" s="553">
        <f t="shared" si="146"/>
        <v>3300</v>
      </c>
      <c r="FF55" s="553">
        <f t="shared" si="147"/>
        <v>0</v>
      </c>
    </row>
    <row r="56" spans="2:162" ht="10.5" customHeight="1" x14ac:dyDescent="0.35">
      <c r="F56" s="536">
        <v>2.5</v>
      </c>
      <c r="G56" s="531" t="s">
        <v>484</v>
      </c>
      <c r="H56" s="461"/>
      <c r="V56" s="565"/>
      <c r="W56" s="553">
        <f>'Prod&amp;Consp'!Z72*$C$29/1000</f>
        <v>0</v>
      </c>
      <c r="X56" s="553">
        <f>'Prod&amp;Consp'!AA72*$C$29/1000</f>
        <v>0</v>
      </c>
      <c r="Y56" s="553">
        <f>'Prod&amp;Consp'!AB72*$C$29/1000</f>
        <v>0</v>
      </c>
      <c r="Z56" s="553">
        <f>'Prod&amp;Consp'!AC72*$C$29/1000</f>
        <v>0</v>
      </c>
      <c r="AA56" s="553">
        <f>'Prod&amp;Consp'!AD72*$C$29/1000</f>
        <v>0</v>
      </c>
      <c r="AB56" s="553">
        <f>'Prod&amp;Consp'!AE72*$C$29/1000</f>
        <v>0</v>
      </c>
      <c r="AC56" s="553">
        <f>'Prod&amp;Consp'!AF72*$C$29/1000</f>
        <v>0</v>
      </c>
      <c r="AD56" s="553">
        <f>'Prod&amp;Consp'!AG72*$C$29/1000</f>
        <v>2925</v>
      </c>
      <c r="AE56" s="553">
        <f>'Prod&amp;Consp'!AH72*$C$29/1000</f>
        <v>0</v>
      </c>
      <c r="AF56" s="553">
        <f>'Prod&amp;Consp'!AI72*$C$29/1000</f>
        <v>0</v>
      </c>
      <c r="AG56" s="553">
        <f>'Prod&amp;Consp'!AJ72*$C$29/1000</f>
        <v>0</v>
      </c>
      <c r="AH56" s="553">
        <f>'Prod&amp;Consp'!AK72*$C$29/1000</f>
        <v>0</v>
      </c>
      <c r="AI56" s="560">
        <f t="shared" si="159"/>
        <v>2925</v>
      </c>
      <c r="AJ56" s="565"/>
      <c r="AK56" s="553">
        <f>'Prod&amp;Consp'!AN72*$C$29/1000</f>
        <v>0</v>
      </c>
      <c r="AL56" s="553">
        <f>'Prod&amp;Consp'!AO72*$C$29/1000</f>
        <v>0</v>
      </c>
      <c r="AM56" s="553">
        <f>'Prod&amp;Consp'!AP72*$C$29/1000</f>
        <v>0</v>
      </c>
      <c r="AN56" s="553">
        <f>'Prod&amp;Consp'!AQ72*$C$29/1000</f>
        <v>0</v>
      </c>
      <c r="AO56" s="553">
        <f>'Prod&amp;Consp'!AR72*$C$29/1000</f>
        <v>0</v>
      </c>
      <c r="AP56" s="553">
        <f>'Prod&amp;Consp'!AS72*$C$29/1000</f>
        <v>0</v>
      </c>
      <c r="AQ56" s="553">
        <f>'Prod&amp;Consp'!AT72*$C$29/1000</f>
        <v>0</v>
      </c>
      <c r="AR56" s="562">
        <f>'Prod&amp;Consp'!AU72*$C$29/1000</f>
        <v>0</v>
      </c>
      <c r="AS56" s="553">
        <f>'Prod&amp;Consp'!AV72*$C$29/1000</f>
        <v>0</v>
      </c>
      <c r="AT56" s="553">
        <f>'Prod&amp;Consp'!AW72*$C$29/1000</f>
        <v>0</v>
      </c>
      <c r="AU56" s="553">
        <f>'Prod&amp;Consp'!AX72*$C$29/1000</f>
        <v>0</v>
      </c>
      <c r="AV56" s="553">
        <f>'Prod&amp;Consp'!AY72*$C$29/1000</f>
        <v>0</v>
      </c>
      <c r="AW56" s="560">
        <f t="shared" si="160"/>
        <v>0</v>
      </c>
      <c r="AX56" s="565"/>
      <c r="AY56" s="553">
        <f>'Prod&amp;Consp'!BB72*$C$29/1000</f>
        <v>0</v>
      </c>
      <c r="AZ56" s="553">
        <f>'Prod&amp;Consp'!BC72*$C$29/1000</f>
        <v>2925</v>
      </c>
      <c r="BA56" s="553">
        <f>'Prod&amp;Consp'!BD72*$C$29/1000</f>
        <v>0</v>
      </c>
      <c r="BB56" s="553">
        <f>'Prod&amp;Consp'!BE72*$C$29/1000</f>
        <v>0</v>
      </c>
      <c r="BC56" s="553">
        <f>'Prod&amp;Consp'!BF72*$C$29/1000</f>
        <v>0</v>
      </c>
      <c r="BD56" s="553">
        <f>'Prod&amp;Consp'!BG72*$C$29/1000</f>
        <v>0</v>
      </c>
      <c r="BE56" s="553">
        <f>'Prod&amp;Consp'!BH72*$C$29/1000</f>
        <v>0</v>
      </c>
      <c r="BF56" s="553">
        <f>'Prod&amp;Consp'!BI72*$C$29/1000</f>
        <v>0</v>
      </c>
      <c r="BG56" s="553">
        <f>'Prod&amp;Consp'!BJ72*$C$29/1000</f>
        <v>0</v>
      </c>
      <c r="BH56" s="553">
        <f>'Prod&amp;Consp'!BK72*$C$29/1000</f>
        <v>0</v>
      </c>
      <c r="BI56" s="553">
        <f>'Prod&amp;Consp'!BL72*$C$29/1000</f>
        <v>0</v>
      </c>
      <c r="BJ56" s="553">
        <f>'Prod&amp;Consp'!BM72*$C$29/1000</f>
        <v>0</v>
      </c>
      <c r="BK56" s="560">
        <f t="shared" si="161"/>
        <v>2925</v>
      </c>
      <c r="BL56" s="565"/>
      <c r="BM56" s="553">
        <f>'Prod&amp;Consp'!BP72*$C$29/1000</f>
        <v>0</v>
      </c>
      <c r="BN56" s="562">
        <f>'Prod&amp;Consp'!BQ72*$C$29/1000</f>
        <v>0</v>
      </c>
      <c r="BO56" s="553">
        <f>'Prod&amp;Consp'!BR72*$C$29/1000</f>
        <v>0</v>
      </c>
      <c r="BP56" s="553">
        <f>'Prod&amp;Consp'!BS72*$C$29/1000</f>
        <v>0</v>
      </c>
      <c r="BQ56" s="553">
        <f>'Prod&amp;Consp'!BT72*$C$29/1000</f>
        <v>0</v>
      </c>
      <c r="BR56" s="553">
        <f>'Prod&amp;Consp'!BU72*$C$29/1000</f>
        <v>0</v>
      </c>
      <c r="BS56" s="553">
        <f>'Prod&amp;Consp'!BV72*$C$29/1000</f>
        <v>0</v>
      </c>
      <c r="BT56" s="553">
        <f>'Prod&amp;Consp'!BW72*$C$29/1000</f>
        <v>2925</v>
      </c>
      <c r="BU56" s="553">
        <f>'Prod&amp;Consp'!BX72*$C$29/1000</f>
        <v>0</v>
      </c>
      <c r="BV56" s="553">
        <f>'Prod&amp;Consp'!BY72*$C$29/1000</f>
        <v>0</v>
      </c>
      <c r="BW56" s="553">
        <f>'Prod&amp;Consp'!BZ72*$C$29/1000</f>
        <v>0</v>
      </c>
      <c r="BX56" s="553">
        <f>'Prod&amp;Consp'!CA72*$C$29/1000</f>
        <v>0</v>
      </c>
      <c r="BY56" s="560">
        <f t="shared" si="162"/>
        <v>2925</v>
      </c>
      <c r="BZ56" s="565"/>
      <c r="CA56" s="553">
        <f>'Prod&amp;Consp'!CD72*$C$29/1000</f>
        <v>0</v>
      </c>
      <c r="CB56" s="553">
        <f>'Prod&amp;Consp'!CE72*$C$29/1000</f>
        <v>0</v>
      </c>
      <c r="CC56" s="553">
        <f>'Prod&amp;Consp'!CF72*$C$29/1000</f>
        <v>0</v>
      </c>
      <c r="CD56" s="553">
        <f>'Prod&amp;Consp'!CG72*$C$29/1000</f>
        <v>0</v>
      </c>
      <c r="CE56" s="553">
        <f>'Prod&amp;Consp'!CH72*$C$29/1000</f>
        <v>0</v>
      </c>
      <c r="CF56" s="553">
        <f>'Prod&amp;Consp'!CI72*$C$29/1000</f>
        <v>0</v>
      </c>
      <c r="CG56" s="553">
        <f>'Prod&amp;Consp'!CJ72*$C$29/1000</f>
        <v>0</v>
      </c>
      <c r="CH56" s="562">
        <f>'Prod&amp;Consp'!CK72*$C$29/1000</f>
        <v>0</v>
      </c>
      <c r="CI56" s="553">
        <f>'Prod&amp;Consp'!CL72*$C$29/1000</f>
        <v>0</v>
      </c>
      <c r="CJ56" s="553">
        <f>'Prod&amp;Consp'!CM72*$C$29/1000</f>
        <v>0</v>
      </c>
      <c r="CK56" s="553">
        <f>'Prod&amp;Consp'!CN72*$C$29/1000</f>
        <v>0</v>
      </c>
      <c r="CL56" s="553">
        <f>'Prod&amp;Consp'!CO72*$C$29/1000</f>
        <v>0</v>
      </c>
      <c r="CM56" s="560">
        <f t="shared" si="163"/>
        <v>0</v>
      </c>
      <c r="CN56" s="565"/>
      <c r="CO56" s="553">
        <f>'Prod&amp;Consp'!CR72*$C$29/1000</f>
        <v>0</v>
      </c>
      <c r="CP56" s="553">
        <f>'Prod&amp;Consp'!CS72*$C$29/1000</f>
        <v>0</v>
      </c>
      <c r="CQ56" s="553">
        <f>'Prod&amp;Consp'!CT72*$C$29/1000</f>
        <v>2925</v>
      </c>
      <c r="CR56" s="553">
        <f>'Prod&amp;Consp'!CU72*$C$29/1000</f>
        <v>0</v>
      </c>
      <c r="CS56" s="553">
        <f>'Prod&amp;Consp'!CV72*$C$29/1000</f>
        <v>0</v>
      </c>
      <c r="CT56" s="553">
        <f>'Prod&amp;Consp'!CW72*$C$29/1000</f>
        <v>0</v>
      </c>
      <c r="CU56" s="553">
        <f>'Prod&amp;Consp'!CX72*$C$29/1000</f>
        <v>0</v>
      </c>
      <c r="CV56" s="553">
        <f>'Prod&amp;Consp'!CY72*$C$29/1000</f>
        <v>0</v>
      </c>
      <c r="CW56" s="553">
        <f>'Prod&amp;Consp'!CZ72*$C$29/1000</f>
        <v>0</v>
      </c>
      <c r="CX56" s="553">
        <f>'Prod&amp;Consp'!DA72*$C$29/1000</f>
        <v>0</v>
      </c>
      <c r="CY56" s="553">
        <f>'Prod&amp;Consp'!DB72*$C$29/1000</f>
        <v>0</v>
      </c>
      <c r="CZ56" s="553">
        <f>'Prod&amp;Consp'!DC72*$C$29/1000</f>
        <v>0</v>
      </c>
      <c r="DA56" s="560">
        <f t="shared" si="164"/>
        <v>2925</v>
      </c>
      <c r="DB56" s="565"/>
      <c r="DC56" s="553">
        <f>'Prod&amp;Consp'!DF72*$C$29/1000</f>
        <v>0</v>
      </c>
      <c r="DD56" s="562">
        <f>'Prod&amp;Consp'!DG72*$C$29/1000</f>
        <v>0</v>
      </c>
      <c r="DE56" s="553">
        <f>'Prod&amp;Consp'!DH72*$C$29/1000</f>
        <v>0</v>
      </c>
      <c r="DF56" s="553">
        <f>'Prod&amp;Consp'!DI72*$C$29/1000</f>
        <v>0</v>
      </c>
      <c r="DG56" s="553">
        <f>'Prod&amp;Consp'!DJ72*$C$29/1000</f>
        <v>0</v>
      </c>
      <c r="DH56" s="553">
        <f>'Prod&amp;Consp'!DK72*$C$29/1000</f>
        <v>0</v>
      </c>
      <c r="DI56" s="553">
        <f>'Prod&amp;Consp'!DL72*$C$29/1000</f>
        <v>0</v>
      </c>
      <c r="DJ56" s="553">
        <f>'Prod&amp;Consp'!DM72*$C$29/1000</f>
        <v>2925</v>
      </c>
      <c r="DK56" s="553">
        <f>'Prod&amp;Consp'!DN72*$C$29/1000</f>
        <v>0</v>
      </c>
      <c r="DL56" s="553">
        <f>'Prod&amp;Consp'!DO72*$C$29/1000</f>
        <v>0</v>
      </c>
      <c r="DM56" s="553">
        <f>'Prod&amp;Consp'!DP72*$C$29/1000</f>
        <v>0</v>
      </c>
      <c r="DN56" s="553">
        <f>'Prod&amp;Consp'!DQ72*$C$29/1000</f>
        <v>0</v>
      </c>
      <c r="DO56" s="560">
        <f t="shared" si="165"/>
        <v>2925</v>
      </c>
      <c r="DP56" s="565"/>
      <c r="DQ56" s="553">
        <f>'Prod&amp;Consp'!DT72*$C$29/1000</f>
        <v>0</v>
      </c>
      <c r="DR56" s="553">
        <f>'Prod&amp;Consp'!DU72*$C$29/1000</f>
        <v>0</v>
      </c>
      <c r="DS56" s="553">
        <f>'Prod&amp;Consp'!DV72*$C$29/1000</f>
        <v>0</v>
      </c>
      <c r="DT56" s="553">
        <f>'Prod&amp;Consp'!DW72*$C$29/1000</f>
        <v>0</v>
      </c>
      <c r="DU56" s="553">
        <f>'Prod&amp;Consp'!DX72*$C$29/1000</f>
        <v>0</v>
      </c>
      <c r="DV56" s="553">
        <f>'Prod&amp;Consp'!DY72*$C$29/1000</f>
        <v>0</v>
      </c>
      <c r="DW56" s="553">
        <f>'Prod&amp;Consp'!DZ72*$C$29/1000</f>
        <v>0</v>
      </c>
      <c r="DX56" s="562">
        <f>'Prod&amp;Consp'!EA72*$C$29/1000</f>
        <v>0</v>
      </c>
      <c r="DY56" s="553">
        <f>'Prod&amp;Consp'!EB72*$C$29/1000</f>
        <v>0</v>
      </c>
      <c r="DZ56" s="553">
        <f>'Prod&amp;Consp'!EC72*$C$29/1000</f>
        <v>0</v>
      </c>
      <c r="EA56" s="553">
        <f>'Prod&amp;Consp'!ED72*$C$29/1000</f>
        <v>0</v>
      </c>
      <c r="EB56" s="553">
        <f>'Prod&amp;Consp'!EE72*$C$29/1000</f>
        <v>0</v>
      </c>
      <c r="EC56" s="560">
        <f t="shared" si="166"/>
        <v>0</v>
      </c>
      <c r="ED56" s="565"/>
      <c r="EE56" s="553">
        <f>'Prod&amp;Consp'!EH72*$C$29/1000</f>
        <v>0</v>
      </c>
      <c r="EF56" s="553">
        <f>'Prod&amp;Consp'!EI72*$C$29/1000</f>
        <v>2925</v>
      </c>
      <c r="EG56" s="553">
        <f>'Prod&amp;Consp'!EJ72*$C$29/1000</f>
        <v>0</v>
      </c>
      <c r="EH56" s="553">
        <f>'Prod&amp;Consp'!EK72*$C$29/1000</f>
        <v>0</v>
      </c>
      <c r="EI56" s="553">
        <f>'Prod&amp;Consp'!EL72*$C$29/1000</f>
        <v>0</v>
      </c>
      <c r="EJ56" s="553">
        <f>'Prod&amp;Consp'!EM72*$C$29/1000</f>
        <v>0</v>
      </c>
      <c r="EK56" s="553">
        <f>'Prod&amp;Consp'!EN72*$C$29/1000</f>
        <v>0</v>
      </c>
      <c r="EL56" s="553">
        <f>'Prod&amp;Consp'!EO72*$C$29/1000</f>
        <v>0</v>
      </c>
      <c r="EM56" s="553">
        <f>'Prod&amp;Consp'!EP72*$C$29/1000</f>
        <v>0</v>
      </c>
      <c r="EN56" s="553">
        <f>'Prod&amp;Consp'!EQ72*$C$29/1000</f>
        <v>0</v>
      </c>
      <c r="EO56" s="553">
        <f>'Prod&amp;Consp'!ER72*$C$29/1000</f>
        <v>0</v>
      </c>
      <c r="EP56" s="553">
        <f>'Prod&amp;Consp'!ES72*$C$29/1000</f>
        <v>0</v>
      </c>
      <c r="EQ56" s="560">
        <f t="shared" si="167"/>
        <v>2925</v>
      </c>
      <c r="ET56" s="536">
        <v>2.5</v>
      </c>
      <c r="EU56" s="531" t="s">
        <v>484</v>
      </c>
      <c r="EV56" s="461"/>
      <c r="EX56" s="576">
        <f t="shared" si="139"/>
        <v>2925</v>
      </c>
      <c r="EY56" s="576">
        <f t="shared" si="140"/>
        <v>0</v>
      </c>
      <c r="EZ56" s="576">
        <f t="shared" si="141"/>
        <v>2925</v>
      </c>
      <c r="FA56" s="576">
        <f t="shared" si="142"/>
        <v>2925</v>
      </c>
      <c r="FB56" s="576">
        <f t="shared" si="143"/>
        <v>0</v>
      </c>
      <c r="FC56" s="576">
        <f t="shared" si="144"/>
        <v>2925</v>
      </c>
      <c r="FD56" s="576">
        <f t="shared" si="145"/>
        <v>2925</v>
      </c>
      <c r="FE56" s="576">
        <f t="shared" si="146"/>
        <v>0</v>
      </c>
      <c r="FF56" s="576">
        <f t="shared" si="147"/>
        <v>2925</v>
      </c>
    </row>
    <row r="57" spans="2:162" ht="10.5" customHeight="1" x14ac:dyDescent="0.35">
      <c r="F57" s="536">
        <v>2.6</v>
      </c>
      <c r="G57" s="531" t="s">
        <v>469</v>
      </c>
      <c r="H57" s="461"/>
      <c r="V57" s="565"/>
      <c r="W57" s="553">
        <f>'Prod&amp;Consp'!Z73*$C$30/1000</f>
        <v>5400</v>
      </c>
      <c r="X57" s="553">
        <f>'Prod&amp;Consp'!AA73*$C$30/1000</f>
        <v>0</v>
      </c>
      <c r="Y57" s="553">
        <f>'Prod&amp;Consp'!AB73*$C$30/1000</f>
        <v>0</v>
      </c>
      <c r="Z57" s="553">
        <f>'Prod&amp;Consp'!AC73*$C$30/1000</f>
        <v>0</v>
      </c>
      <c r="AA57" s="553">
        <f>'Prod&amp;Consp'!AD73*$C$30/1000</f>
        <v>0</v>
      </c>
      <c r="AB57" s="553">
        <f>'Prod&amp;Consp'!AE73*$C$30/1000</f>
        <v>0</v>
      </c>
      <c r="AC57" s="553">
        <f>'Prod&amp;Consp'!AF73*$C$30/1000</f>
        <v>0</v>
      </c>
      <c r="AD57" s="553">
        <f>'Prod&amp;Consp'!AG73*$C$30/1000</f>
        <v>5400</v>
      </c>
      <c r="AE57" s="553">
        <f>'Prod&amp;Consp'!AH73*$C$30/1000</f>
        <v>0</v>
      </c>
      <c r="AF57" s="553">
        <f>'Prod&amp;Consp'!AI73*$C$30/1000</f>
        <v>0</v>
      </c>
      <c r="AG57" s="553">
        <f>'Prod&amp;Consp'!AJ73*$C$30/1000</f>
        <v>0</v>
      </c>
      <c r="AH57" s="553">
        <f>'Prod&amp;Consp'!AK73*$C$30/1000</f>
        <v>0</v>
      </c>
      <c r="AI57" s="560">
        <f t="shared" si="159"/>
        <v>10800</v>
      </c>
      <c r="AJ57" s="565"/>
      <c r="AK57" s="553">
        <f>'Prod&amp;Consp'!AN73*$C$30/1000</f>
        <v>0</v>
      </c>
      <c r="AL57" s="553">
        <f>'Prod&amp;Consp'!AO73*$C$30/1000</f>
        <v>0</v>
      </c>
      <c r="AM57" s="553">
        <f>'Prod&amp;Consp'!AP73*$C$30/1000</f>
        <v>0</v>
      </c>
      <c r="AN57" s="553">
        <f>'Prod&amp;Consp'!AQ73*$C$30/1000</f>
        <v>0</v>
      </c>
      <c r="AO57" s="553">
        <f>'Prod&amp;Consp'!AR73*$C$30/1000</f>
        <v>0</v>
      </c>
      <c r="AP57" s="553">
        <f>'Prod&amp;Consp'!AS73*$C$30/1000</f>
        <v>0</v>
      </c>
      <c r="AQ57" s="553">
        <f>'Prod&amp;Consp'!AT73*$C$30/1000</f>
        <v>5400</v>
      </c>
      <c r="AR57" s="562">
        <f>'Prod&amp;Consp'!AU73*$C$30/1000</f>
        <v>0</v>
      </c>
      <c r="AS57" s="553">
        <f>'Prod&amp;Consp'!AV73*$C$30/1000</f>
        <v>0</v>
      </c>
      <c r="AT57" s="553">
        <f>'Prod&amp;Consp'!AW73*$C$30/1000</f>
        <v>0</v>
      </c>
      <c r="AU57" s="553">
        <f>'Prod&amp;Consp'!AX73*$C$30/1000</f>
        <v>0</v>
      </c>
      <c r="AV57" s="553">
        <f>'Prod&amp;Consp'!AY73*$C$30/1000</f>
        <v>0</v>
      </c>
      <c r="AW57" s="560">
        <f t="shared" si="160"/>
        <v>5400</v>
      </c>
      <c r="AX57" s="565"/>
      <c r="AY57" s="553">
        <f>'Prod&amp;Consp'!BB73*$C$30/1000</f>
        <v>0</v>
      </c>
      <c r="AZ57" s="553">
        <f>'Prod&amp;Consp'!BC73*$C$30/1000</f>
        <v>5400</v>
      </c>
      <c r="BA57" s="553">
        <f>'Prod&amp;Consp'!BD73*$C$30/1000</f>
        <v>0</v>
      </c>
      <c r="BB57" s="553">
        <f>'Prod&amp;Consp'!BE73*$C$30/1000</f>
        <v>0</v>
      </c>
      <c r="BC57" s="553">
        <f>'Prod&amp;Consp'!BF73*$C$30/1000</f>
        <v>0</v>
      </c>
      <c r="BD57" s="553">
        <f>'Prod&amp;Consp'!BG73*$C$30/1000</f>
        <v>0</v>
      </c>
      <c r="BE57" s="553">
        <f>'Prod&amp;Consp'!BH73*$C$30/1000</f>
        <v>0</v>
      </c>
      <c r="BF57" s="553">
        <f>'Prod&amp;Consp'!BI73*$C$30/1000</f>
        <v>0</v>
      </c>
      <c r="BG57" s="553">
        <f>'Prod&amp;Consp'!BJ73*$C$30/1000</f>
        <v>0</v>
      </c>
      <c r="BH57" s="553">
        <f>'Prod&amp;Consp'!BK73*$C$30/1000</f>
        <v>0</v>
      </c>
      <c r="BI57" s="553">
        <f>'Prod&amp;Consp'!BL73*$C$30/1000</f>
        <v>0</v>
      </c>
      <c r="BJ57" s="553">
        <f>'Prod&amp;Consp'!BM73*$C$30/1000</f>
        <v>0</v>
      </c>
      <c r="BK57" s="560">
        <f t="shared" si="161"/>
        <v>5400</v>
      </c>
      <c r="BL57" s="565"/>
      <c r="BM57" s="553">
        <f>'Prod&amp;Consp'!BP73*$C$30/1000</f>
        <v>5400</v>
      </c>
      <c r="BN57" s="562">
        <f>'Prod&amp;Consp'!BQ73*$C$30/1000</f>
        <v>0</v>
      </c>
      <c r="BO57" s="553">
        <f>'Prod&amp;Consp'!BR73*$C$30/1000</f>
        <v>0</v>
      </c>
      <c r="BP57" s="553">
        <f>'Prod&amp;Consp'!BS73*$C$30/1000</f>
        <v>0</v>
      </c>
      <c r="BQ57" s="553">
        <f>'Prod&amp;Consp'!BT73*$C$30/1000</f>
        <v>0</v>
      </c>
      <c r="BR57" s="553">
        <f>'Prod&amp;Consp'!BU73*$C$30/1000</f>
        <v>0</v>
      </c>
      <c r="BS57" s="553">
        <f>'Prod&amp;Consp'!BV73*$C$30/1000</f>
        <v>0</v>
      </c>
      <c r="BT57" s="553">
        <f>'Prod&amp;Consp'!BW73*$C$30/1000</f>
        <v>5400</v>
      </c>
      <c r="BU57" s="553">
        <f>'Prod&amp;Consp'!BX73*$C$30/1000</f>
        <v>0</v>
      </c>
      <c r="BV57" s="553">
        <f>'Prod&amp;Consp'!BY73*$C$30/1000</f>
        <v>0</v>
      </c>
      <c r="BW57" s="553">
        <f>'Prod&amp;Consp'!BZ73*$C$30/1000</f>
        <v>0</v>
      </c>
      <c r="BX57" s="553">
        <f>'Prod&amp;Consp'!CA73*$C$30/1000</f>
        <v>0</v>
      </c>
      <c r="BY57" s="560">
        <f t="shared" si="162"/>
        <v>10800</v>
      </c>
      <c r="BZ57" s="565"/>
      <c r="CA57" s="553">
        <f>'Prod&amp;Consp'!CD73*$C$30/1000</f>
        <v>0</v>
      </c>
      <c r="CB57" s="553">
        <f>'Prod&amp;Consp'!CE73*$C$30/1000</f>
        <v>0</v>
      </c>
      <c r="CC57" s="553">
        <f>'Prod&amp;Consp'!CF73*$C$30/1000</f>
        <v>0</v>
      </c>
      <c r="CD57" s="553">
        <f>'Prod&amp;Consp'!CG73*$C$30/1000</f>
        <v>0</v>
      </c>
      <c r="CE57" s="553">
        <f>'Prod&amp;Consp'!CH73*$C$30/1000</f>
        <v>0</v>
      </c>
      <c r="CF57" s="553">
        <f>'Prod&amp;Consp'!CI73*$C$30/1000</f>
        <v>0</v>
      </c>
      <c r="CG57" s="553">
        <f>'Prod&amp;Consp'!CJ73*$C$30/1000</f>
        <v>5400</v>
      </c>
      <c r="CH57" s="562">
        <f>'Prod&amp;Consp'!CK73*$C$30/1000</f>
        <v>0</v>
      </c>
      <c r="CI57" s="553">
        <f>'Prod&amp;Consp'!CL73*$C$30/1000</f>
        <v>0</v>
      </c>
      <c r="CJ57" s="553">
        <f>'Prod&amp;Consp'!CM73*$C$30/1000</f>
        <v>0</v>
      </c>
      <c r="CK57" s="553">
        <f>'Prod&amp;Consp'!CN73*$C$30/1000</f>
        <v>0</v>
      </c>
      <c r="CL57" s="553">
        <f>'Prod&amp;Consp'!CO73*$C$30/1000</f>
        <v>0</v>
      </c>
      <c r="CM57" s="560">
        <f t="shared" si="163"/>
        <v>5400</v>
      </c>
      <c r="CN57" s="565"/>
      <c r="CO57" s="553">
        <f>'Prod&amp;Consp'!CR73*$C$30/1000</f>
        <v>0</v>
      </c>
      <c r="CP57" s="553">
        <f>'Prod&amp;Consp'!CS73*$C$30/1000</f>
        <v>0</v>
      </c>
      <c r="CQ57" s="553">
        <f>'Prod&amp;Consp'!CT73*$C$30/1000</f>
        <v>5400</v>
      </c>
      <c r="CR57" s="553">
        <f>'Prod&amp;Consp'!CU73*$C$30/1000</f>
        <v>0</v>
      </c>
      <c r="CS57" s="553">
        <f>'Prod&amp;Consp'!CV73*$C$30/1000</f>
        <v>0</v>
      </c>
      <c r="CT57" s="553">
        <f>'Prod&amp;Consp'!CW73*$C$30/1000</f>
        <v>0</v>
      </c>
      <c r="CU57" s="553">
        <f>'Prod&amp;Consp'!CX73*$C$30/1000</f>
        <v>0</v>
      </c>
      <c r="CV57" s="553">
        <f>'Prod&amp;Consp'!CY73*$C$30/1000</f>
        <v>0</v>
      </c>
      <c r="CW57" s="553">
        <f>'Prod&amp;Consp'!CZ73*$C$30/1000</f>
        <v>0</v>
      </c>
      <c r="CX57" s="553">
        <f>'Prod&amp;Consp'!DA73*$C$30/1000</f>
        <v>0</v>
      </c>
      <c r="CY57" s="553">
        <f>'Prod&amp;Consp'!DB73*$C$30/1000</f>
        <v>0</v>
      </c>
      <c r="CZ57" s="553">
        <f>'Prod&amp;Consp'!DC73*$C$30/1000</f>
        <v>0</v>
      </c>
      <c r="DA57" s="560">
        <f t="shared" si="164"/>
        <v>5400</v>
      </c>
      <c r="DB57" s="565"/>
      <c r="DC57" s="553">
        <f>'Prod&amp;Consp'!DF73*$C$30/1000</f>
        <v>5400</v>
      </c>
      <c r="DD57" s="562">
        <f>'Prod&amp;Consp'!DG73*$C$30/1000</f>
        <v>0</v>
      </c>
      <c r="DE57" s="553">
        <f>'Prod&amp;Consp'!DH73*$C$30/1000</f>
        <v>0</v>
      </c>
      <c r="DF57" s="553">
        <f>'Prod&amp;Consp'!DI73*$C$30/1000</f>
        <v>0</v>
      </c>
      <c r="DG57" s="553">
        <f>'Prod&amp;Consp'!DJ73*$C$30/1000</f>
        <v>0</v>
      </c>
      <c r="DH57" s="553">
        <f>'Prod&amp;Consp'!DK73*$C$30/1000</f>
        <v>0</v>
      </c>
      <c r="DI57" s="553">
        <f>'Prod&amp;Consp'!DL73*$C$30/1000</f>
        <v>0</v>
      </c>
      <c r="DJ57" s="553">
        <f>'Prod&amp;Consp'!DM73*$C$30/1000</f>
        <v>5400</v>
      </c>
      <c r="DK57" s="553">
        <f>'Prod&amp;Consp'!DN73*$C$30/1000</f>
        <v>0</v>
      </c>
      <c r="DL57" s="553">
        <f>'Prod&amp;Consp'!DO73*$C$30/1000</f>
        <v>0</v>
      </c>
      <c r="DM57" s="553">
        <f>'Prod&amp;Consp'!DP73*$C$30/1000</f>
        <v>0</v>
      </c>
      <c r="DN57" s="553">
        <f>'Prod&amp;Consp'!DQ73*$C$30/1000</f>
        <v>0</v>
      </c>
      <c r="DO57" s="560">
        <f t="shared" si="165"/>
        <v>10800</v>
      </c>
      <c r="DP57" s="565"/>
      <c r="DQ57" s="553">
        <f>'Prod&amp;Consp'!DT73*$C$30/1000</f>
        <v>0</v>
      </c>
      <c r="DR57" s="553">
        <f>'Prod&amp;Consp'!DU73*$C$30/1000</f>
        <v>0</v>
      </c>
      <c r="DS57" s="553">
        <f>'Prod&amp;Consp'!DV73*$C$30/1000</f>
        <v>0</v>
      </c>
      <c r="DT57" s="553">
        <f>'Prod&amp;Consp'!DW73*$C$30/1000</f>
        <v>0</v>
      </c>
      <c r="DU57" s="553">
        <f>'Prod&amp;Consp'!DX73*$C$30/1000</f>
        <v>0</v>
      </c>
      <c r="DV57" s="553">
        <f>'Prod&amp;Consp'!DY73*$C$30/1000</f>
        <v>0</v>
      </c>
      <c r="DW57" s="553">
        <f>'Prod&amp;Consp'!DZ73*$C$30/1000</f>
        <v>5400</v>
      </c>
      <c r="DX57" s="562">
        <f>'Prod&amp;Consp'!EA73*$C$30/1000</f>
        <v>0</v>
      </c>
      <c r="DY57" s="553">
        <f>'Prod&amp;Consp'!EB73*$C$30/1000</f>
        <v>0</v>
      </c>
      <c r="DZ57" s="553">
        <f>'Prod&amp;Consp'!EC73*$C$30/1000</f>
        <v>0</v>
      </c>
      <c r="EA57" s="553">
        <f>'Prod&amp;Consp'!ED73*$C$30/1000</f>
        <v>0</v>
      </c>
      <c r="EB57" s="553">
        <f>'Prod&amp;Consp'!EE73*$C$30/1000</f>
        <v>0</v>
      </c>
      <c r="EC57" s="560">
        <f t="shared" si="166"/>
        <v>5400</v>
      </c>
      <c r="ED57" s="565"/>
      <c r="EE57" s="553">
        <f>'Prod&amp;Consp'!EH73*$C$30/1000</f>
        <v>0</v>
      </c>
      <c r="EF57" s="553">
        <f>'Prod&amp;Consp'!EI73*$C$30/1000</f>
        <v>5400</v>
      </c>
      <c r="EG57" s="553">
        <f>'Prod&amp;Consp'!EJ73*$C$30/1000</f>
        <v>0</v>
      </c>
      <c r="EH57" s="553">
        <f>'Prod&amp;Consp'!EK73*$C$30/1000</f>
        <v>0</v>
      </c>
      <c r="EI57" s="553">
        <f>'Prod&amp;Consp'!EL73*$C$30/1000</f>
        <v>0</v>
      </c>
      <c r="EJ57" s="553">
        <f>'Prod&amp;Consp'!EM73*$C$30/1000</f>
        <v>0</v>
      </c>
      <c r="EK57" s="553">
        <f>'Prod&amp;Consp'!EN73*$C$30/1000</f>
        <v>0</v>
      </c>
      <c r="EL57" s="553">
        <f>'Prod&amp;Consp'!EO73*$C$30/1000</f>
        <v>0</v>
      </c>
      <c r="EM57" s="553">
        <f>'Prod&amp;Consp'!EP73*$C$30/1000</f>
        <v>0</v>
      </c>
      <c r="EN57" s="553">
        <f>'Prod&amp;Consp'!EQ73*$C$30/1000</f>
        <v>0</v>
      </c>
      <c r="EO57" s="553">
        <f>'Prod&amp;Consp'!ER73*$C$30/1000</f>
        <v>0</v>
      </c>
      <c r="EP57" s="553">
        <f>'Prod&amp;Consp'!ES73*$C$30/1000</f>
        <v>0</v>
      </c>
      <c r="EQ57" s="560">
        <f t="shared" si="167"/>
        <v>5400</v>
      </c>
      <c r="ET57" s="536">
        <v>2.6</v>
      </c>
      <c r="EU57" s="531" t="s">
        <v>469</v>
      </c>
      <c r="EV57" s="461"/>
      <c r="EX57" s="576">
        <f t="shared" si="139"/>
        <v>10800</v>
      </c>
      <c r="EY57" s="576">
        <f t="shared" si="140"/>
        <v>5400</v>
      </c>
      <c r="EZ57" s="576">
        <f t="shared" si="141"/>
        <v>5400</v>
      </c>
      <c r="FA57" s="576">
        <f t="shared" si="142"/>
        <v>10800</v>
      </c>
      <c r="FB57" s="576">
        <f t="shared" si="143"/>
        <v>5400</v>
      </c>
      <c r="FC57" s="576">
        <f t="shared" si="144"/>
        <v>5400</v>
      </c>
      <c r="FD57" s="576">
        <f t="shared" si="145"/>
        <v>10800</v>
      </c>
      <c r="FE57" s="576">
        <f t="shared" si="146"/>
        <v>5400</v>
      </c>
      <c r="FF57" s="576">
        <f t="shared" si="147"/>
        <v>5400</v>
      </c>
    </row>
    <row r="58" spans="2:162" ht="10.5" customHeight="1" x14ac:dyDescent="0.35">
      <c r="F58" s="536">
        <v>2.7</v>
      </c>
      <c r="G58" s="531" t="s">
        <v>1080</v>
      </c>
      <c r="H58" s="461"/>
      <c r="V58" s="565"/>
      <c r="W58" s="553">
        <f>'Prod&amp;Consp'!Z74*$C$31/1000</f>
        <v>0</v>
      </c>
      <c r="X58" s="553">
        <f>'Prod&amp;Consp'!AA74*$C$31/1000</f>
        <v>0</v>
      </c>
      <c r="Y58" s="553">
        <f>'Prod&amp;Consp'!AB74*$C$31/1000</f>
        <v>7535</v>
      </c>
      <c r="Z58" s="553">
        <f>'Prod&amp;Consp'!AC74*$C$31/1000</f>
        <v>7535</v>
      </c>
      <c r="AA58" s="553">
        <f>'Prod&amp;Consp'!AD74*$C$31/1000</f>
        <v>7535</v>
      </c>
      <c r="AB58" s="553">
        <f>'Prod&amp;Consp'!AE74*$C$31/1000</f>
        <v>7535</v>
      </c>
      <c r="AC58" s="553">
        <f>'Prod&amp;Consp'!AF74*$C$31/1000</f>
        <v>7535</v>
      </c>
      <c r="AD58" s="553">
        <f>'Prod&amp;Consp'!AG74*$C$31/1000</f>
        <v>7535</v>
      </c>
      <c r="AE58" s="553">
        <f>'Prod&amp;Consp'!AH74*$C$31/1000</f>
        <v>7535</v>
      </c>
      <c r="AF58" s="553">
        <f>'Prod&amp;Consp'!AI74*$C$31/1000</f>
        <v>7535</v>
      </c>
      <c r="AG58" s="553">
        <f>'Prod&amp;Consp'!AJ74*$C$31/1000</f>
        <v>7535</v>
      </c>
      <c r="AH58" s="553">
        <f>'Prod&amp;Consp'!AK74*$C$31/1000</f>
        <v>7535</v>
      </c>
      <c r="AI58" s="560">
        <f t="shared" si="159"/>
        <v>75350</v>
      </c>
      <c r="AJ58" s="566"/>
      <c r="AK58" s="553">
        <f>'Prod&amp;Consp'!AN74*$C$31/1000</f>
        <v>7535</v>
      </c>
      <c r="AL58" s="553">
        <f>'Prod&amp;Consp'!AO74*$C$31/1000</f>
        <v>7535</v>
      </c>
      <c r="AM58" s="553">
        <f>'Prod&amp;Consp'!AP74*$C$31/1000</f>
        <v>7535</v>
      </c>
      <c r="AN58" s="553">
        <f>'Prod&amp;Consp'!AQ74*$C$31/1000</f>
        <v>7535</v>
      </c>
      <c r="AO58" s="553">
        <f>'Prod&amp;Consp'!AR74*$C$31/1000</f>
        <v>7535</v>
      </c>
      <c r="AP58" s="553">
        <f>'Prod&amp;Consp'!AS74*$C$31/1000</f>
        <v>7535</v>
      </c>
      <c r="AQ58" s="553">
        <f>'Prod&amp;Consp'!AT74*$C$31/1000</f>
        <v>7535</v>
      </c>
      <c r="AR58" s="562">
        <f>'Prod&amp;Consp'!AU74*$C$31/1000</f>
        <v>7535</v>
      </c>
      <c r="AS58" s="553">
        <f>'Prod&amp;Consp'!AV74*$C$31/1000</f>
        <v>7535</v>
      </c>
      <c r="AT58" s="553">
        <f>'Prod&amp;Consp'!AW74*$C$31/1000</f>
        <v>7535</v>
      </c>
      <c r="AU58" s="553">
        <f>'Prod&amp;Consp'!AX74*$C$31/1000</f>
        <v>7535</v>
      </c>
      <c r="AV58" s="553">
        <f>'Prod&amp;Consp'!AY74*$C$31/1000</f>
        <v>7535</v>
      </c>
      <c r="AW58" s="560">
        <f t="shared" si="160"/>
        <v>90420</v>
      </c>
      <c r="AX58" s="566"/>
      <c r="AY58" s="553">
        <f>'Prod&amp;Consp'!BB74*$C$31/1000</f>
        <v>7535</v>
      </c>
      <c r="AZ58" s="553">
        <f>'Prod&amp;Consp'!BC74*$C$31/1000</f>
        <v>7535</v>
      </c>
      <c r="BA58" s="553">
        <f>'Prod&amp;Consp'!BD74*$C$31/1000</f>
        <v>7535</v>
      </c>
      <c r="BB58" s="553">
        <f>'Prod&amp;Consp'!BE74*$C$31/1000</f>
        <v>7535</v>
      </c>
      <c r="BC58" s="553">
        <f>'Prod&amp;Consp'!BF74*$C$31/1000</f>
        <v>7535</v>
      </c>
      <c r="BD58" s="553">
        <f>'Prod&amp;Consp'!BG74*$C$31/1000</f>
        <v>7535</v>
      </c>
      <c r="BE58" s="553">
        <f>'Prod&amp;Consp'!BH74*$C$31/1000</f>
        <v>7535</v>
      </c>
      <c r="BF58" s="553">
        <f>'Prod&amp;Consp'!BI74*$C$31/1000</f>
        <v>7535</v>
      </c>
      <c r="BG58" s="553">
        <f>'Prod&amp;Consp'!BJ74*$C$31/1000</f>
        <v>7535</v>
      </c>
      <c r="BH58" s="553">
        <f>'Prod&amp;Consp'!BK74*$C$31/1000</f>
        <v>7535</v>
      </c>
      <c r="BI58" s="553">
        <f>'Prod&amp;Consp'!BL74*$C$31/1000</f>
        <v>7535</v>
      </c>
      <c r="BJ58" s="553">
        <f>'Prod&amp;Consp'!BM74*$C$31/1000</f>
        <v>7535</v>
      </c>
      <c r="BK58" s="560">
        <f t="shared" si="161"/>
        <v>90420</v>
      </c>
      <c r="BL58" s="566"/>
      <c r="BM58" s="553">
        <f>'Prod&amp;Consp'!BP74*$C$31/1000</f>
        <v>7535</v>
      </c>
      <c r="BN58" s="562">
        <f>'Prod&amp;Consp'!BQ74*$C$31/1000</f>
        <v>7535</v>
      </c>
      <c r="BO58" s="553">
        <f>'Prod&amp;Consp'!BR74*$C$31/1000</f>
        <v>7535</v>
      </c>
      <c r="BP58" s="553">
        <f>'Prod&amp;Consp'!BS74*$C$31/1000</f>
        <v>7535</v>
      </c>
      <c r="BQ58" s="553">
        <f>'Prod&amp;Consp'!BT74*$C$31/1000</f>
        <v>7535</v>
      </c>
      <c r="BR58" s="553">
        <f>'Prod&amp;Consp'!BU74*$C$31/1000</f>
        <v>7535</v>
      </c>
      <c r="BS58" s="553">
        <f>'Prod&amp;Consp'!BV74*$C$31/1000</f>
        <v>7535</v>
      </c>
      <c r="BT58" s="553">
        <f>'Prod&amp;Consp'!BW74*$C$31/1000</f>
        <v>7535</v>
      </c>
      <c r="BU58" s="553">
        <f>'Prod&amp;Consp'!BX74*$C$31/1000</f>
        <v>7535</v>
      </c>
      <c r="BV58" s="553">
        <f>'Prod&amp;Consp'!BY74*$C$31/1000</f>
        <v>7535</v>
      </c>
      <c r="BW58" s="553">
        <f>'Prod&amp;Consp'!BZ74*$C$31/1000</f>
        <v>7535</v>
      </c>
      <c r="BX58" s="553">
        <f>'Prod&amp;Consp'!CA74*$C$31/1000</f>
        <v>7535</v>
      </c>
      <c r="BY58" s="560">
        <f t="shared" si="162"/>
        <v>90420</v>
      </c>
      <c r="BZ58" s="566"/>
      <c r="CA58" s="553">
        <f>'Prod&amp;Consp'!CD74*$C$31/1000</f>
        <v>7535</v>
      </c>
      <c r="CB58" s="553">
        <f>'Prod&amp;Consp'!CE74*$C$31/1000</f>
        <v>7535</v>
      </c>
      <c r="CC58" s="553">
        <f>'Prod&amp;Consp'!CF74*$C$31/1000</f>
        <v>7535</v>
      </c>
      <c r="CD58" s="553">
        <f>'Prod&amp;Consp'!CG74*$C$31/1000</f>
        <v>7535</v>
      </c>
      <c r="CE58" s="553">
        <f>'Prod&amp;Consp'!CH74*$C$31/1000</f>
        <v>7535</v>
      </c>
      <c r="CF58" s="553">
        <f>'Prod&amp;Consp'!CI74*$C$31/1000</f>
        <v>7535</v>
      </c>
      <c r="CG58" s="553">
        <f>'Prod&amp;Consp'!CJ74*$C$31/1000</f>
        <v>7535</v>
      </c>
      <c r="CH58" s="562">
        <f>'Prod&amp;Consp'!CK74*$C$31/1000</f>
        <v>7535</v>
      </c>
      <c r="CI58" s="553">
        <f>'Prod&amp;Consp'!CL74*$C$31/1000</f>
        <v>7535</v>
      </c>
      <c r="CJ58" s="553">
        <f>'Prod&amp;Consp'!CM74*$C$31/1000</f>
        <v>7535</v>
      </c>
      <c r="CK58" s="553">
        <f>'Prod&amp;Consp'!CN74*$C$31/1000</f>
        <v>7535</v>
      </c>
      <c r="CL58" s="553">
        <f>'Prod&amp;Consp'!CO74*$C$31/1000</f>
        <v>7535</v>
      </c>
      <c r="CM58" s="560">
        <f t="shared" si="163"/>
        <v>90420</v>
      </c>
      <c r="CN58" s="566"/>
      <c r="CO58" s="553">
        <f>'Prod&amp;Consp'!CR74*$C$31/1000</f>
        <v>7535</v>
      </c>
      <c r="CP58" s="553">
        <f>'Prod&amp;Consp'!CS74*$C$31/1000</f>
        <v>7535</v>
      </c>
      <c r="CQ58" s="553">
        <f>'Prod&amp;Consp'!CT74*$C$31/1000</f>
        <v>7535</v>
      </c>
      <c r="CR58" s="553">
        <f>'Prod&amp;Consp'!CU74*$C$31/1000</f>
        <v>7535</v>
      </c>
      <c r="CS58" s="553">
        <f>'Prod&amp;Consp'!CV74*$C$31/1000</f>
        <v>7535</v>
      </c>
      <c r="CT58" s="553">
        <f>'Prod&amp;Consp'!CW74*$C$31/1000</f>
        <v>7535</v>
      </c>
      <c r="CU58" s="553">
        <f>'Prod&amp;Consp'!CX74*$C$31/1000</f>
        <v>7535</v>
      </c>
      <c r="CV58" s="553">
        <f>'Prod&amp;Consp'!CY74*$C$31/1000</f>
        <v>7535</v>
      </c>
      <c r="CW58" s="553">
        <f>'Prod&amp;Consp'!CZ74*$C$31/1000</f>
        <v>7535</v>
      </c>
      <c r="CX58" s="553">
        <f>'Prod&amp;Consp'!DA74*$C$31/1000</f>
        <v>7535</v>
      </c>
      <c r="CY58" s="553">
        <f>'Prod&amp;Consp'!DB74*$C$31/1000</f>
        <v>7535</v>
      </c>
      <c r="CZ58" s="553">
        <f>'Prod&amp;Consp'!DC74*$C$31/1000</f>
        <v>7535</v>
      </c>
      <c r="DA58" s="560">
        <f t="shared" si="164"/>
        <v>90420</v>
      </c>
      <c r="DB58" s="566"/>
      <c r="DC58" s="553">
        <f>'Prod&amp;Consp'!DF74*$C$31/1000</f>
        <v>7535</v>
      </c>
      <c r="DD58" s="562">
        <f>'Prod&amp;Consp'!DG74*$C$31/1000</f>
        <v>7535</v>
      </c>
      <c r="DE58" s="553">
        <f>'Prod&amp;Consp'!DH74*$C$31/1000</f>
        <v>7535</v>
      </c>
      <c r="DF58" s="553">
        <f>'Prod&amp;Consp'!DI74*$C$31/1000</f>
        <v>7535</v>
      </c>
      <c r="DG58" s="553">
        <f>'Prod&amp;Consp'!DJ74*$C$31/1000</f>
        <v>7535</v>
      </c>
      <c r="DH58" s="553">
        <f>'Prod&amp;Consp'!DK74*$C$31/1000</f>
        <v>7535</v>
      </c>
      <c r="DI58" s="553">
        <f>'Prod&amp;Consp'!DL74*$C$31/1000</f>
        <v>7535</v>
      </c>
      <c r="DJ58" s="553">
        <f>'Prod&amp;Consp'!DM74*$C$31/1000</f>
        <v>7535</v>
      </c>
      <c r="DK58" s="553">
        <f>'Prod&amp;Consp'!DN74*$C$31/1000</f>
        <v>7535</v>
      </c>
      <c r="DL58" s="553">
        <f>'Prod&amp;Consp'!DO74*$C$31/1000</f>
        <v>7535</v>
      </c>
      <c r="DM58" s="553">
        <f>'Prod&amp;Consp'!DP74*$C$31/1000</f>
        <v>7535</v>
      </c>
      <c r="DN58" s="553">
        <f>'Prod&amp;Consp'!DQ74*$C$31/1000</f>
        <v>7535</v>
      </c>
      <c r="DO58" s="560">
        <f t="shared" si="165"/>
        <v>90420</v>
      </c>
      <c r="DP58" s="566"/>
      <c r="DQ58" s="553">
        <f>'Prod&amp;Consp'!DT74*$C$31/1000</f>
        <v>7535</v>
      </c>
      <c r="DR58" s="553">
        <f>'Prod&amp;Consp'!DU74*$C$31/1000</f>
        <v>7535</v>
      </c>
      <c r="DS58" s="553">
        <f>'Prod&amp;Consp'!DV74*$C$31/1000</f>
        <v>7535</v>
      </c>
      <c r="DT58" s="553">
        <f>'Prod&amp;Consp'!DW74*$C$31/1000</f>
        <v>7535</v>
      </c>
      <c r="DU58" s="553">
        <f>'Prod&amp;Consp'!DX74*$C$31/1000</f>
        <v>7535</v>
      </c>
      <c r="DV58" s="553">
        <f>'Prod&amp;Consp'!DY74*$C$31/1000</f>
        <v>7535</v>
      </c>
      <c r="DW58" s="553">
        <f>'Prod&amp;Consp'!DZ74*$C$31/1000</f>
        <v>7535</v>
      </c>
      <c r="DX58" s="562">
        <f>'Prod&amp;Consp'!EA74*$C$31/1000</f>
        <v>7535</v>
      </c>
      <c r="DY58" s="553">
        <f>'Prod&amp;Consp'!EB74*$C$31/1000</f>
        <v>7535</v>
      </c>
      <c r="DZ58" s="553">
        <f>'Prod&amp;Consp'!EC74*$C$31/1000</f>
        <v>7535</v>
      </c>
      <c r="EA58" s="553">
        <f>'Prod&amp;Consp'!ED74*$C$31/1000</f>
        <v>7535</v>
      </c>
      <c r="EB58" s="553">
        <f>'Prod&amp;Consp'!EE74*$C$31/1000</f>
        <v>7535</v>
      </c>
      <c r="EC58" s="560">
        <f t="shared" si="166"/>
        <v>90420</v>
      </c>
      <c r="ED58" s="566"/>
      <c r="EE58" s="553">
        <f>'Prod&amp;Consp'!EH74*$C$31/1000</f>
        <v>7535</v>
      </c>
      <c r="EF58" s="553">
        <f>'Prod&amp;Consp'!EI74*$C$31/1000</f>
        <v>7535</v>
      </c>
      <c r="EG58" s="553">
        <f>'Prod&amp;Consp'!EJ74*$C$31/1000</f>
        <v>7535</v>
      </c>
      <c r="EH58" s="553">
        <f>'Prod&amp;Consp'!EK74*$C$31/1000</f>
        <v>7535</v>
      </c>
      <c r="EI58" s="553">
        <f>'Prod&amp;Consp'!EL74*$C$31/1000</f>
        <v>7535</v>
      </c>
      <c r="EJ58" s="553">
        <f>'Prod&amp;Consp'!EM74*$C$31/1000</f>
        <v>7535</v>
      </c>
      <c r="EK58" s="553">
        <f>'Prod&amp;Consp'!EN74*$C$31/1000</f>
        <v>7535</v>
      </c>
      <c r="EL58" s="553">
        <f>'Prod&amp;Consp'!EO74*$C$31/1000</f>
        <v>7535</v>
      </c>
      <c r="EM58" s="553">
        <f>'Prod&amp;Consp'!EP74*$C$31/1000</f>
        <v>7535</v>
      </c>
      <c r="EN58" s="553">
        <f>'Prod&amp;Consp'!EQ74*$C$31/1000</f>
        <v>7535</v>
      </c>
      <c r="EO58" s="553">
        <f>'Prod&amp;Consp'!ER74*$C$31/1000</f>
        <v>7535</v>
      </c>
      <c r="EP58" s="553">
        <f>'Prod&amp;Consp'!ES74*$C$31/1000</f>
        <v>7535</v>
      </c>
      <c r="EQ58" s="560">
        <f t="shared" si="167"/>
        <v>90420</v>
      </c>
      <c r="ET58" s="536">
        <v>2.7</v>
      </c>
      <c r="EU58" s="531" t="s">
        <v>1080</v>
      </c>
      <c r="EV58" s="461"/>
      <c r="EX58" s="576">
        <f t="shared" si="139"/>
        <v>75350</v>
      </c>
      <c r="EY58" s="576">
        <f t="shared" si="140"/>
        <v>90420</v>
      </c>
      <c r="EZ58" s="576">
        <f t="shared" si="141"/>
        <v>90420</v>
      </c>
      <c r="FA58" s="576">
        <f t="shared" si="142"/>
        <v>90420</v>
      </c>
      <c r="FB58" s="576">
        <f t="shared" si="143"/>
        <v>90420</v>
      </c>
      <c r="FC58" s="576">
        <f t="shared" si="144"/>
        <v>90420</v>
      </c>
      <c r="FD58" s="576">
        <f t="shared" si="145"/>
        <v>90420</v>
      </c>
      <c r="FE58" s="576">
        <f t="shared" si="146"/>
        <v>90420</v>
      </c>
      <c r="FF58" s="576">
        <f t="shared" si="147"/>
        <v>90420</v>
      </c>
    </row>
    <row r="59" spans="2:162" ht="10.5" customHeight="1" x14ac:dyDescent="0.35">
      <c r="F59" s="536">
        <v>2.8</v>
      </c>
      <c r="G59" s="531" t="s">
        <v>507</v>
      </c>
      <c r="H59" s="461"/>
      <c r="V59" s="565"/>
      <c r="W59" s="553">
        <f>'Prod&amp;Consp'!Z75*$C$32/1000</f>
        <v>2250</v>
      </c>
      <c r="X59" s="553">
        <f>'Prod&amp;Consp'!AA75*$C$32/1000</f>
        <v>0</v>
      </c>
      <c r="Y59" s="553">
        <f>'Prod&amp;Consp'!AB75*$C$32/1000</f>
        <v>0</v>
      </c>
      <c r="Z59" s="553">
        <f>'Prod&amp;Consp'!AC75*$C$32/1000</f>
        <v>0</v>
      </c>
      <c r="AA59" s="553">
        <f>'Prod&amp;Consp'!AD75*$C$32/1000</f>
        <v>0</v>
      </c>
      <c r="AB59" s="553">
        <f>'Prod&amp;Consp'!AE75*$C$32/1000</f>
        <v>0</v>
      </c>
      <c r="AC59" s="553">
        <f>'Prod&amp;Consp'!AF75*$C$32/1000</f>
        <v>0</v>
      </c>
      <c r="AD59" s="553">
        <f>'Prod&amp;Consp'!AG75*$C$32/1000</f>
        <v>0</v>
      </c>
      <c r="AE59" s="553">
        <f>'Prod&amp;Consp'!AH75*$C$32/1000</f>
        <v>0</v>
      </c>
      <c r="AF59" s="553">
        <f>'Prod&amp;Consp'!AI75*$C$32/1000</f>
        <v>0</v>
      </c>
      <c r="AG59" s="553">
        <f>'Prod&amp;Consp'!AJ75*$C$32/1000</f>
        <v>0</v>
      </c>
      <c r="AH59" s="553">
        <f>'Prod&amp;Consp'!AK75*$C$32/1000</f>
        <v>0</v>
      </c>
      <c r="AI59" s="560">
        <f t="shared" si="159"/>
        <v>2250</v>
      </c>
      <c r="AJ59" s="565"/>
      <c r="AK59" s="553">
        <f>'Prod&amp;Consp'!AN75*$C$32/1000</f>
        <v>2250</v>
      </c>
      <c r="AL59" s="553">
        <f>'Prod&amp;Consp'!AO75*$C$32/1000</f>
        <v>0</v>
      </c>
      <c r="AM59" s="553">
        <f>'Prod&amp;Consp'!AP75*$C$32/1000</f>
        <v>0</v>
      </c>
      <c r="AN59" s="553">
        <f>'Prod&amp;Consp'!AQ75*$C$32/1000</f>
        <v>0</v>
      </c>
      <c r="AO59" s="553">
        <f>'Prod&amp;Consp'!AR75*$C$32/1000</f>
        <v>0</v>
      </c>
      <c r="AP59" s="553">
        <f>'Prod&amp;Consp'!AS75*$C$32/1000</f>
        <v>0</v>
      </c>
      <c r="AQ59" s="553">
        <f>'Prod&amp;Consp'!AT75*$C$32/1000</f>
        <v>0</v>
      </c>
      <c r="AR59" s="562">
        <f>'Prod&amp;Consp'!AU75*$C$32/1000</f>
        <v>0</v>
      </c>
      <c r="AS59" s="553">
        <f>'Prod&amp;Consp'!AV75*$C$32/1000</f>
        <v>0</v>
      </c>
      <c r="AT59" s="553">
        <f>'Prod&amp;Consp'!AW75*$C$32/1000</f>
        <v>0</v>
      </c>
      <c r="AU59" s="553">
        <f>'Prod&amp;Consp'!AX75*$C$32/1000</f>
        <v>0</v>
      </c>
      <c r="AV59" s="553">
        <f>'Prod&amp;Consp'!AY75*$C$32/1000</f>
        <v>0</v>
      </c>
      <c r="AW59" s="560">
        <f t="shared" si="160"/>
        <v>2250</v>
      </c>
      <c r="AX59" s="565"/>
      <c r="AY59" s="553">
        <f>'Prod&amp;Consp'!BB75*$C$32/1000</f>
        <v>2250</v>
      </c>
      <c r="AZ59" s="553">
        <f>'Prod&amp;Consp'!BC75*$C$32/1000</f>
        <v>0</v>
      </c>
      <c r="BA59" s="553">
        <f>'Prod&amp;Consp'!BD75*$C$32/1000</f>
        <v>0</v>
      </c>
      <c r="BB59" s="553">
        <f>'Prod&amp;Consp'!BE75*$C$32/1000</f>
        <v>0</v>
      </c>
      <c r="BC59" s="553">
        <f>'Prod&amp;Consp'!BF75*$C$32/1000</f>
        <v>0</v>
      </c>
      <c r="BD59" s="553">
        <f>'Prod&amp;Consp'!BG75*$C$32/1000</f>
        <v>0</v>
      </c>
      <c r="BE59" s="553">
        <f>'Prod&amp;Consp'!BH75*$C$32/1000</f>
        <v>0</v>
      </c>
      <c r="BF59" s="553">
        <f>'Prod&amp;Consp'!BI75*$C$32/1000</f>
        <v>0</v>
      </c>
      <c r="BG59" s="553">
        <f>'Prod&amp;Consp'!BJ75*$C$32/1000</f>
        <v>0</v>
      </c>
      <c r="BH59" s="553">
        <f>'Prod&amp;Consp'!BK75*$C$32/1000</f>
        <v>0</v>
      </c>
      <c r="BI59" s="553">
        <f>'Prod&amp;Consp'!BL75*$C$32/1000</f>
        <v>0</v>
      </c>
      <c r="BJ59" s="553">
        <f>'Prod&amp;Consp'!BM75*$C$32/1000</f>
        <v>0</v>
      </c>
      <c r="BK59" s="560">
        <f t="shared" si="161"/>
        <v>2250</v>
      </c>
      <c r="BL59" s="565"/>
      <c r="BM59" s="553">
        <f>'Prod&amp;Consp'!BP75*$C$32/1000</f>
        <v>2250</v>
      </c>
      <c r="BN59" s="562">
        <f>'Prod&amp;Consp'!BQ75*$C$32/1000</f>
        <v>0</v>
      </c>
      <c r="BO59" s="553">
        <f>'Prod&amp;Consp'!BR75*$C$32/1000</f>
        <v>0</v>
      </c>
      <c r="BP59" s="553">
        <f>'Prod&amp;Consp'!BS75*$C$32/1000</f>
        <v>0</v>
      </c>
      <c r="BQ59" s="553">
        <f>'Prod&amp;Consp'!BT75*$C$32/1000</f>
        <v>0</v>
      </c>
      <c r="BR59" s="553">
        <f>'Prod&amp;Consp'!BU75*$C$32/1000</f>
        <v>0</v>
      </c>
      <c r="BS59" s="553">
        <f>'Prod&amp;Consp'!BV75*$C$32/1000</f>
        <v>0</v>
      </c>
      <c r="BT59" s="553">
        <f>'Prod&amp;Consp'!BW75*$C$32/1000</f>
        <v>0</v>
      </c>
      <c r="BU59" s="553">
        <f>'Prod&amp;Consp'!BX75*$C$32/1000</f>
        <v>0</v>
      </c>
      <c r="BV59" s="553">
        <f>'Prod&amp;Consp'!BY75*$C$32/1000</f>
        <v>0</v>
      </c>
      <c r="BW59" s="553">
        <f>'Prod&amp;Consp'!BZ75*$C$32/1000</f>
        <v>0</v>
      </c>
      <c r="BX59" s="553">
        <f>'Prod&amp;Consp'!CA75*$C$32/1000</f>
        <v>0</v>
      </c>
      <c r="BY59" s="560">
        <f t="shared" si="162"/>
        <v>2250</v>
      </c>
      <c r="BZ59" s="565"/>
      <c r="CA59" s="553">
        <f>'Prod&amp;Consp'!CD75*$C$32/1000</f>
        <v>2250</v>
      </c>
      <c r="CB59" s="553">
        <f>'Prod&amp;Consp'!CE75*$C$32/1000</f>
        <v>0</v>
      </c>
      <c r="CC59" s="553">
        <f>'Prod&amp;Consp'!CF75*$C$32/1000</f>
        <v>0</v>
      </c>
      <c r="CD59" s="553">
        <f>'Prod&amp;Consp'!CG75*$C$32/1000</f>
        <v>0</v>
      </c>
      <c r="CE59" s="553">
        <f>'Prod&amp;Consp'!CH75*$C$32/1000</f>
        <v>0</v>
      </c>
      <c r="CF59" s="553">
        <f>'Prod&amp;Consp'!CI75*$C$32/1000</f>
        <v>0</v>
      </c>
      <c r="CG59" s="553">
        <f>'Prod&amp;Consp'!CJ75*$C$32/1000</f>
        <v>0</v>
      </c>
      <c r="CH59" s="562">
        <f>'Prod&amp;Consp'!CK75*$C$32/1000</f>
        <v>0</v>
      </c>
      <c r="CI59" s="553">
        <f>'Prod&amp;Consp'!CL75*$C$32/1000</f>
        <v>0</v>
      </c>
      <c r="CJ59" s="553">
        <f>'Prod&amp;Consp'!CM75*$C$32/1000</f>
        <v>0</v>
      </c>
      <c r="CK59" s="553">
        <f>'Prod&amp;Consp'!CN75*$C$32/1000</f>
        <v>0</v>
      </c>
      <c r="CL59" s="553">
        <f>'Prod&amp;Consp'!CO75*$C$32/1000</f>
        <v>0</v>
      </c>
      <c r="CM59" s="560">
        <f t="shared" si="163"/>
        <v>2250</v>
      </c>
      <c r="CN59" s="565"/>
      <c r="CO59" s="553">
        <f>'Prod&amp;Consp'!CR75*$C$32/1000</f>
        <v>2250</v>
      </c>
      <c r="CP59" s="553">
        <f>'Prod&amp;Consp'!CS75*$C$32/1000</f>
        <v>0</v>
      </c>
      <c r="CQ59" s="553">
        <f>'Prod&amp;Consp'!CT75*$C$32/1000</f>
        <v>0</v>
      </c>
      <c r="CR59" s="553">
        <f>'Prod&amp;Consp'!CU75*$C$32/1000</f>
        <v>0</v>
      </c>
      <c r="CS59" s="553">
        <f>'Prod&amp;Consp'!CV75*$C$32/1000</f>
        <v>0</v>
      </c>
      <c r="CT59" s="553">
        <f>'Prod&amp;Consp'!CW75*$C$32/1000</f>
        <v>0</v>
      </c>
      <c r="CU59" s="553">
        <f>'Prod&amp;Consp'!CX75*$C$32/1000</f>
        <v>0</v>
      </c>
      <c r="CV59" s="553">
        <f>'Prod&amp;Consp'!CY75*$C$32/1000</f>
        <v>0</v>
      </c>
      <c r="CW59" s="553">
        <f>'Prod&amp;Consp'!CZ75*$C$32/1000</f>
        <v>0</v>
      </c>
      <c r="CX59" s="553">
        <f>'Prod&amp;Consp'!DA75*$C$32/1000</f>
        <v>0</v>
      </c>
      <c r="CY59" s="553">
        <f>'Prod&amp;Consp'!DB75*$C$32/1000</f>
        <v>0</v>
      </c>
      <c r="CZ59" s="553">
        <f>'Prod&amp;Consp'!DC75*$C$32/1000</f>
        <v>0</v>
      </c>
      <c r="DA59" s="560">
        <f t="shared" si="164"/>
        <v>2250</v>
      </c>
      <c r="DB59" s="565"/>
      <c r="DC59" s="553">
        <f>'Prod&amp;Consp'!DF75*$C$32/1000</f>
        <v>2250</v>
      </c>
      <c r="DD59" s="562">
        <f>'Prod&amp;Consp'!DG75*$C$32/1000</f>
        <v>0</v>
      </c>
      <c r="DE59" s="553">
        <f>'Prod&amp;Consp'!DH75*$C$32/1000</f>
        <v>0</v>
      </c>
      <c r="DF59" s="553">
        <f>'Prod&amp;Consp'!DI75*$C$32/1000</f>
        <v>0</v>
      </c>
      <c r="DG59" s="553">
        <f>'Prod&amp;Consp'!DJ75*$C$32/1000</f>
        <v>0</v>
      </c>
      <c r="DH59" s="553">
        <f>'Prod&amp;Consp'!DK75*$C$32/1000</f>
        <v>0</v>
      </c>
      <c r="DI59" s="553">
        <f>'Prod&amp;Consp'!DL75*$C$32/1000</f>
        <v>0</v>
      </c>
      <c r="DJ59" s="553">
        <f>'Prod&amp;Consp'!DM75*$C$32/1000</f>
        <v>0</v>
      </c>
      <c r="DK59" s="553">
        <f>'Prod&amp;Consp'!DN75*$C$32/1000</f>
        <v>0</v>
      </c>
      <c r="DL59" s="553">
        <f>'Prod&amp;Consp'!DO75*$C$32/1000</f>
        <v>0</v>
      </c>
      <c r="DM59" s="553">
        <f>'Prod&amp;Consp'!DP75*$C$32/1000</f>
        <v>0</v>
      </c>
      <c r="DN59" s="553">
        <f>'Prod&amp;Consp'!DQ75*$C$32/1000</f>
        <v>0</v>
      </c>
      <c r="DO59" s="560">
        <f t="shared" si="165"/>
        <v>2250</v>
      </c>
      <c r="DP59" s="565"/>
      <c r="DQ59" s="553">
        <f>'Prod&amp;Consp'!DT75*$C$32/1000</f>
        <v>2250</v>
      </c>
      <c r="DR59" s="553">
        <f>'Prod&amp;Consp'!DU75*$C$32/1000</f>
        <v>0</v>
      </c>
      <c r="DS59" s="553">
        <f>'Prod&amp;Consp'!DV75*$C$32/1000</f>
        <v>0</v>
      </c>
      <c r="DT59" s="553">
        <f>'Prod&amp;Consp'!DW75*$C$32/1000</f>
        <v>0</v>
      </c>
      <c r="DU59" s="553">
        <f>'Prod&amp;Consp'!DX75*$C$32/1000</f>
        <v>0</v>
      </c>
      <c r="DV59" s="553">
        <f>'Prod&amp;Consp'!DY75*$C$32/1000</f>
        <v>0</v>
      </c>
      <c r="DW59" s="553">
        <f>'Prod&amp;Consp'!DZ75*$C$32/1000</f>
        <v>0</v>
      </c>
      <c r="DX59" s="562">
        <f>'Prod&amp;Consp'!EA75*$C$32/1000</f>
        <v>0</v>
      </c>
      <c r="DY59" s="553">
        <f>'Prod&amp;Consp'!EB75*$C$32/1000</f>
        <v>0</v>
      </c>
      <c r="DZ59" s="553">
        <f>'Prod&amp;Consp'!EC75*$C$32/1000</f>
        <v>0</v>
      </c>
      <c r="EA59" s="553">
        <f>'Prod&amp;Consp'!ED75*$C$32/1000</f>
        <v>0</v>
      </c>
      <c r="EB59" s="553">
        <f>'Prod&amp;Consp'!EE75*$C$32/1000</f>
        <v>0</v>
      </c>
      <c r="EC59" s="560">
        <f t="shared" si="166"/>
        <v>2250</v>
      </c>
      <c r="ED59" s="566"/>
      <c r="EE59" s="553">
        <f>'Prod&amp;Consp'!EH75*$C$32/1000</f>
        <v>2250</v>
      </c>
      <c r="EF59" s="553">
        <f>'Prod&amp;Consp'!EI75*$C$32/1000</f>
        <v>0</v>
      </c>
      <c r="EG59" s="553">
        <f>'Prod&amp;Consp'!EJ75*$C$32/1000</f>
        <v>0</v>
      </c>
      <c r="EH59" s="553">
        <f>'Prod&amp;Consp'!EK75*$C$32/1000</f>
        <v>0</v>
      </c>
      <c r="EI59" s="553">
        <f>'Prod&amp;Consp'!EL75*$C$32/1000</f>
        <v>0</v>
      </c>
      <c r="EJ59" s="553">
        <f>'Prod&amp;Consp'!EM75*$C$32/1000</f>
        <v>0</v>
      </c>
      <c r="EK59" s="553">
        <f>'Prod&amp;Consp'!EN75*$C$32/1000</f>
        <v>0</v>
      </c>
      <c r="EL59" s="553">
        <f>'Prod&amp;Consp'!EO75*$C$32/1000</f>
        <v>0</v>
      </c>
      <c r="EM59" s="553">
        <f>'Prod&amp;Consp'!EP75*$C$32/1000</f>
        <v>0</v>
      </c>
      <c r="EN59" s="553">
        <f>'Prod&amp;Consp'!EQ75*$C$32/1000</f>
        <v>0</v>
      </c>
      <c r="EO59" s="553">
        <f>'Prod&amp;Consp'!ER75*$C$32/1000</f>
        <v>0</v>
      </c>
      <c r="EP59" s="553">
        <f>'Prod&amp;Consp'!ES75*$C$32/1000</f>
        <v>0</v>
      </c>
      <c r="EQ59" s="560">
        <f t="shared" si="167"/>
        <v>2250</v>
      </c>
      <c r="ET59" s="536">
        <v>2.8</v>
      </c>
      <c r="EU59" s="531" t="s">
        <v>507</v>
      </c>
      <c r="EV59" s="461"/>
      <c r="EX59" s="576">
        <f t="shared" si="139"/>
        <v>2250</v>
      </c>
      <c r="EY59" s="576">
        <f t="shared" si="140"/>
        <v>2250</v>
      </c>
      <c r="EZ59" s="576">
        <f t="shared" si="141"/>
        <v>2250</v>
      </c>
      <c r="FA59" s="576">
        <f t="shared" si="142"/>
        <v>2250</v>
      </c>
      <c r="FB59" s="576">
        <f t="shared" si="143"/>
        <v>2250</v>
      </c>
      <c r="FC59" s="576">
        <f t="shared" si="144"/>
        <v>2250</v>
      </c>
      <c r="FD59" s="576">
        <f t="shared" si="145"/>
        <v>2250</v>
      </c>
      <c r="FE59" s="576">
        <f t="shared" si="146"/>
        <v>2250</v>
      </c>
      <c r="FF59" s="576">
        <f t="shared" si="147"/>
        <v>2250</v>
      </c>
    </row>
    <row r="60" spans="2:162" ht="10.5" customHeight="1" x14ac:dyDescent="0.35">
      <c r="F60" s="536">
        <v>2.9</v>
      </c>
      <c r="G60" s="531" t="s">
        <v>33</v>
      </c>
      <c r="H60" s="461"/>
      <c r="V60" s="565"/>
      <c r="W60" s="620">
        <f>'Prod&amp;Consp'!Z76*$C$33/1000</f>
        <v>4860</v>
      </c>
      <c r="X60" s="620">
        <f>'Prod&amp;Consp'!AA76*$C$33/1000</f>
        <v>4860</v>
      </c>
      <c r="Y60" s="620">
        <f>'Prod&amp;Consp'!AB76*$C$33/1000</f>
        <v>4860</v>
      </c>
      <c r="Z60" s="620">
        <f>'Prod&amp;Consp'!AC76*$C$33/1000</f>
        <v>4860</v>
      </c>
      <c r="AA60" s="620">
        <f>'Prod&amp;Consp'!AD76*$C$33/1000</f>
        <v>4860</v>
      </c>
      <c r="AB60" s="620">
        <f>'Prod&amp;Consp'!AE76*$C$33/1000</f>
        <v>4860</v>
      </c>
      <c r="AC60" s="620">
        <f>'Prod&amp;Consp'!AF76*$C$33/1000</f>
        <v>4860</v>
      </c>
      <c r="AD60" s="620">
        <f>'Prod&amp;Consp'!AG76*$C$33/1000</f>
        <v>4860</v>
      </c>
      <c r="AE60" s="620">
        <f>'Prod&amp;Consp'!AH76*$C$33/1000</f>
        <v>4860</v>
      </c>
      <c r="AF60" s="620">
        <f>'Prod&amp;Consp'!AI76*$C$33/1000</f>
        <v>4860</v>
      </c>
      <c r="AG60" s="620">
        <f>'Prod&amp;Consp'!AJ76*$C$33/1000</f>
        <v>4860</v>
      </c>
      <c r="AH60" s="620">
        <f>'Prod&amp;Consp'!AK76*$C$33/1000</f>
        <v>4860</v>
      </c>
      <c r="AI60" s="622">
        <f t="shared" si="159"/>
        <v>58320</v>
      </c>
      <c r="AJ60" s="565"/>
      <c r="AK60" s="620">
        <f>'Prod&amp;Consp'!AN76*$C$33/1000</f>
        <v>4860</v>
      </c>
      <c r="AL60" s="620">
        <f>'Prod&amp;Consp'!AO76*$C$33/1000</f>
        <v>4860</v>
      </c>
      <c r="AM60" s="620">
        <f>'Prod&amp;Consp'!AP76*$C$33/1000</f>
        <v>4860</v>
      </c>
      <c r="AN60" s="620">
        <f>'Prod&amp;Consp'!AQ76*$C$33/1000</f>
        <v>4860</v>
      </c>
      <c r="AO60" s="620">
        <f>'Prod&amp;Consp'!AR76*$C$33/1000</f>
        <v>4860</v>
      </c>
      <c r="AP60" s="620">
        <f>'Prod&amp;Consp'!AS76*$C$33/1000</f>
        <v>4860</v>
      </c>
      <c r="AQ60" s="620">
        <f>'Prod&amp;Consp'!AT76*$C$33/1000</f>
        <v>4860</v>
      </c>
      <c r="AR60" s="621">
        <f>'Prod&amp;Consp'!AU76*$C$33/1000</f>
        <v>4860</v>
      </c>
      <c r="AS60" s="620">
        <f>'Prod&amp;Consp'!AV76*$C$33/1000</f>
        <v>4860</v>
      </c>
      <c r="AT60" s="620">
        <f>'Prod&amp;Consp'!AW76*$C$33/1000</f>
        <v>4860</v>
      </c>
      <c r="AU60" s="620">
        <f>'Prod&amp;Consp'!AX76*$C$33/1000</f>
        <v>4860</v>
      </c>
      <c r="AV60" s="620">
        <f>'Prod&amp;Consp'!AY76*$C$33/1000</f>
        <v>4860</v>
      </c>
      <c r="AW60" s="622">
        <f t="shared" si="160"/>
        <v>58320</v>
      </c>
      <c r="AX60" s="565"/>
      <c r="AY60" s="620">
        <f>'Prod&amp;Consp'!BB76*$C$33/1000</f>
        <v>4860</v>
      </c>
      <c r="AZ60" s="620">
        <f>'Prod&amp;Consp'!BC76*$C$33/1000</f>
        <v>4860</v>
      </c>
      <c r="BA60" s="620">
        <f>'Prod&amp;Consp'!BD76*$C$33/1000</f>
        <v>4860</v>
      </c>
      <c r="BB60" s="620">
        <f>'Prod&amp;Consp'!BE76*$C$33/1000</f>
        <v>4860</v>
      </c>
      <c r="BC60" s="620">
        <f>'Prod&amp;Consp'!BF76*$C$33/1000</f>
        <v>4860</v>
      </c>
      <c r="BD60" s="620">
        <f>'Prod&amp;Consp'!BG76*$C$33/1000</f>
        <v>4860</v>
      </c>
      <c r="BE60" s="620">
        <f>'Prod&amp;Consp'!BH76*$C$33/1000</f>
        <v>4860</v>
      </c>
      <c r="BF60" s="620">
        <f>'Prod&amp;Consp'!BI76*$C$33/1000</f>
        <v>4860</v>
      </c>
      <c r="BG60" s="620">
        <f>'Prod&amp;Consp'!BJ76*$C$33/1000</f>
        <v>4860</v>
      </c>
      <c r="BH60" s="620">
        <f>'Prod&amp;Consp'!BK76*$C$33/1000</f>
        <v>4860</v>
      </c>
      <c r="BI60" s="620">
        <f>'Prod&amp;Consp'!BL76*$C$33/1000</f>
        <v>4860</v>
      </c>
      <c r="BJ60" s="620">
        <f>'Prod&amp;Consp'!BM76*$C$33/1000</f>
        <v>4860</v>
      </c>
      <c r="BK60" s="622">
        <f t="shared" si="161"/>
        <v>58320</v>
      </c>
      <c r="BL60" s="565"/>
      <c r="BM60" s="620">
        <f>'Prod&amp;Consp'!BP76*$C$33/1000</f>
        <v>4860</v>
      </c>
      <c r="BN60" s="621">
        <f>'Prod&amp;Consp'!BQ76*$C$33/1000</f>
        <v>4860</v>
      </c>
      <c r="BO60" s="620">
        <f>'Prod&amp;Consp'!BR76*$C$33/1000</f>
        <v>4860</v>
      </c>
      <c r="BP60" s="620">
        <f>'Prod&amp;Consp'!BS76*$C$33/1000</f>
        <v>4860</v>
      </c>
      <c r="BQ60" s="620">
        <f>'Prod&amp;Consp'!BT76*$C$33/1000</f>
        <v>4860</v>
      </c>
      <c r="BR60" s="620">
        <f>'Prod&amp;Consp'!BU76*$C$33/1000</f>
        <v>4860</v>
      </c>
      <c r="BS60" s="620">
        <f>'Prod&amp;Consp'!BV76*$C$33/1000</f>
        <v>4860</v>
      </c>
      <c r="BT60" s="620">
        <f>'Prod&amp;Consp'!BW76*$C$33/1000</f>
        <v>4860</v>
      </c>
      <c r="BU60" s="620">
        <f>'Prod&amp;Consp'!BX76*$C$33/1000</f>
        <v>4860</v>
      </c>
      <c r="BV60" s="620">
        <f>'Prod&amp;Consp'!BY76*$C$33/1000</f>
        <v>4860</v>
      </c>
      <c r="BW60" s="620">
        <f>'Prod&amp;Consp'!BZ76*$C$33/1000</f>
        <v>4860</v>
      </c>
      <c r="BX60" s="620">
        <f>'Prod&amp;Consp'!CA76*$C$33/1000</f>
        <v>4860</v>
      </c>
      <c r="BY60" s="622">
        <f t="shared" si="162"/>
        <v>58320</v>
      </c>
      <c r="BZ60" s="565"/>
      <c r="CA60" s="620">
        <f>'Prod&amp;Consp'!CD76*$C$33/1000</f>
        <v>4860</v>
      </c>
      <c r="CB60" s="620">
        <f>'Prod&amp;Consp'!CE76*$C$33/1000</f>
        <v>4860</v>
      </c>
      <c r="CC60" s="620">
        <f>'Prod&amp;Consp'!CF76*$C$33/1000</f>
        <v>4860</v>
      </c>
      <c r="CD60" s="620">
        <f>'Prod&amp;Consp'!CG76*$C$33/1000</f>
        <v>4860</v>
      </c>
      <c r="CE60" s="620">
        <f>'Prod&amp;Consp'!CH76*$C$33/1000</f>
        <v>4860</v>
      </c>
      <c r="CF60" s="620">
        <f>'Prod&amp;Consp'!CI76*$C$33/1000</f>
        <v>4860</v>
      </c>
      <c r="CG60" s="620">
        <f>'Prod&amp;Consp'!CJ76*$C$33/1000</f>
        <v>4860</v>
      </c>
      <c r="CH60" s="621">
        <f>'Prod&amp;Consp'!CK76*$C$33/1000</f>
        <v>4860</v>
      </c>
      <c r="CI60" s="620">
        <f>'Prod&amp;Consp'!CL76*$C$33/1000</f>
        <v>4860</v>
      </c>
      <c r="CJ60" s="620">
        <f>'Prod&amp;Consp'!CM76*$C$33/1000</f>
        <v>4860</v>
      </c>
      <c r="CK60" s="620">
        <f>'Prod&amp;Consp'!CN76*$C$33/1000</f>
        <v>4860</v>
      </c>
      <c r="CL60" s="620">
        <f>'Prod&amp;Consp'!CO76*$C$33/1000</f>
        <v>4860</v>
      </c>
      <c r="CM60" s="622">
        <f t="shared" si="163"/>
        <v>58320</v>
      </c>
      <c r="CN60" s="565"/>
      <c r="CO60" s="620">
        <f>'Prod&amp;Consp'!CR76*$C$33/1000</f>
        <v>4860</v>
      </c>
      <c r="CP60" s="620">
        <f>'Prod&amp;Consp'!CS76*$C$33/1000</f>
        <v>4860</v>
      </c>
      <c r="CQ60" s="620">
        <f>'Prod&amp;Consp'!CT76*$C$33/1000</f>
        <v>4860</v>
      </c>
      <c r="CR60" s="620">
        <f>'Prod&amp;Consp'!CU76*$C$33/1000</f>
        <v>4860</v>
      </c>
      <c r="CS60" s="620">
        <f>'Prod&amp;Consp'!CV76*$C$33/1000</f>
        <v>4860</v>
      </c>
      <c r="CT60" s="620">
        <f>'Prod&amp;Consp'!CW76*$C$33/1000</f>
        <v>4860</v>
      </c>
      <c r="CU60" s="620">
        <f>'Prod&amp;Consp'!CX76*$C$33/1000</f>
        <v>4860</v>
      </c>
      <c r="CV60" s="620">
        <f>'Prod&amp;Consp'!CY76*$C$33/1000</f>
        <v>4860</v>
      </c>
      <c r="CW60" s="620">
        <f>'Prod&amp;Consp'!CZ76*$C$33/1000</f>
        <v>4860</v>
      </c>
      <c r="CX60" s="620">
        <f>'Prod&amp;Consp'!DA76*$C$33/1000</f>
        <v>4860</v>
      </c>
      <c r="CY60" s="620">
        <f>'Prod&amp;Consp'!DB76*$C$33/1000</f>
        <v>4860</v>
      </c>
      <c r="CZ60" s="620">
        <f>'Prod&amp;Consp'!DC76*$C$33/1000</f>
        <v>4860</v>
      </c>
      <c r="DA60" s="622">
        <f t="shared" si="164"/>
        <v>58320</v>
      </c>
      <c r="DB60" s="565"/>
      <c r="DC60" s="620">
        <f>'Prod&amp;Consp'!DF76*$C$33/1000</f>
        <v>4860</v>
      </c>
      <c r="DD60" s="621">
        <f>'Prod&amp;Consp'!DG76*$C$33/1000</f>
        <v>4860</v>
      </c>
      <c r="DE60" s="620">
        <f>'Prod&amp;Consp'!DH76*$C$33/1000</f>
        <v>4860</v>
      </c>
      <c r="DF60" s="620">
        <f>'Prod&amp;Consp'!DI76*$C$33/1000</f>
        <v>4860</v>
      </c>
      <c r="DG60" s="620">
        <f>'Prod&amp;Consp'!DJ76*$C$33/1000</f>
        <v>4860</v>
      </c>
      <c r="DH60" s="620">
        <f>'Prod&amp;Consp'!DK76*$C$33/1000</f>
        <v>4860</v>
      </c>
      <c r="DI60" s="620">
        <f>'Prod&amp;Consp'!DL76*$C$33/1000</f>
        <v>4860</v>
      </c>
      <c r="DJ60" s="620">
        <f>'Prod&amp;Consp'!DM76*$C$33/1000</f>
        <v>4860</v>
      </c>
      <c r="DK60" s="620">
        <f>'Prod&amp;Consp'!DN76*$C$33/1000</f>
        <v>4860</v>
      </c>
      <c r="DL60" s="620">
        <f>'Prod&amp;Consp'!DO76*$C$33/1000</f>
        <v>4860</v>
      </c>
      <c r="DM60" s="620">
        <f>'Prod&amp;Consp'!DP76*$C$33/1000</f>
        <v>4860</v>
      </c>
      <c r="DN60" s="620">
        <f>'Prod&amp;Consp'!DQ76*$C$33/1000</f>
        <v>4860</v>
      </c>
      <c r="DO60" s="622">
        <f t="shared" si="165"/>
        <v>58320</v>
      </c>
      <c r="DP60" s="565"/>
      <c r="DQ60" s="620">
        <f>'Prod&amp;Consp'!DT76*$C$33/1000</f>
        <v>4860</v>
      </c>
      <c r="DR60" s="620">
        <f>'Prod&amp;Consp'!DU76*$C$33/1000</f>
        <v>4860</v>
      </c>
      <c r="DS60" s="620">
        <f>'Prod&amp;Consp'!DV76*$C$33/1000</f>
        <v>4860</v>
      </c>
      <c r="DT60" s="620">
        <f>'Prod&amp;Consp'!DW76*$C$33/1000</f>
        <v>4860</v>
      </c>
      <c r="DU60" s="620">
        <f>'Prod&amp;Consp'!DX76*$C$33/1000</f>
        <v>4860</v>
      </c>
      <c r="DV60" s="620">
        <f>'Prod&amp;Consp'!DY76*$C$33/1000</f>
        <v>4860</v>
      </c>
      <c r="DW60" s="620">
        <f>'Prod&amp;Consp'!DZ76*$C$33/1000</f>
        <v>4860</v>
      </c>
      <c r="DX60" s="621">
        <f>'Prod&amp;Consp'!EA76*$C$33/1000</f>
        <v>4860</v>
      </c>
      <c r="DY60" s="620">
        <f>'Prod&amp;Consp'!EB76*$C$33/1000</f>
        <v>4860</v>
      </c>
      <c r="DZ60" s="620">
        <f>'Prod&amp;Consp'!EC76*$C$33/1000</f>
        <v>4860</v>
      </c>
      <c r="EA60" s="620">
        <f>'Prod&amp;Consp'!ED76*$C$33/1000</f>
        <v>4860</v>
      </c>
      <c r="EB60" s="620">
        <f>'Prod&amp;Consp'!EE76*$C$33/1000</f>
        <v>4860</v>
      </c>
      <c r="EC60" s="622">
        <f t="shared" si="166"/>
        <v>58320</v>
      </c>
      <c r="ED60" s="566"/>
      <c r="EE60" s="620">
        <f>'Prod&amp;Consp'!EH76*$C$33/1000</f>
        <v>4860</v>
      </c>
      <c r="EF60" s="620">
        <f>'Prod&amp;Consp'!EI76*$C$33/1000</f>
        <v>4860</v>
      </c>
      <c r="EG60" s="620">
        <f>'Prod&amp;Consp'!EJ76*$C$33/1000</f>
        <v>4860</v>
      </c>
      <c r="EH60" s="620">
        <f>'Prod&amp;Consp'!EK76*$C$33/1000</f>
        <v>4860</v>
      </c>
      <c r="EI60" s="620">
        <f>'Prod&amp;Consp'!EL76*$C$33/1000</f>
        <v>4860</v>
      </c>
      <c r="EJ60" s="620">
        <f>'Prod&amp;Consp'!EM76*$C$33/1000</f>
        <v>4860</v>
      </c>
      <c r="EK60" s="620">
        <f>'Prod&amp;Consp'!EN76*$C$33/1000</f>
        <v>4860</v>
      </c>
      <c r="EL60" s="620">
        <f>'Prod&amp;Consp'!EO76*$C$33/1000</f>
        <v>4860</v>
      </c>
      <c r="EM60" s="620">
        <f>'Prod&amp;Consp'!EP76*$C$33/1000</f>
        <v>4860</v>
      </c>
      <c r="EN60" s="620">
        <f>'Prod&amp;Consp'!EQ76*$C$33/1000</f>
        <v>4860</v>
      </c>
      <c r="EO60" s="620">
        <f>'Prod&amp;Consp'!ER76*$C$33/1000</f>
        <v>4860</v>
      </c>
      <c r="EP60" s="620">
        <f>'Prod&amp;Consp'!ES76*$C$33/1000</f>
        <v>4860</v>
      </c>
      <c r="EQ60" s="622">
        <f t="shared" si="167"/>
        <v>58320</v>
      </c>
      <c r="ET60" s="536">
        <v>2.9</v>
      </c>
      <c r="EU60" s="531" t="s">
        <v>33</v>
      </c>
      <c r="EV60" s="461"/>
      <c r="EX60" s="619">
        <f t="shared" si="139"/>
        <v>58320</v>
      </c>
      <c r="EY60" s="619">
        <f t="shared" si="140"/>
        <v>58320</v>
      </c>
      <c r="EZ60" s="619">
        <f t="shared" si="141"/>
        <v>58320</v>
      </c>
      <c r="FA60" s="619">
        <f t="shared" si="142"/>
        <v>58320</v>
      </c>
      <c r="FB60" s="619">
        <f t="shared" si="143"/>
        <v>58320</v>
      </c>
      <c r="FC60" s="619">
        <f t="shared" si="144"/>
        <v>58320</v>
      </c>
      <c r="FD60" s="619">
        <f t="shared" si="145"/>
        <v>58320</v>
      </c>
      <c r="FE60" s="619">
        <f t="shared" si="146"/>
        <v>58320</v>
      </c>
      <c r="FF60" s="619">
        <f t="shared" si="147"/>
        <v>58320</v>
      </c>
    </row>
    <row r="61" spans="2:162" ht="10.5" customHeight="1" x14ac:dyDescent="0.35">
      <c r="V61" s="565"/>
      <c r="W61" s="576">
        <f>SUM(W38:W60)</f>
        <v>805185.22499999986</v>
      </c>
      <c r="X61" s="576">
        <f t="shared" ref="X61" si="168">SUM(X38:X60)</f>
        <v>166275.22500000001</v>
      </c>
      <c r="Y61" s="576">
        <f t="shared" ref="Y61" si="169">SUM(Y38:Y60)</f>
        <v>202653.19587499998</v>
      </c>
      <c r="Z61" s="576">
        <f t="shared" ref="Z61" si="170">SUM(Z38:Z60)</f>
        <v>199353.19587499998</v>
      </c>
      <c r="AA61" s="576">
        <f t="shared" ref="AA61" si="171">SUM(AA38:AA60)</f>
        <v>199353.19587499998</v>
      </c>
      <c r="AB61" s="576">
        <f t="shared" ref="AB61" si="172">SUM(AB38:AB60)</f>
        <v>199353.19587499998</v>
      </c>
      <c r="AC61" s="576">
        <f t="shared" ref="AC61" si="173">SUM(AC38:AC60)</f>
        <v>199353.19587499998</v>
      </c>
      <c r="AD61" s="576">
        <f t="shared" ref="AD61" si="174">SUM(AD38:AD60)</f>
        <v>213208.19587499998</v>
      </c>
      <c r="AE61" s="576">
        <f t="shared" ref="AE61" si="175">SUM(AE38:AE60)</f>
        <v>199353.19587499998</v>
      </c>
      <c r="AF61" s="576">
        <f t="shared" ref="AF61" si="176">SUM(AF38:AF60)</f>
        <v>199353.19587499998</v>
      </c>
      <c r="AG61" s="576">
        <f t="shared" ref="AG61" si="177">SUM(AG38:AG60)</f>
        <v>199353.19587499998</v>
      </c>
      <c r="AH61" s="576">
        <f t="shared" ref="AH61" si="178">SUM(AH38:AH60)</f>
        <v>199353.19587499998</v>
      </c>
      <c r="AI61" s="576">
        <f t="shared" ref="AI61" si="179">SUM(AI38:AI60)</f>
        <v>2982147.4087500004</v>
      </c>
      <c r="AJ61" s="565"/>
      <c r="AK61" s="576">
        <f>SUM(AK38:AK60)</f>
        <v>201603.19587499998</v>
      </c>
      <c r="AL61" s="576">
        <f t="shared" ref="AL61" si="180">SUM(AL38:AL60)</f>
        <v>199353.19587499998</v>
      </c>
      <c r="AM61" s="576">
        <f t="shared" ref="AM61" si="181">SUM(AM38:AM60)</f>
        <v>199353.19587499998</v>
      </c>
      <c r="AN61" s="576">
        <f t="shared" ref="AN61" si="182">SUM(AN38:AN60)</f>
        <v>199353.19587499998</v>
      </c>
      <c r="AO61" s="576">
        <f t="shared" ref="AO61" si="183">SUM(AO38:AO60)</f>
        <v>199353.19587499998</v>
      </c>
      <c r="AP61" s="576">
        <f t="shared" ref="AP61" si="184">SUM(AP38:AP60)</f>
        <v>199353.19587499998</v>
      </c>
      <c r="AQ61" s="576">
        <f t="shared" ref="AQ61" si="185">SUM(AQ38:AQ60)</f>
        <v>997428.42087499995</v>
      </c>
      <c r="AR61" s="576">
        <f t="shared" ref="AR61" si="186">SUM(AR38:AR60)</f>
        <v>360768.42087499995</v>
      </c>
      <c r="AS61" s="576">
        <f t="shared" ref="AS61" si="187">SUM(AS38:AS60)</f>
        <v>202653.19587499998</v>
      </c>
      <c r="AT61" s="576">
        <f t="shared" ref="AT61" si="188">SUM(AT38:AT60)</f>
        <v>199353.19587499998</v>
      </c>
      <c r="AU61" s="576">
        <f t="shared" ref="AU61" si="189">SUM(AU38:AU60)</f>
        <v>199353.19587499998</v>
      </c>
      <c r="AV61" s="576">
        <f t="shared" ref="AV61" si="190">SUM(AV38:AV60)</f>
        <v>199353.19587499998</v>
      </c>
      <c r="AW61" s="576">
        <f t="shared" ref="AW61" si="191">SUM(AW38:AW60)</f>
        <v>3357278.8005000004</v>
      </c>
      <c r="AX61" s="565"/>
      <c r="AY61" s="576">
        <f>SUM(AY38:AY60)</f>
        <v>201603.19587499998</v>
      </c>
      <c r="AZ61" s="576">
        <f t="shared" ref="AZ61" si="192">SUM(AZ38:AZ60)</f>
        <v>213208.19587499998</v>
      </c>
      <c r="BA61" s="576">
        <f t="shared" ref="BA61" si="193">SUM(BA38:BA60)</f>
        <v>199353.19587499998</v>
      </c>
      <c r="BB61" s="576">
        <f t="shared" ref="BB61" si="194">SUM(BB38:BB60)</f>
        <v>199353.19587499998</v>
      </c>
      <c r="BC61" s="576">
        <f t="shared" ref="BC61" si="195">SUM(BC38:BC60)</f>
        <v>199353.19587499998</v>
      </c>
      <c r="BD61" s="576">
        <f t="shared" ref="BD61" si="196">SUM(BD38:BD60)</f>
        <v>199353.19587499998</v>
      </c>
      <c r="BE61" s="576">
        <f t="shared" ref="BE61" si="197">SUM(BE38:BE60)</f>
        <v>199353.19587499998</v>
      </c>
      <c r="BF61" s="576">
        <f t="shared" ref="BF61" si="198">SUM(BF38:BF60)</f>
        <v>199353.19587499998</v>
      </c>
      <c r="BG61" s="576">
        <f t="shared" ref="BG61" si="199">SUM(BG38:BG60)</f>
        <v>199353.19587499998</v>
      </c>
      <c r="BH61" s="576">
        <f t="shared" ref="BH61" si="200">SUM(BH38:BH60)</f>
        <v>199353.19587499998</v>
      </c>
      <c r="BI61" s="576">
        <f t="shared" ref="BI61" si="201">SUM(BI38:BI60)</f>
        <v>199353.19587499998</v>
      </c>
      <c r="BJ61" s="576">
        <f t="shared" ref="BJ61" si="202">SUM(BJ38:BJ60)</f>
        <v>199353.19587499998</v>
      </c>
      <c r="BK61" s="576">
        <f t="shared" ref="BK61" si="203">SUM(BK38:BK60)</f>
        <v>2408343.3505000006</v>
      </c>
      <c r="BL61" s="565"/>
      <c r="BM61" s="576">
        <f>SUM(BM38:BM60)</f>
        <v>999678.42087499995</v>
      </c>
      <c r="BN61" s="576">
        <f t="shared" ref="BN61" si="204">SUM(BN38:BN60)</f>
        <v>360768.42087499995</v>
      </c>
      <c r="BO61" s="576">
        <f t="shared" ref="BO61" si="205">SUM(BO38:BO60)</f>
        <v>202653.19587499998</v>
      </c>
      <c r="BP61" s="576">
        <f t="shared" ref="BP61" si="206">SUM(BP38:BP60)</f>
        <v>199353.19587499998</v>
      </c>
      <c r="BQ61" s="576">
        <f t="shared" ref="BQ61" si="207">SUM(BQ38:BQ60)</f>
        <v>199353.19587499998</v>
      </c>
      <c r="BR61" s="576">
        <f t="shared" ref="BR61" si="208">SUM(BR38:BR60)</f>
        <v>199353.19587499998</v>
      </c>
      <c r="BS61" s="576">
        <f t="shared" ref="BS61" si="209">SUM(BS38:BS60)</f>
        <v>199353.19587499998</v>
      </c>
      <c r="BT61" s="576">
        <f t="shared" ref="BT61" si="210">SUM(BT38:BT60)</f>
        <v>213208.19587499998</v>
      </c>
      <c r="BU61" s="576">
        <f t="shared" ref="BU61" si="211">SUM(BU38:BU60)</f>
        <v>199353.19587499998</v>
      </c>
      <c r="BV61" s="576">
        <f t="shared" ref="BV61" si="212">SUM(BV38:BV60)</f>
        <v>199353.19587499998</v>
      </c>
      <c r="BW61" s="576">
        <f t="shared" ref="BW61" si="213">SUM(BW38:BW60)</f>
        <v>199353.19587499998</v>
      </c>
      <c r="BX61" s="576">
        <f t="shared" ref="BX61" si="214">SUM(BX38:BX60)</f>
        <v>199353.19587499998</v>
      </c>
      <c r="BY61" s="576">
        <f t="shared" ref="BY61" si="215">SUM(BY38:BY60)</f>
        <v>3371133.8005000004</v>
      </c>
      <c r="BZ61" s="565"/>
      <c r="CA61" s="576">
        <f>SUM(CA38:CA60)</f>
        <v>201603.19587499998</v>
      </c>
      <c r="CB61" s="576">
        <f t="shared" ref="CB61" si="216">SUM(CB38:CB60)</f>
        <v>199353.19587499998</v>
      </c>
      <c r="CC61" s="576">
        <f t="shared" ref="CC61" si="217">SUM(CC38:CC60)</f>
        <v>199353.19587499998</v>
      </c>
      <c r="CD61" s="576">
        <f t="shared" ref="CD61" si="218">SUM(CD38:CD60)</f>
        <v>199353.19587499998</v>
      </c>
      <c r="CE61" s="576">
        <f t="shared" ref="CE61" si="219">SUM(CE38:CE60)</f>
        <v>199353.19587499998</v>
      </c>
      <c r="CF61" s="576">
        <f t="shared" ref="CF61" si="220">SUM(CF38:CF60)</f>
        <v>199353.19587499998</v>
      </c>
      <c r="CG61" s="576">
        <f t="shared" ref="CG61" si="221">SUM(CG38:CG60)</f>
        <v>997428.42087499995</v>
      </c>
      <c r="CH61" s="576">
        <f t="shared" ref="CH61" si="222">SUM(CH38:CH60)</f>
        <v>360768.42087499995</v>
      </c>
      <c r="CI61" s="576">
        <f t="shared" ref="CI61" si="223">SUM(CI38:CI60)</f>
        <v>202653.19587499998</v>
      </c>
      <c r="CJ61" s="576">
        <f t="shared" ref="CJ61" si="224">SUM(CJ38:CJ60)</f>
        <v>199353.19587499998</v>
      </c>
      <c r="CK61" s="576">
        <f t="shared" ref="CK61" si="225">SUM(CK38:CK60)</f>
        <v>199353.19587499998</v>
      </c>
      <c r="CL61" s="576">
        <f t="shared" ref="CL61" si="226">SUM(CL38:CL60)</f>
        <v>199353.19587499998</v>
      </c>
      <c r="CM61" s="576">
        <f t="shared" ref="CM61" si="227">SUM(CM38:CM60)</f>
        <v>3357278.8005000004</v>
      </c>
      <c r="CN61" s="565"/>
      <c r="CO61" s="576">
        <f>SUM(CO38:CO60)</f>
        <v>201603.19587499998</v>
      </c>
      <c r="CP61" s="576">
        <f t="shared" ref="CP61" si="228">SUM(CP38:CP60)</f>
        <v>199353.19587499998</v>
      </c>
      <c r="CQ61" s="576">
        <f t="shared" ref="CQ61" si="229">SUM(CQ38:CQ60)</f>
        <v>213208.19587499998</v>
      </c>
      <c r="CR61" s="576">
        <f t="shared" ref="CR61" si="230">SUM(CR38:CR60)</f>
        <v>199353.19587499998</v>
      </c>
      <c r="CS61" s="576">
        <f t="shared" ref="CS61" si="231">SUM(CS38:CS60)</f>
        <v>199353.19587499998</v>
      </c>
      <c r="CT61" s="576">
        <f t="shared" ref="CT61" si="232">SUM(CT38:CT60)</f>
        <v>199353.19587499998</v>
      </c>
      <c r="CU61" s="576">
        <f t="shared" ref="CU61" si="233">SUM(CU38:CU60)</f>
        <v>199353.19587499998</v>
      </c>
      <c r="CV61" s="576">
        <f t="shared" ref="CV61" si="234">SUM(CV38:CV60)</f>
        <v>199353.19587499998</v>
      </c>
      <c r="CW61" s="576">
        <f t="shared" ref="CW61" si="235">SUM(CW38:CW60)</f>
        <v>199353.19587499998</v>
      </c>
      <c r="CX61" s="576">
        <f t="shared" ref="CX61" si="236">SUM(CX38:CX60)</f>
        <v>199353.19587499998</v>
      </c>
      <c r="CY61" s="576">
        <f t="shared" ref="CY61" si="237">SUM(CY38:CY60)</f>
        <v>199353.19587499998</v>
      </c>
      <c r="CZ61" s="576">
        <f t="shared" ref="CZ61" si="238">SUM(CZ38:CZ60)</f>
        <v>199353.19587499998</v>
      </c>
      <c r="DA61" s="576">
        <f t="shared" ref="DA61" si="239">SUM(DA38:DA60)</f>
        <v>2408343.3505000006</v>
      </c>
      <c r="DB61" s="565"/>
      <c r="DC61" s="576">
        <f>SUM(DC38:DC60)</f>
        <v>999678.42087499995</v>
      </c>
      <c r="DD61" s="576">
        <f t="shared" ref="DD61" si="240">SUM(DD38:DD60)</f>
        <v>360768.42087499995</v>
      </c>
      <c r="DE61" s="576">
        <f t="shared" ref="DE61" si="241">SUM(DE38:DE60)</f>
        <v>202653.19587499998</v>
      </c>
      <c r="DF61" s="576">
        <f t="shared" ref="DF61" si="242">SUM(DF38:DF60)</f>
        <v>199353.19587499998</v>
      </c>
      <c r="DG61" s="576">
        <f t="shared" ref="DG61" si="243">SUM(DG38:DG60)</f>
        <v>199353.19587499998</v>
      </c>
      <c r="DH61" s="576">
        <f t="shared" ref="DH61" si="244">SUM(DH38:DH60)</f>
        <v>199353.19587499998</v>
      </c>
      <c r="DI61" s="576">
        <f t="shared" ref="DI61" si="245">SUM(DI38:DI60)</f>
        <v>199353.19587499998</v>
      </c>
      <c r="DJ61" s="576">
        <f t="shared" ref="DJ61" si="246">SUM(DJ38:DJ60)</f>
        <v>213208.19587499998</v>
      </c>
      <c r="DK61" s="576">
        <f t="shared" ref="DK61" si="247">SUM(DK38:DK60)</f>
        <v>199353.19587499998</v>
      </c>
      <c r="DL61" s="576">
        <f t="shared" ref="DL61" si="248">SUM(DL38:DL60)</f>
        <v>199353.19587499998</v>
      </c>
      <c r="DM61" s="576">
        <f t="shared" ref="DM61" si="249">SUM(DM38:DM60)</f>
        <v>199353.19587499998</v>
      </c>
      <c r="DN61" s="576">
        <f t="shared" ref="DN61" si="250">SUM(DN38:DN60)</f>
        <v>199353.19587499998</v>
      </c>
      <c r="DO61" s="576">
        <f t="shared" ref="DO61" si="251">SUM(DO38:DO60)</f>
        <v>3371133.8005000004</v>
      </c>
      <c r="DP61" s="565"/>
      <c r="DQ61" s="576">
        <f>SUM(DQ38:DQ60)</f>
        <v>201603.19587499998</v>
      </c>
      <c r="DR61" s="576">
        <f t="shared" ref="DR61" si="252">SUM(DR38:DR60)</f>
        <v>199353.19587499998</v>
      </c>
      <c r="DS61" s="576">
        <f t="shared" ref="DS61" si="253">SUM(DS38:DS60)</f>
        <v>199353.19587499998</v>
      </c>
      <c r="DT61" s="576">
        <f t="shared" ref="DT61" si="254">SUM(DT38:DT60)</f>
        <v>199353.19587499998</v>
      </c>
      <c r="DU61" s="576">
        <f t="shared" ref="DU61" si="255">SUM(DU38:DU60)</f>
        <v>199353.19587499998</v>
      </c>
      <c r="DV61" s="576">
        <f t="shared" ref="DV61" si="256">SUM(DV38:DV60)</f>
        <v>199353.19587499998</v>
      </c>
      <c r="DW61" s="576">
        <f t="shared" ref="DW61" si="257">SUM(DW38:DW60)</f>
        <v>997428.42087499995</v>
      </c>
      <c r="DX61" s="576">
        <f t="shared" ref="DX61" si="258">SUM(DX38:DX60)</f>
        <v>360768.42087499995</v>
      </c>
      <c r="DY61" s="576">
        <f t="shared" ref="DY61" si="259">SUM(DY38:DY60)</f>
        <v>202653.19587499998</v>
      </c>
      <c r="DZ61" s="576">
        <f t="shared" ref="DZ61" si="260">SUM(DZ38:DZ60)</f>
        <v>199353.19587499998</v>
      </c>
      <c r="EA61" s="576">
        <f t="shared" ref="EA61" si="261">SUM(EA38:EA60)</f>
        <v>199353.19587499998</v>
      </c>
      <c r="EB61" s="576">
        <f t="shared" ref="EB61" si="262">SUM(EB38:EB60)</f>
        <v>199353.19587499998</v>
      </c>
      <c r="EC61" s="576">
        <f t="shared" ref="EC61" si="263">SUM(EC38:EC60)</f>
        <v>3357278.8005000004</v>
      </c>
      <c r="ED61" s="566"/>
      <c r="EE61" s="576">
        <f>SUM(EE38:EE60)</f>
        <v>201603.19587499998</v>
      </c>
      <c r="EF61" s="576">
        <f t="shared" ref="EF61" si="264">SUM(EF38:EF60)</f>
        <v>213208.19587499998</v>
      </c>
      <c r="EG61" s="576">
        <f t="shared" ref="EG61" si="265">SUM(EG38:EG60)</f>
        <v>199353.19587499998</v>
      </c>
      <c r="EH61" s="576">
        <f t="shared" ref="EH61" si="266">SUM(EH38:EH60)</f>
        <v>199353.19587499998</v>
      </c>
      <c r="EI61" s="576">
        <f t="shared" ref="EI61" si="267">SUM(EI38:EI60)</f>
        <v>199353.19587499998</v>
      </c>
      <c r="EJ61" s="576">
        <f t="shared" ref="EJ61" si="268">SUM(EJ38:EJ60)</f>
        <v>199353.19587499998</v>
      </c>
      <c r="EK61" s="576">
        <f t="shared" ref="EK61" si="269">SUM(EK38:EK60)</f>
        <v>199353.19587499998</v>
      </c>
      <c r="EL61" s="576">
        <f t="shared" ref="EL61" si="270">SUM(EL38:EL60)</f>
        <v>199353.19587499998</v>
      </c>
      <c r="EM61" s="576">
        <f t="shared" ref="EM61" si="271">SUM(EM38:EM60)</f>
        <v>199353.19587499998</v>
      </c>
      <c r="EN61" s="576">
        <f t="shared" ref="EN61" si="272">SUM(EN38:EN60)</f>
        <v>199353.19587499998</v>
      </c>
      <c r="EO61" s="576">
        <f t="shared" ref="EO61" si="273">SUM(EO38:EO60)</f>
        <v>199353.19587499998</v>
      </c>
      <c r="EP61" s="576">
        <f t="shared" ref="EP61" si="274">SUM(EP38:EP60)</f>
        <v>199353.19587499998</v>
      </c>
      <c r="EQ61" s="576">
        <f t="shared" ref="EQ61" si="275">SUM(EQ38:EQ60)</f>
        <v>2408343.3505000006</v>
      </c>
      <c r="EU61" s="461" t="s">
        <v>1264</v>
      </c>
      <c r="EX61" s="576">
        <f>EX38+EX39+EX49+EX53+EX56+EX57+EX58+EX59+EX60</f>
        <v>2982147.4087500004</v>
      </c>
      <c r="EY61" s="576">
        <f t="shared" ref="EY61:FF61" si="276">EY38+EY39+EY49+EY53+EY56+EY57+EY58+EY59+EY60</f>
        <v>3357278.8004999999</v>
      </c>
      <c r="EZ61" s="576">
        <f t="shared" si="276"/>
        <v>2408343.3505000006</v>
      </c>
      <c r="FA61" s="576">
        <f t="shared" si="276"/>
        <v>3371133.8005000004</v>
      </c>
      <c r="FB61" s="576">
        <f t="shared" si="276"/>
        <v>3357278.8004999999</v>
      </c>
      <c r="FC61" s="576">
        <f t="shared" si="276"/>
        <v>2408343.3505000006</v>
      </c>
      <c r="FD61" s="576">
        <f t="shared" si="276"/>
        <v>3371133.8005000004</v>
      </c>
      <c r="FE61" s="576">
        <f t="shared" si="276"/>
        <v>3357278.8004999999</v>
      </c>
      <c r="FF61" s="576">
        <f t="shared" si="276"/>
        <v>2408343.3505000006</v>
      </c>
    </row>
    <row r="62" spans="2:162" ht="10.5" customHeight="1" x14ac:dyDescent="0.35">
      <c r="F62" s="558"/>
      <c r="G62" s="558"/>
      <c r="H62" s="558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58"/>
      <c r="AF62" s="558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8"/>
      <c r="BG62" s="558"/>
      <c r="BH62" s="558"/>
      <c r="BI62" s="558"/>
      <c r="BJ62" s="558"/>
      <c r="BK62" s="558"/>
      <c r="BL62" s="558"/>
      <c r="BM62" s="558"/>
      <c r="BN62" s="558"/>
      <c r="BO62" s="558"/>
      <c r="BP62" s="558"/>
      <c r="BQ62" s="558"/>
      <c r="BR62" s="558"/>
      <c r="BS62" s="558"/>
      <c r="BT62" s="558"/>
      <c r="BU62" s="558"/>
      <c r="BV62" s="558"/>
      <c r="BW62" s="558"/>
      <c r="BX62" s="558"/>
      <c r="BY62" s="558"/>
      <c r="BZ62" s="558"/>
      <c r="CA62" s="558"/>
      <c r="CB62" s="558"/>
      <c r="CC62" s="558"/>
      <c r="CD62" s="558"/>
      <c r="CE62" s="558"/>
      <c r="CF62" s="558"/>
      <c r="CG62" s="558"/>
      <c r="CH62" s="558"/>
      <c r="CI62" s="558"/>
      <c r="CJ62" s="558"/>
      <c r="CK62" s="558"/>
      <c r="CL62" s="558"/>
      <c r="CM62" s="558"/>
      <c r="CN62" s="558"/>
      <c r="CO62" s="558"/>
      <c r="CP62" s="558"/>
      <c r="CQ62" s="558"/>
      <c r="CR62" s="558"/>
      <c r="CS62" s="558"/>
      <c r="CT62" s="558"/>
      <c r="CU62" s="558"/>
      <c r="CV62" s="558"/>
      <c r="CW62" s="558"/>
      <c r="CX62" s="558"/>
      <c r="CY62" s="558"/>
      <c r="CZ62" s="558"/>
      <c r="DA62" s="558"/>
      <c r="DB62" s="558"/>
      <c r="DC62" s="558"/>
      <c r="DD62" s="558"/>
      <c r="DE62" s="558"/>
      <c r="DF62" s="558"/>
      <c r="DG62" s="558"/>
      <c r="DH62" s="558"/>
      <c r="DI62" s="558"/>
      <c r="DJ62" s="558"/>
      <c r="DK62" s="558"/>
      <c r="DL62" s="558"/>
      <c r="DM62" s="558"/>
      <c r="DN62" s="558"/>
      <c r="DO62" s="558"/>
      <c r="DP62" s="558"/>
      <c r="DQ62" s="558"/>
      <c r="DR62" s="558"/>
      <c r="DS62" s="558"/>
      <c r="DT62" s="558"/>
      <c r="DU62" s="558"/>
      <c r="DV62" s="558"/>
      <c r="DW62" s="558"/>
      <c r="DX62" s="558"/>
      <c r="DY62" s="558"/>
      <c r="DZ62" s="558"/>
      <c r="EA62" s="558"/>
      <c r="EB62" s="558"/>
      <c r="EC62" s="558"/>
      <c r="ED62" s="558"/>
      <c r="EE62" s="558"/>
      <c r="EF62" s="558"/>
      <c r="EG62" s="558"/>
      <c r="EH62" s="558"/>
      <c r="EI62" s="558"/>
      <c r="EJ62" s="558"/>
      <c r="EK62" s="558"/>
      <c r="EL62" s="558"/>
      <c r="EM62" s="558"/>
      <c r="EN62" s="558"/>
      <c r="EO62" s="558"/>
      <c r="EP62" s="558"/>
      <c r="EQ62" s="558"/>
      <c r="ET62" s="558"/>
      <c r="EU62" s="558"/>
      <c r="EV62" s="558"/>
      <c r="EW62" s="558"/>
      <c r="EX62" s="558"/>
      <c r="EY62" s="558"/>
      <c r="EZ62" s="558"/>
      <c r="FA62" s="558"/>
      <c r="FB62" s="558"/>
      <c r="FC62" s="558"/>
      <c r="FD62" s="558"/>
      <c r="FE62" s="558"/>
      <c r="FF62" s="558"/>
    </row>
    <row r="63" spans="2:162" ht="10.5" customHeight="1" x14ac:dyDescent="0.35">
      <c r="F63" s="549" t="s">
        <v>440</v>
      </c>
      <c r="G63" s="550" t="s">
        <v>1265</v>
      </c>
      <c r="I63" s="553">
        <f>I35+I61</f>
        <v>268395.07499999995</v>
      </c>
      <c r="J63" s="553">
        <f t="shared" ref="J63:BU63" si="277">J35+J61</f>
        <v>55425.074999999997</v>
      </c>
      <c r="K63" s="553">
        <f t="shared" si="277"/>
        <v>67576.398625000002</v>
      </c>
      <c r="L63" s="553">
        <f t="shared" si="277"/>
        <v>66451.398625000002</v>
      </c>
      <c r="M63" s="553">
        <f t="shared" si="277"/>
        <v>66451.398625000002</v>
      </c>
      <c r="N63" s="553">
        <f t="shared" si="277"/>
        <v>66451.398625000002</v>
      </c>
      <c r="O63" s="553">
        <f t="shared" si="277"/>
        <v>66451.398625000002</v>
      </c>
      <c r="P63" s="553">
        <f t="shared" si="277"/>
        <v>71086.398625000002</v>
      </c>
      <c r="Q63" s="553">
        <f t="shared" si="277"/>
        <v>66451.398625000002</v>
      </c>
      <c r="R63" s="553">
        <f t="shared" si="277"/>
        <v>66451.398625000002</v>
      </c>
      <c r="S63" s="553">
        <f t="shared" si="277"/>
        <v>66451.398625000002</v>
      </c>
      <c r="T63" s="553">
        <f t="shared" si="277"/>
        <v>66451.398625000002</v>
      </c>
      <c r="U63" s="553"/>
      <c r="V63" s="566"/>
      <c r="W63" s="553">
        <f t="shared" si="277"/>
        <v>872386.62362499989</v>
      </c>
      <c r="X63" s="553">
        <f t="shared" si="277"/>
        <v>232726.62362500001</v>
      </c>
      <c r="Y63" s="553">
        <f t="shared" si="277"/>
        <v>269104.59450000001</v>
      </c>
      <c r="Z63" s="553">
        <f t="shared" si="277"/>
        <v>265804.59450000001</v>
      </c>
      <c r="AA63" s="553">
        <f t="shared" si="277"/>
        <v>265804.59450000001</v>
      </c>
      <c r="AB63" s="553">
        <f t="shared" si="277"/>
        <v>265804.59450000001</v>
      </c>
      <c r="AC63" s="553">
        <f t="shared" si="277"/>
        <v>531829.66950000008</v>
      </c>
      <c r="AD63" s="553">
        <f t="shared" si="277"/>
        <v>333464.66949999996</v>
      </c>
      <c r="AE63" s="553">
        <f t="shared" si="277"/>
        <v>266929.59450000001</v>
      </c>
      <c r="AF63" s="553">
        <f t="shared" si="277"/>
        <v>265804.59450000001</v>
      </c>
      <c r="AG63" s="553">
        <f t="shared" si="277"/>
        <v>265804.59450000001</v>
      </c>
      <c r="AH63" s="553">
        <f t="shared" si="277"/>
        <v>265804.59450000001</v>
      </c>
      <c r="AI63" s="553"/>
      <c r="AJ63" s="566"/>
      <c r="AK63" s="553">
        <f t="shared" si="277"/>
        <v>268804.59450000001</v>
      </c>
      <c r="AL63" s="553">
        <f t="shared" si="277"/>
        <v>270439.59450000001</v>
      </c>
      <c r="AM63" s="553">
        <f t="shared" si="277"/>
        <v>265804.59450000001</v>
      </c>
      <c r="AN63" s="553">
        <f t="shared" si="277"/>
        <v>265804.59450000001</v>
      </c>
      <c r="AO63" s="553">
        <f t="shared" si="277"/>
        <v>265804.59450000001</v>
      </c>
      <c r="AP63" s="553">
        <f t="shared" si="277"/>
        <v>265804.59450000001</v>
      </c>
      <c r="AQ63" s="553">
        <f t="shared" si="277"/>
        <v>1063879.8195</v>
      </c>
      <c r="AR63" s="553">
        <f t="shared" si="277"/>
        <v>427219.81949999998</v>
      </c>
      <c r="AS63" s="553">
        <f t="shared" si="277"/>
        <v>269104.59450000001</v>
      </c>
      <c r="AT63" s="553">
        <f t="shared" si="277"/>
        <v>265804.59450000001</v>
      </c>
      <c r="AU63" s="553">
        <f t="shared" si="277"/>
        <v>265804.59450000001</v>
      </c>
      <c r="AV63" s="553">
        <f t="shared" si="277"/>
        <v>265804.59450000001</v>
      </c>
      <c r="AW63" s="553"/>
      <c r="AX63" s="566"/>
      <c r="AY63" s="553">
        <f t="shared" si="277"/>
        <v>534829.66950000008</v>
      </c>
      <c r="AZ63" s="553">
        <f t="shared" si="277"/>
        <v>333464.66949999996</v>
      </c>
      <c r="BA63" s="553">
        <f t="shared" si="277"/>
        <v>266929.59450000001</v>
      </c>
      <c r="BB63" s="553">
        <f t="shared" si="277"/>
        <v>265804.59450000001</v>
      </c>
      <c r="BC63" s="553">
        <f t="shared" si="277"/>
        <v>265804.59450000001</v>
      </c>
      <c r="BD63" s="553">
        <f t="shared" si="277"/>
        <v>265804.59450000001</v>
      </c>
      <c r="BE63" s="553">
        <f t="shared" si="277"/>
        <v>265804.59450000001</v>
      </c>
      <c r="BF63" s="553">
        <f t="shared" si="277"/>
        <v>270439.59450000001</v>
      </c>
      <c r="BG63" s="553">
        <f t="shared" si="277"/>
        <v>265804.59450000001</v>
      </c>
      <c r="BH63" s="553">
        <f t="shared" si="277"/>
        <v>265804.59450000001</v>
      </c>
      <c r="BI63" s="553">
        <f t="shared" si="277"/>
        <v>265804.59450000001</v>
      </c>
      <c r="BJ63" s="553">
        <f t="shared" si="277"/>
        <v>265804.59450000001</v>
      </c>
      <c r="BK63" s="553"/>
      <c r="BL63" s="566"/>
      <c r="BM63" s="553">
        <f t="shared" si="277"/>
        <v>1066879.8195</v>
      </c>
      <c r="BN63" s="553">
        <f t="shared" si="277"/>
        <v>427219.81949999998</v>
      </c>
      <c r="BO63" s="553">
        <f t="shared" si="277"/>
        <v>269104.59450000001</v>
      </c>
      <c r="BP63" s="553">
        <f t="shared" si="277"/>
        <v>265804.59450000001</v>
      </c>
      <c r="BQ63" s="553">
        <f t="shared" si="277"/>
        <v>265804.59450000001</v>
      </c>
      <c r="BR63" s="553">
        <f t="shared" si="277"/>
        <v>265804.59450000001</v>
      </c>
      <c r="BS63" s="553">
        <f t="shared" si="277"/>
        <v>531829.66950000008</v>
      </c>
      <c r="BT63" s="553">
        <f t="shared" si="277"/>
        <v>333464.66949999996</v>
      </c>
      <c r="BU63" s="553">
        <f t="shared" si="277"/>
        <v>266929.59450000001</v>
      </c>
      <c r="BV63" s="553">
        <f t="shared" ref="BV63:EG63" si="278">BV35+BV61</f>
        <v>265804.59450000001</v>
      </c>
      <c r="BW63" s="553">
        <f t="shared" si="278"/>
        <v>265804.59450000001</v>
      </c>
      <c r="BX63" s="553">
        <f t="shared" si="278"/>
        <v>265804.59450000001</v>
      </c>
      <c r="BY63" s="553"/>
      <c r="BZ63" s="566"/>
      <c r="CA63" s="553">
        <f t="shared" si="278"/>
        <v>268804.59450000001</v>
      </c>
      <c r="CB63" s="553">
        <f t="shared" si="278"/>
        <v>265804.59450000001</v>
      </c>
      <c r="CC63" s="553">
        <f t="shared" si="278"/>
        <v>270439.59450000001</v>
      </c>
      <c r="CD63" s="553">
        <f t="shared" si="278"/>
        <v>265804.59450000001</v>
      </c>
      <c r="CE63" s="553">
        <f t="shared" si="278"/>
        <v>265804.59450000001</v>
      </c>
      <c r="CF63" s="553">
        <f t="shared" si="278"/>
        <v>265804.59450000001</v>
      </c>
      <c r="CG63" s="553">
        <f t="shared" si="278"/>
        <v>1063879.8195</v>
      </c>
      <c r="CH63" s="553">
        <f t="shared" si="278"/>
        <v>427219.81949999998</v>
      </c>
      <c r="CI63" s="553">
        <f t="shared" si="278"/>
        <v>269104.59450000001</v>
      </c>
      <c r="CJ63" s="553">
        <f t="shared" si="278"/>
        <v>265804.59450000001</v>
      </c>
      <c r="CK63" s="553">
        <f t="shared" si="278"/>
        <v>265804.59450000001</v>
      </c>
      <c r="CL63" s="553">
        <f t="shared" si="278"/>
        <v>265804.59450000001</v>
      </c>
      <c r="CM63" s="553"/>
      <c r="CN63" s="566"/>
      <c r="CO63" s="553">
        <f t="shared" si="278"/>
        <v>534829.66950000008</v>
      </c>
      <c r="CP63" s="553">
        <f t="shared" si="278"/>
        <v>319609.66949999996</v>
      </c>
      <c r="CQ63" s="553">
        <f t="shared" si="278"/>
        <v>280784.59450000001</v>
      </c>
      <c r="CR63" s="553">
        <f t="shared" si="278"/>
        <v>265804.59450000001</v>
      </c>
      <c r="CS63" s="553">
        <f t="shared" si="278"/>
        <v>265804.59450000001</v>
      </c>
      <c r="CT63" s="553">
        <f t="shared" si="278"/>
        <v>265804.59450000001</v>
      </c>
      <c r="CU63" s="553">
        <f t="shared" si="278"/>
        <v>265804.59450000001</v>
      </c>
      <c r="CV63" s="553">
        <f t="shared" si="278"/>
        <v>270439.59450000001</v>
      </c>
      <c r="CW63" s="553">
        <f t="shared" si="278"/>
        <v>265804.59450000001</v>
      </c>
      <c r="CX63" s="553">
        <f t="shared" si="278"/>
        <v>265804.59450000001</v>
      </c>
      <c r="CY63" s="553">
        <f t="shared" si="278"/>
        <v>265804.59450000001</v>
      </c>
      <c r="CZ63" s="553">
        <f t="shared" si="278"/>
        <v>265804.59450000001</v>
      </c>
      <c r="DA63" s="553"/>
      <c r="DB63" s="566"/>
      <c r="DC63" s="553">
        <f t="shared" si="278"/>
        <v>1066879.8195</v>
      </c>
      <c r="DD63" s="553">
        <f t="shared" si="278"/>
        <v>427219.81949999998</v>
      </c>
      <c r="DE63" s="553">
        <f t="shared" si="278"/>
        <v>269104.59450000001</v>
      </c>
      <c r="DF63" s="553">
        <f t="shared" si="278"/>
        <v>265804.59450000001</v>
      </c>
      <c r="DG63" s="553">
        <f t="shared" si="278"/>
        <v>265804.59450000001</v>
      </c>
      <c r="DH63" s="553">
        <f t="shared" si="278"/>
        <v>265804.59450000001</v>
      </c>
      <c r="DI63" s="553">
        <f t="shared" si="278"/>
        <v>531829.66950000008</v>
      </c>
      <c r="DJ63" s="553">
        <f t="shared" si="278"/>
        <v>333464.66949999996</v>
      </c>
      <c r="DK63" s="553">
        <f t="shared" si="278"/>
        <v>266929.59450000001</v>
      </c>
      <c r="DL63" s="553">
        <f t="shared" si="278"/>
        <v>265804.59450000001</v>
      </c>
      <c r="DM63" s="553">
        <f t="shared" si="278"/>
        <v>265804.59450000001</v>
      </c>
      <c r="DN63" s="553">
        <f t="shared" si="278"/>
        <v>265804.59450000001</v>
      </c>
      <c r="DO63" s="553"/>
      <c r="DP63" s="566"/>
      <c r="DQ63" s="553">
        <f t="shared" si="278"/>
        <v>268804.59450000001</v>
      </c>
      <c r="DR63" s="553">
        <f t="shared" si="278"/>
        <v>270439.59450000001</v>
      </c>
      <c r="DS63" s="553">
        <f t="shared" si="278"/>
        <v>265804.59450000001</v>
      </c>
      <c r="DT63" s="553">
        <f t="shared" si="278"/>
        <v>265804.59450000001</v>
      </c>
      <c r="DU63" s="553">
        <f t="shared" si="278"/>
        <v>265804.59450000001</v>
      </c>
      <c r="DV63" s="553">
        <f t="shared" si="278"/>
        <v>265804.59450000001</v>
      </c>
      <c r="DW63" s="553">
        <f t="shared" si="278"/>
        <v>1063879.8195</v>
      </c>
      <c r="DX63" s="553">
        <f t="shared" si="278"/>
        <v>427219.81949999998</v>
      </c>
      <c r="DY63" s="553">
        <f t="shared" si="278"/>
        <v>269104.59450000001</v>
      </c>
      <c r="DZ63" s="553">
        <f t="shared" si="278"/>
        <v>265804.59450000001</v>
      </c>
      <c r="EA63" s="553">
        <f t="shared" si="278"/>
        <v>265804.59450000001</v>
      </c>
      <c r="EB63" s="553">
        <f t="shared" si="278"/>
        <v>265804.59450000001</v>
      </c>
      <c r="EC63" s="553"/>
      <c r="ED63" s="566"/>
      <c r="EE63" s="553">
        <f t="shared" si="278"/>
        <v>534829.66950000008</v>
      </c>
      <c r="EF63" s="553">
        <f t="shared" si="278"/>
        <v>333464.66949999996</v>
      </c>
      <c r="EG63" s="553">
        <f t="shared" si="278"/>
        <v>266929.59450000001</v>
      </c>
      <c r="EH63" s="553">
        <f t="shared" ref="EH63:EP63" si="279">EH35+EH61</f>
        <v>265804.59450000001</v>
      </c>
      <c r="EI63" s="553">
        <f t="shared" si="279"/>
        <v>265804.59450000001</v>
      </c>
      <c r="EJ63" s="553">
        <f t="shared" si="279"/>
        <v>265804.59450000001</v>
      </c>
      <c r="EK63" s="553">
        <f t="shared" si="279"/>
        <v>265804.59450000001</v>
      </c>
      <c r="EL63" s="553">
        <f t="shared" si="279"/>
        <v>270439.59450000001</v>
      </c>
      <c r="EM63" s="553">
        <f t="shared" si="279"/>
        <v>265804.59450000001</v>
      </c>
      <c r="EN63" s="553">
        <f t="shared" si="279"/>
        <v>265804.59450000001</v>
      </c>
      <c r="EO63" s="553">
        <f t="shared" si="279"/>
        <v>265804.59450000001</v>
      </c>
      <c r="EP63" s="553">
        <f t="shared" si="279"/>
        <v>265804.59450000001</v>
      </c>
      <c r="EQ63" s="553"/>
      <c r="EU63" s="461" t="s">
        <v>1265</v>
      </c>
      <c r="EV63" s="461"/>
      <c r="EW63" s="576">
        <f>EW35+EW61</f>
        <v>994094.13625000021</v>
      </c>
      <c r="EX63" s="576">
        <f>EX35+EX61</f>
        <v>4101269.3422500002</v>
      </c>
      <c r="EY63" s="576">
        <f t="shared" ref="EY63:FF63" si="280">EY35+EY61</f>
        <v>4160080.5839999998</v>
      </c>
      <c r="EZ63" s="576">
        <f t="shared" si="280"/>
        <v>3532100.2840000009</v>
      </c>
      <c r="FA63" s="576">
        <f t="shared" si="280"/>
        <v>4490255.7340000002</v>
      </c>
      <c r="FB63" s="576">
        <f t="shared" si="280"/>
        <v>4160080.5839999998</v>
      </c>
      <c r="FC63" s="576">
        <f t="shared" si="280"/>
        <v>3532100.2840000009</v>
      </c>
      <c r="FD63" s="576">
        <f t="shared" si="280"/>
        <v>4490255.7340000002</v>
      </c>
      <c r="FE63" s="576">
        <f t="shared" si="280"/>
        <v>4160080.5839999998</v>
      </c>
      <c r="FF63" s="576">
        <f t="shared" si="280"/>
        <v>3532100.2840000009</v>
      </c>
    </row>
  </sheetData>
  <mergeCells count="10">
    <mergeCell ref="DA9:DA10"/>
    <mergeCell ref="DO9:DO10"/>
    <mergeCell ref="EC9:EC10"/>
    <mergeCell ref="EQ9:EQ10"/>
    <mergeCell ref="U9:U10"/>
    <mergeCell ref="AI9:AI10"/>
    <mergeCell ref="AW9:AW10"/>
    <mergeCell ref="BK9:BK10"/>
    <mergeCell ref="BY9:BY10"/>
    <mergeCell ref="CM9:CM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54"/>
  <sheetViews>
    <sheetView showGridLines="0" zoomScale="90" zoomScaleNormal="90" workbookViewId="0">
      <pane ySplit="8" topLeftCell="A17" activePane="bottomLeft" state="frozen"/>
      <selection pane="bottomLeft" activeCell="M32" sqref="M32"/>
    </sheetView>
  </sheetViews>
  <sheetFormatPr defaultColWidth="12.1796875" defaultRowHeight="10.5" x14ac:dyDescent="0.5"/>
  <cols>
    <col min="1" max="1" width="4" style="20" customWidth="1"/>
    <col min="2" max="2" width="23.1796875" style="20" customWidth="1"/>
    <col min="3" max="3" width="8.54296875" style="20" customWidth="1"/>
    <col min="4" max="4" width="13.1796875" style="20" bestFit="1" customWidth="1"/>
    <col min="5" max="6" width="10.81640625" style="20" customWidth="1"/>
    <col min="7" max="7" width="12.453125" style="20" bestFit="1" customWidth="1"/>
    <col min="8" max="8" width="7.453125" style="20" customWidth="1"/>
    <col min="9" max="9" width="10.453125" style="20" customWidth="1"/>
    <col min="10" max="10" width="10.08984375" style="20" customWidth="1"/>
    <col min="11" max="11" width="12.1796875" style="20" bestFit="1" customWidth="1"/>
    <col min="12" max="12" width="10.81640625" style="20" customWidth="1"/>
    <col min="13" max="13" width="10.90625" style="20" customWidth="1"/>
    <col min="14" max="14" width="9.54296875" style="20" customWidth="1"/>
    <col min="15" max="15" width="9.81640625" style="20" customWidth="1"/>
    <col min="16" max="16" width="9.54296875" style="20" customWidth="1"/>
    <col min="17" max="17" width="12.1796875" style="20"/>
    <col min="18" max="18" width="17.453125" style="20" bestFit="1" customWidth="1"/>
    <col min="19" max="16384" width="12.1796875" style="20"/>
  </cols>
  <sheetData>
    <row r="1" spans="1:18" x14ac:dyDescent="0.35">
      <c r="A1" s="18" t="e">
        <f>#REF!</f>
        <v>#REF!</v>
      </c>
    </row>
    <row r="2" spans="1:18" x14ac:dyDescent="0.35">
      <c r="A2" s="11" t="str">
        <f>[2]Assumption!A2</f>
        <v>Financial Pre-Feasibility Study</v>
      </c>
    </row>
    <row r="3" spans="1:18" x14ac:dyDescent="0.5">
      <c r="A3" s="529" t="s">
        <v>74</v>
      </c>
    </row>
    <row r="4" spans="1:18" x14ac:dyDescent="0.35">
      <c r="A4" s="10" t="str">
        <f>Asumsi!A4</f>
        <v>Case-3: pakan diproduksi, Jumlah peliharaan di naikkan dari 3.000 menjadi 12.000 ekor</v>
      </c>
    </row>
    <row r="5" spans="1:18" x14ac:dyDescent="0.35">
      <c r="A5" s="124"/>
    </row>
    <row r="6" spans="1:18" x14ac:dyDescent="0.35">
      <c r="A6" s="124"/>
    </row>
    <row r="7" spans="1:18" x14ac:dyDescent="0.5">
      <c r="I7" s="368" t="s">
        <v>910</v>
      </c>
      <c r="J7" s="62"/>
      <c r="K7" s="62"/>
      <c r="L7" s="62"/>
      <c r="M7" s="62"/>
      <c r="N7" s="62"/>
      <c r="O7" s="62"/>
      <c r="P7" s="34"/>
    </row>
    <row r="8" spans="1:18" ht="24.75" customHeight="1" x14ac:dyDescent="0.5">
      <c r="A8" s="23" t="s">
        <v>60</v>
      </c>
      <c r="B8" s="35"/>
      <c r="C8" s="35"/>
      <c r="D8" s="35"/>
      <c r="E8" s="35"/>
      <c r="F8" s="35"/>
      <c r="G8" s="35"/>
      <c r="I8" s="24" t="s">
        <v>61</v>
      </c>
      <c r="J8" s="24" t="s">
        <v>75</v>
      </c>
      <c r="K8" s="25" t="s">
        <v>76</v>
      </c>
      <c r="L8" s="25" t="s">
        <v>77</v>
      </c>
      <c r="M8" s="25" t="s">
        <v>145</v>
      </c>
      <c r="N8" s="25" t="s">
        <v>78</v>
      </c>
      <c r="O8" s="25" t="s">
        <v>1025</v>
      </c>
      <c r="P8" s="24" t="s">
        <v>79</v>
      </c>
    </row>
    <row r="9" spans="1:18" x14ac:dyDescent="0.5">
      <c r="A9" s="36" t="s">
        <v>67</v>
      </c>
      <c r="B9" s="37" t="s">
        <v>80</v>
      </c>
      <c r="C9" s="37"/>
      <c r="H9" s="39"/>
      <c r="I9" s="26">
        <v>1</v>
      </c>
      <c r="J9" s="39">
        <f>E15/1000</f>
        <v>97500</v>
      </c>
      <c r="K9" s="39">
        <f>E16/1000</f>
        <v>2500</v>
      </c>
      <c r="L9" s="39">
        <f>E17/1000</f>
        <v>1260</v>
      </c>
      <c r="M9" s="39">
        <f>Depreciation!K10</f>
        <v>69758.754889999997</v>
      </c>
      <c r="N9" s="39">
        <f>E19/1000</f>
        <v>500</v>
      </c>
      <c r="O9" s="39">
        <f>E20/1000</f>
        <v>4860</v>
      </c>
      <c r="P9" s="229">
        <f>SUM(J9:O9)</f>
        <v>176378.75488999998</v>
      </c>
      <c r="Q9" s="62"/>
    </row>
    <row r="10" spans="1:18" x14ac:dyDescent="0.5">
      <c r="B10" s="38" t="s">
        <v>81</v>
      </c>
      <c r="C10" s="38"/>
      <c r="D10" s="36"/>
      <c r="E10" s="36"/>
      <c r="F10" s="36"/>
      <c r="G10" s="36"/>
      <c r="H10" s="39"/>
      <c r="I10" s="26">
        <f>I9+1</f>
        <v>2</v>
      </c>
      <c r="J10" s="39">
        <f>F15/1000</f>
        <v>357500</v>
      </c>
      <c r="K10" s="31">
        <f>F16/1000</f>
        <v>10000</v>
      </c>
      <c r="L10" s="31">
        <f>F17/1000</f>
        <v>5040</v>
      </c>
      <c r="M10" s="39">
        <f>Depreciation!K11</f>
        <v>282111.98187111109</v>
      </c>
      <c r="N10" s="31">
        <f>F19/1000</f>
        <v>2000</v>
      </c>
      <c r="O10" s="39">
        <f>F20/1000</f>
        <v>14580</v>
      </c>
      <c r="P10" s="229">
        <f t="shared" ref="P10:P18" si="0">SUM(J10:O10)</f>
        <v>671231.98187111109</v>
      </c>
    </row>
    <row r="11" spans="1:18" x14ac:dyDescent="0.5">
      <c r="B11" s="40" t="s">
        <v>82</v>
      </c>
      <c r="C11" s="40"/>
      <c r="H11" s="41"/>
      <c r="I11" s="26">
        <f t="shared" ref="I11:I18" si="1">I10+1</f>
        <v>3</v>
      </c>
      <c r="J11" s="39">
        <f t="shared" ref="J11:J18" si="2">J10*(1+$L$26)</f>
        <v>359287.49999999994</v>
      </c>
      <c r="K11" s="31">
        <f t="shared" ref="K11:K18" si="3">K10*(1+$L$27)</f>
        <v>10000</v>
      </c>
      <c r="L11" s="31">
        <f t="shared" ref="L11:L18" si="4">L10*(1+$L$28)</f>
        <v>5040</v>
      </c>
      <c r="M11" s="39">
        <f>Depreciation!K12</f>
        <v>282111.98187111109</v>
      </c>
      <c r="N11" s="31">
        <f t="shared" ref="N11:O18" si="5">N10</f>
        <v>2000</v>
      </c>
      <c r="O11" s="39">
        <f>O10</f>
        <v>14580</v>
      </c>
      <c r="P11" s="229">
        <f t="shared" si="0"/>
        <v>673019.48187111109</v>
      </c>
    </row>
    <row r="12" spans="1:18" x14ac:dyDescent="0.5">
      <c r="A12" s="36"/>
      <c r="B12" s="40" t="s">
        <v>83</v>
      </c>
      <c r="C12" s="40"/>
      <c r="D12" s="36"/>
      <c r="E12" s="36"/>
      <c r="F12" s="36"/>
      <c r="G12" s="36"/>
      <c r="H12" s="41"/>
      <c r="I12" s="26">
        <f t="shared" si="1"/>
        <v>4</v>
      </c>
      <c r="J12" s="39">
        <f t="shared" si="2"/>
        <v>361083.93749999988</v>
      </c>
      <c r="K12" s="31">
        <f t="shared" si="3"/>
        <v>10000</v>
      </c>
      <c r="L12" s="31">
        <f t="shared" si="4"/>
        <v>5040</v>
      </c>
      <c r="M12" s="39">
        <f>Depreciation!K13</f>
        <v>282111.98187111109</v>
      </c>
      <c r="N12" s="31">
        <f t="shared" si="5"/>
        <v>2000</v>
      </c>
      <c r="O12" s="39">
        <f t="shared" si="5"/>
        <v>14580</v>
      </c>
      <c r="P12" s="229">
        <f t="shared" si="0"/>
        <v>674815.91937111097</v>
      </c>
    </row>
    <row r="13" spans="1:18" x14ac:dyDescent="0.5">
      <c r="H13" s="41"/>
      <c r="I13" s="26">
        <f t="shared" si="1"/>
        <v>5</v>
      </c>
      <c r="J13" s="39">
        <f t="shared" si="2"/>
        <v>362889.35718749982</v>
      </c>
      <c r="K13" s="31">
        <f t="shared" si="3"/>
        <v>10000</v>
      </c>
      <c r="L13" s="31">
        <f t="shared" si="4"/>
        <v>5040</v>
      </c>
      <c r="M13" s="39">
        <f>Depreciation!K14</f>
        <v>282111.98187111109</v>
      </c>
      <c r="N13" s="31">
        <f t="shared" si="5"/>
        <v>2000</v>
      </c>
      <c r="O13" s="39">
        <f t="shared" si="5"/>
        <v>14580</v>
      </c>
      <c r="P13" s="229">
        <f t="shared" si="0"/>
        <v>676621.33905861084</v>
      </c>
    </row>
    <row r="14" spans="1:18" x14ac:dyDescent="0.5">
      <c r="A14" s="36" t="s">
        <v>68</v>
      </c>
      <c r="B14" s="20" t="s">
        <v>84</v>
      </c>
      <c r="E14" s="491" t="s">
        <v>1091</v>
      </c>
      <c r="F14" s="491" t="s">
        <v>1092</v>
      </c>
      <c r="H14" s="41"/>
      <c r="I14" s="26">
        <f t="shared" si="1"/>
        <v>6</v>
      </c>
      <c r="J14" s="39">
        <f t="shared" si="2"/>
        <v>364703.80397343729</v>
      </c>
      <c r="K14" s="31">
        <f t="shared" si="3"/>
        <v>10000</v>
      </c>
      <c r="L14" s="31">
        <f t="shared" si="4"/>
        <v>5040</v>
      </c>
      <c r="M14" s="39">
        <f>Depreciation!K15</f>
        <v>282111.98187111109</v>
      </c>
      <c r="N14" s="31">
        <f t="shared" si="5"/>
        <v>2000</v>
      </c>
      <c r="O14" s="39">
        <f t="shared" si="5"/>
        <v>14580</v>
      </c>
      <c r="P14" s="229">
        <f t="shared" si="0"/>
        <v>678435.78584454837</v>
      </c>
    </row>
    <row r="15" spans="1:18" x14ac:dyDescent="0.5">
      <c r="B15" s="27" t="s">
        <v>85</v>
      </c>
      <c r="C15" s="27"/>
      <c r="E15" s="263">
        <f>Salary!R16</f>
        <v>97500000</v>
      </c>
      <c r="F15" s="263">
        <f>Salary!R22</f>
        <v>357500000</v>
      </c>
      <c r="G15" s="267" t="s">
        <v>86</v>
      </c>
      <c r="H15" s="41"/>
      <c r="I15" s="26">
        <f t="shared" si="1"/>
        <v>7</v>
      </c>
      <c r="J15" s="39">
        <f t="shared" si="2"/>
        <v>366527.32299330441</v>
      </c>
      <c r="K15" s="31">
        <f t="shared" si="3"/>
        <v>10000</v>
      </c>
      <c r="L15" s="31">
        <f t="shared" si="4"/>
        <v>5040</v>
      </c>
      <c r="M15" s="39">
        <f>Depreciation!K16</f>
        <v>282111.98187111109</v>
      </c>
      <c r="N15" s="31">
        <f t="shared" si="5"/>
        <v>2000</v>
      </c>
      <c r="O15" s="39">
        <f t="shared" si="5"/>
        <v>14580</v>
      </c>
      <c r="P15" s="229">
        <f t="shared" si="0"/>
        <v>680259.30486441543</v>
      </c>
      <c r="R15" s="21"/>
    </row>
    <row r="16" spans="1:18" x14ac:dyDescent="0.5">
      <c r="B16" s="27" t="s">
        <v>87</v>
      </c>
      <c r="C16" s="27"/>
      <c r="E16" s="264">
        <v>2500000</v>
      </c>
      <c r="F16" s="265">
        <f>4*E16</f>
        <v>10000000</v>
      </c>
      <c r="G16" s="267" t="s">
        <v>86</v>
      </c>
      <c r="H16" s="41"/>
      <c r="I16" s="26">
        <f t="shared" si="1"/>
        <v>8</v>
      </c>
      <c r="J16" s="39">
        <f t="shared" si="2"/>
        <v>368359.9596082709</v>
      </c>
      <c r="K16" s="31">
        <f t="shared" si="3"/>
        <v>10000</v>
      </c>
      <c r="L16" s="31">
        <f t="shared" si="4"/>
        <v>5040</v>
      </c>
      <c r="M16" s="39">
        <f>Depreciation!K17</f>
        <v>282111.98187111109</v>
      </c>
      <c r="N16" s="31">
        <f t="shared" si="5"/>
        <v>2000</v>
      </c>
      <c r="O16" s="39">
        <f t="shared" si="5"/>
        <v>14580</v>
      </c>
      <c r="P16" s="229">
        <f t="shared" si="0"/>
        <v>682091.94147938199</v>
      </c>
      <c r="R16" s="21"/>
    </row>
    <row r="17" spans="1:18" x14ac:dyDescent="0.5">
      <c r="B17" s="27" t="s">
        <v>88</v>
      </c>
      <c r="C17" s="27"/>
      <c r="E17" s="265">
        <f>E40</f>
        <v>1260000</v>
      </c>
      <c r="F17" s="265">
        <f>F40</f>
        <v>5040000</v>
      </c>
      <c r="G17" s="267" t="s">
        <v>86</v>
      </c>
      <c r="H17" s="41"/>
      <c r="I17" s="26">
        <f t="shared" si="1"/>
        <v>9</v>
      </c>
      <c r="J17" s="39">
        <f t="shared" si="2"/>
        <v>370201.75940631219</v>
      </c>
      <c r="K17" s="31">
        <f t="shared" si="3"/>
        <v>10000</v>
      </c>
      <c r="L17" s="31">
        <f t="shared" si="4"/>
        <v>5040</v>
      </c>
      <c r="M17" s="39">
        <f>Depreciation!K18</f>
        <v>282111.98187111109</v>
      </c>
      <c r="N17" s="31">
        <f t="shared" si="5"/>
        <v>2000</v>
      </c>
      <c r="O17" s="39">
        <f t="shared" si="5"/>
        <v>14580</v>
      </c>
      <c r="P17" s="229">
        <f t="shared" si="0"/>
        <v>683933.74127742322</v>
      </c>
      <c r="R17" s="21"/>
    </row>
    <row r="18" spans="1:18" x14ac:dyDescent="0.5">
      <c r="B18" s="27" t="s">
        <v>552</v>
      </c>
      <c r="C18" s="27"/>
      <c r="E18" s="653" t="s">
        <v>267</v>
      </c>
      <c r="F18" s="653"/>
      <c r="G18" s="267"/>
      <c r="H18" s="39"/>
      <c r="I18" s="26">
        <f t="shared" si="1"/>
        <v>10</v>
      </c>
      <c r="J18" s="39">
        <f t="shared" si="2"/>
        <v>372052.76820334373</v>
      </c>
      <c r="K18" s="31">
        <f t="shared" si="3"/>
        <v>10000</v>
      </c>
      <c r="L18" s="31">
        <f t="shared" si="4"/>
        <v>5040</v>
      </c>
      <c r="M18" s="39">
        <f>Depreciation!K19</f>
        <v>282111.98187111109</v>
      </c>
      <c r="N18" s="31">
        <f t="shared" si="5"/>
        <v>2000</v>
      </c>
      <c r="O18" s="39">
        <f t="shared" si="5"/>
        <v>14580</v>
      </c>
      <c r="P18" s="229">
        <f t="shared" si="0"/>
        <v>685784.75007445482</v>
      </c>
      <c r="R18" s="21"/>
    </row>
    <row r="19" spans="1:18" x14ac:dyDescent="0.5">
      <c r="B19" s="27" t="s">
        <v>89</v>
      </c>
      <c r="C19" s="27"/>
      <c r="E19" s="264">
        <v>500000</v>
      </c>
      <c r="F19" s="265">
        <f>4*E19</f>
        <v>2000000</v>
      </c>
      <c r="G19" s="267" t="s">
        <v>660</v>
      </c>
      <c r="H19" s="39"/>
      <c r="I19" s="29"/>
      <c r="J19" s="29"/>
      <c r="K19" s="29"/>
      <c r="L19" s="29"/>
      <c r="M19" s="29"/>
      <c r="N19" s="227"/>
      <c r="O19" s="227"/>
      <c r="P19" s="228"/>
    </row>
    <row r="20" spans="1:18" x14ac:dyDescent="0.5">
      <c r="B20" s="27" t="s">
        <v>1113</v>
      </c>
      <c r="E20" s="265">
        <f>E49</f>
        <v>4860000</v>
      </c>
      <c r="F20" s="265">
        <f>F49</f>
        <v>14580000</v>
      </c>
      <c r="G20" s="267" t="s">
        <v>660</v>
      </c>
      <c r="H20" s="39"/>
      <c r="I20" s="33" t="s">
        <v>433</v>
      </c>
      <c r="J20" s="62">
        <f t="shared" ref="J20:N20" si="6">SUM(J9:J18)</f>
        <v>3380106.4088721685</v>
      </c>
      <c r="K20" s="62">
        <f t="shared" si="6"/>
        <v>92500</v>
      </c>
      <c r="L20" s="62">
        <f t="shared" si="6"/>
        <v>46620</v>
      </c>
      <c r="M20" s="62">
        <f t="shared" si="6"/>
        <v>2608766.5917299995</v>
      </c>
      <c r="N20" s="62">
        <f t="shared" si="6"/>
        <v>18500</v>
      </c>
      <c r="O20" s="62">
        <f t="shared" ref="O20" si="7">SUM(O9:O18)</f>
        <v>136080</v>
      </c>
      <c r="P20" s="62">
        <f>SUM(P9:P18)</f>
        <v>6282573.000602168</v>
      </c>
    </row>
    <row r="21" spans="1:18" x14ac:dyDescent="0.5">
      <c r="A21" s="29"/>
      <c r="B21" s="29"/>
      <c r="C21" s="29"/>
      <c r="D21" s="29"/>
      <c r="E21" s="29"/>
      <c r="F21" s="29"/>
      <c r="G21" s="29"/>
      <c r="I21" s="135" t="s">
        <v>434</v>
      </c>
      <c r="J21" s="31">
        <f t="shared" ref="J21:N21" si="8">AVERAGE(J9:J18)</f>
        <v>338010.64088721684</v>
      </c>
      <c r="K21" s="31">
        <f t="shared" si="8"/>
        <v>9250</v>
      </c>
      <c r="L21" s="31">
        <f t="shared" si="8"/>
        <v>4662</v>
      </c>
      <c r="M21" s="31">
        <f t="shared" si="8"/>
        <v>260876.65917299996</v>
      </c>
      <c r="N21" s="31">
        <f t="shared" si="8"/>
        <v>1850</v>
      </c>
      <c r="O21" s="31">
        <f>AVERAGE(O9:O18)</f>
        <v>13608</v>
      </c>
      <c r="P21" s="31">
        <f>AVERAGE(P9:P18)</f>
        <v>628257.3000602168</v>
      </c>
    </row>
    <row r="22" spans="1:18" x14ac:dyDescent="0.35">
      <c r="F22" s="266"/>
      <c r="G22" s="267"/>
      <c r="I22" s="4" t="s">
        <v>436</v>
      </c>
      <c r="J22" s="496">
        <f>J21/$P$21</f>
        <v>0.53801307339336835</v>
      </c>
      <c r="K22" s="496">
        <f t="shared" ref="K22:N22" si="9">K21/$P$21</f>
        <v>1.4723267042202951E-2</v>
      </c>
      <c r="L22" s="496">
        <f t="shared" si="9"/>
        <v>7.4205265892702873E-3</v>
      </c>
      <c r="M22" s="496">
        <f t="shared" si="9"/>
        <v>0.41523856411695592</v>
      </c>
      <c r="N22" s="496">
        <f t="shared" si="9"/>
        <v>2.9446534084405901E-3</v>
      </c>
      <c r="O22" s="496">
        <f>O21/$P$21</f>
        <v>2.165991544976192E-2</v>
      </c>
      <c r="P22" s="496">
        <f>P21/$P$21</f>
        <v>1</v>
      </c>
    </row>
    <row r="23" spans="1:18" x14ac:dyDescent="0.5">
      <c r="A23" s="42" t="s">
        <v>508</v>
      </c>
      <c r="F23" s="266"/>
      <c r="G23" s="267"/>
      <c r="I23" s="29"/>
      <c r="J23" s="29"/>
      <c r="K23" s="29"/>
      <c r="L23" s="29"/>
      <c r="M23" s="29"/>
      <c r="N23" s="29"/>
      <c r="O23" s="29"/>
      <c r="P23" s="29"/>
    </row>
    <row r="24" spans="1:18" x14ac:dyDescent="0.5">
      <c r="E24" s="338" t="s">
        <v>1091</v>
      </c>
      <c r="F24" s="338" t="s">
        <v>1092</v>
      </c>
      <c r="G24" s="267"/>
      <c r="I24" s="42" t="s">
        <v>90</v>
      </c>
      <c r="J24" s="31"/>
      <c r="K24" s="31"/>
      <c r="P24" s="43"/>
    </row>
    <row r="25" spans="1:18" x14ac:dyDescent="0.5">
      <c r="A25" s="20" t="s">
        <v>9</v>
      </c>
      <c r="B25" s="20" t="s">
        <v>1007</v>
      </c>
      <c r="I25" s="20" t="s">
        <v>91</v>
      </c>
      <c r="J25" s="43"/>
      <c r="K25" s="43"/>
      <c r="P25" s="43"/>
    </row>
    <row r="26" spans="1:18" x14ac:dyDescent="0.5">
      <c r="B26" s="27" t="s">
        <v>1102</v>
      </c>
      <c r="E26" s="489">
        <f>Asumsi!C9</f>
        <v>3000</v>
      </c>
      <c r="F26" s="489">
        <f>Asumsi!C9+Asumsi!C10</f>
        <v>12000</v>
      </c>
      <c r="G26" s="20" t="s">
        <v>3</v>
      </c>
      <c r="I26" s="27" t="s">
        <v>85</v>
      </c>
      <c r="L26" s="500">
        <v>5.0000000000000001E-3</v>
      </c>
      <c r="P26" s="43"/>
    </row>
    <row r="27" spans="1:18" x14ac:dyDescent="0.5">
      <c r="B27" s="27" t="s">
        <v>1101</v>
      </c>
      <c r="E27" s="490">
        <f>Salary!L15</f>
        <v>2</v>
      </c>
      <c r="F27" s="490">
        <f>Salary!L21</f>
        <v>8</v>
      </c>
      <c r="G27" s="20" t="s">
        <v>251</v>
      </c>
      <c r="I27" s="27" t="s">
        <v>93</v>
      </c>
      <c r="L27" s="500">
        <v>0</v>
      </c>
      <c r="P27" s="43"/>
    </row>
    <row r="28" spans="1:18" x14ac:dyDescent="0.5">
      <c r="A28" s="20" t="s">
        <v>10</v>
      </c>
      <c r="B28" s="20" t="s">
        <v>1100</v>
      </c>
      <c r="E28" s="492"/>
      <c r="F28" s="492"/>
      <c r="I28" s="27" t="s">
        <v>88</v>
      </c>
      <c r="L28" s="500">
        <v>0</v>
      </c>
      <c r="P28" s="43"/>
    </row>
    <row r="29" spans="1:18" x14ac:dyDescent="0.5">
      <c r="B29" s="27" t="s">
        <v>546</v>
      </c>
      <c r="C29" s="222">
        <f>Asumsi!C75</f>
        <v>2E-3</v>
      </c>
      <c r="D29" s="20" t="str">
        <f>Asumsi!D75</f>
        <v>unit/ekor/tahun</v>
      </c>
      <c r="E29" s="222">
        <f>ROUND(Asumsi!C75*$E$26,0)</f>
        <v>6</v>
      </c>
      <c r="F29" s="222">
        <f>ROUND(Asumsi!C75*$F$26,0)</f>
        <v>24</v>
      </c>
      <c r="G29" s="20" t="s">
        <v>551</v>
      </c>
      <c r="P29" s="43"/>
    </row>
    <row r="30" spans="1:18" x14ac:dyDescent="0.5">
      <c r="B30" s="27" t="s">
        <v>547</v>
      </c>
      <c r="C30" s="219">
        <f>Asumsi!C76</f>
        <v>2E-3</v>
      </c>
      <c r="D30" s="20" t="str">
        <f>Asumsi!D76</f>
        <v>unit/ekor/tahun</v>
      </c>
      <c r="E30" s="222">
        <f>ROUND(Asumsi!C76*$E$26,0)</f>
        <v>6</v>
      </c>
      <c r="F30" s="222">
        <f>ROUND(Asumsi!C76*$F$26,0)</f>
        <v>24</v>
      </c>
      <c r="G30" s="20" t="s">
        <v>551</v>
      </c>
      <c r="P30" s="43"/>
    </row>
    <row r="31" spans="1:18" x14ac:dyDescent="0.5">
      <c r="B31" s="27" t="s">
        <v>548</v>
      </c>
      <c r="C31" s="219">
        <f>Asumsi!C77</f>
        <v>3</v>
      </c>
      <c r="D31" s="20" t="str">
        <f>Asumsi!D77</f>
        <v>unit/orang/tahun</v>
      </c>
      <c r="E31" s="219">
        <f>ROUND(Asumsi!C77*$E$27,0)</f>
        <v>6</v>
      </c>
      <c r="F31" s="219">
        <f>ROUND(Asumsi!C77*$F$27,0)</f>
        <v>24</v>
      </c>
      <c r="G31" s="20" t="s">
        <v>551</v>
      </c>
    </row>
    <row r="32" spans="1:18" x14ac:dyDescent="0.5">
      <c r="B32" s="27" t="s">
        <v>549</v>
      </c>
      <c r="C32" s="219">
        <f>Asumsi!C78</f>
        <v>3</v>
      </c>
      <c r="D32" s="20" t="str">
        <f>Asumsi!D78</f>
        <v>unit/orang/tahun</v>
      </c>
      <c r="E32" s="219">
        <f>ROUND(Asumsi!C78*$E$27,0)</f>
        <v>6</v>
      </c>
      <c r="F32" s="219">
        <f>ROUND(Asumsi!C78*$F$27,0)</f>
        <v>24</v>
      </c>
      <c r="G32" s="20" t="s">
        <v>551</v>
      </c>
    </row>
    <row r="33" spans="1:7" x14ac:dyDescent="0.5">
      <c r="B33" s="27" t="s">
        <v>550</v>
      </c>
      <c r="C33" s="219">
        <f>Asumsi!C79</f>
        <v>3</v>
      </c>
      <c r="D33" s="20" t="str">
        <f>Asumsi!D79</f>
        <v>unit/orang/tahun</v>
      </c>
      <c r="E33" s="219">
        <f>ROUND(Asumsi!C79*E27,0)</f>
        <v>6</v>
      </c>
      <c r="F33" s="219">
        <f>ROUND(Asumsi!C79*$F$27,0)</f>
        <v>24</v>
      </c>
      <c r="G33" s="20" t="s">
        <v>551</v>
      </c>
    </row>
    <row r="34" spans="1:7" x14ac:dyDescent="0.5">
      <c r="A34" s="20" t="s">
        <v>13</v>
      </c>
      <c r="B34" s="20" t="s">
        <v>1103</v>
      </c>
      <c r="D34" s="21"/>
    </row>
    <row r="35" spans="1:7" x14ac:dyDescent="0.5">
      <c r="B35" s="27" t="s">
        <v>546</v>
      </c>
      <c r="C35" s="489">
        <f>Asumsi!F75</f>
        <v>30000</v>
      </c>
      <c r="D35" s="21" t="str">
        <f>Asumsi!G75</f>
        <v>Rp/unit</v>
      </c>
      <c r="E35" s="223">
        <f>E29*C35</f>
        <v>180000</v>
      </c>
      <c r="F35" s="223">
        <f>F29*C35</f>
        <v>720000</v>
      </c>
      <c r="G35" s="20" t="s">
        <v>212</v>
      </c>
    </row>
    <row r="36" spans="1:7" x14ac:dyDescent="0.5">
      <c r="B36" s="27" t="s">
        <v>547</v>
      </c>
      <c r="C36" s="490">
        <f>Asumsi!F76</f>
        <v>100000</v>
      </c>
      <c r="D36" s="21" t="str">
        <f>Asumsi!G76</f>
        <v>Rp/unit</v>
      </c>
      <c r="E36" s="223">
        <f t="shared" ref="E36:E38" si="10">E30*C36</f>
        <v>600000</v>
      </c>
      <c r="F36" s="223">
        <f t="shared" ref="F36:F38" si="11">F30*C36</f>
        <v>2400000</v>
      </c>
      <c r="G36" s="20" t="s">
        <v>212</v>
      </c>
    </row>
    <row r="37" spans="1:7" x14ac:dyDescent="0.5">
      <c r="B37" s="27" t="s">
        <v>548</v>
      </c>
      <c r="C37" s="490">
        <f>Asumsi!F77</f>
        <v>50000</v>
      </c>
      <c r="D37" s="21" t="str">
        <f>Asumsi!G77</f>
        <v>Rp/unit</v>
      </c>
      <c r="E37" s="223">
        <f t="shared" si="10"/>
        <v>300000</v>
      </c>
      <c r="F37" s="223">
        <f t="shared" si="11"/>
        <v>1200000</v>
      </c>
      <c r="G37" s="20" t="s">
        <v>212</v>
      </c>
    </row>
    <row r="38" spans="1:7" x14ac:dyDescent="0.5">
      <c r="B38" s="27" t="s">
        <v>549</v>
      </c>
      <c r="C38" s="490">
        <f>Asumsi!F78</f>
        <v>15000</v>
      </c>
      <c r="D38" s="21" t="str">
        <f>Asumsi!G78</f>
        <v>Rp/unit</v>
      </c>
      <c r="E38" s="223">
        <f t="shared" si="10"/>
        <v>90000</v>
      </c>
      <c r="F38" s="223">
        <f t="shared" si="11"/>
        <v>360000</v>
      </c>
      <c r="G38" s="20" t="s">
        <v>212</v>
      </c>
    </row>
    <row r="39" spans="1:7" x14ac:dyDescent="0.5">
      <c r="B39" s="27" t="s">
        <v>550</v>
      </c>
      <c r="C39" s="490">
        <f>Asumsi!F79</f>
        <v>15000</v>
      </c>
      <c r="D39" s="21" t="str">
        <f>Asumsi!G79</f>
        <v>Rp/unit</v>
      </c>
      <c r="E39" s="224">
        <f>E33*C39</f>
        <v>90000</v>
      </c>
      <c r="F39" s="224">
        <f>F33*C39</f>
        <v>360000</v>
      </c>
      <c r="G39" s="20" t="s">
        <v>212</v>
      </c>
    </row>
    <row r="40" spans="1:7" x14ac:dyDescent="0.5">
      <c r="E40" s="21">
        <f>SUM(E35:E39)</f>
        <v>1260000</v>
      </c>
      <c r="F40" s="21">
        <f>SUM(F35:F39)</f>
        <v>5040000</v>
      </c>
      <c r="G40" s="20" t="s">
        <v>212</v>
      </c>
    </row>
    <row r="41" spans="1:7" x14ac:dyDescent="0.5">
      <c r="B41" s="20" t="s">
        <v>259</v>
      </c>
    </row>
    <row r="42" spans="1:7" x14ac:dyDescent="0.5">
      <c r="B42" s="27" t="s">
        <v>509</v>
      </c>
    </row>
    <row r="44" spans="1:7" x14ac:dyDescent="0.5">
      <c r="A44" s="494" t="s">
        <v>1025</v>
      </c>
    </row>
    <row r="45" spans="1:7" x14ac:dyDescent="0.5">
      <c r="A45" s="20" t="s">
        <v>9</v>
      </c>
      <c r="B45" s="20" t="s">
        <v>1110</v>
      </c>
      <c r="E45" s="495">
        <v>1</v>
      </c>
      <c r="F45" s="495">
        <v>3</v>
      </c>
      <c r="G45" s="28" t="s">
        <v>1111</v>
      </c>
    </row>
    <row r="46" spans="1:7" x14ac:dyDescent="0.5">
      <c r="D46" s="266"/>
      <c r="E46" s="490">
        <f>E45*30</f>
        <v>30</v>
      </c>
      <c r="F46" s="490">
        <f>F45*30</f>
        <v>90</v>
      </c>
      <c r="G46" s="20" t="s">
        <v>190</v>
      </c>
    </row>
    <row r="47" spans="1:7" x14ac:dyDescent="0.5">
      <c r="A47" s="20" t="s">
        <v>10</v>
      </c>
      <c r="B47" s="27" t="s">
        <v>1027</v>
      </c>
      <c r="E47" s="264">
        <v>13500</v>
      </c>
      <c r="F47" s="265">
        <f>E47</f>
        <v>13500</v>
      </c>
      <c r="G47" s="20" t="s">
        <v>17</v>
      </c>
    </row>
    <row r="48" spans="1:7" x14ac:dyDescent="0.5">
      <c r="A48" s="20" t="s">
        <v>13</v>
      </c>
      <c r="B48" s="20" t="s">
        <v>1112</v>
      </c>
      <c r="E48" s="490">
        <f>E47*E46</f>
        <v>405000</v>
      </c>
      <c r="F48" s="490">
        <f>F47*F46</f>
        <v>1215000</v>
      </c>
      <c r="G48" s="20" t="s">
        <v>25</v>
      </c>
    </row>
    <row r="49" spans="1:7" x14ac:dyDescent="0.5">
      <c r="B49" s="27"/>
      <c r="E49" s="490">
        <f>E48*12</f>
        <v>4860000</v>
      </c>
      <c r="F49" s="490">
        <f>F48*12</f>
        <v>14580000</v>
      </c>
      <c r="G49" s="20" t="s">
        <v>86</v>
      </c>
    </row>
    <row r="50" spans="1:7" x14ac:dyDescent="0.5">
      <c r="A50" s="27"/>
      <c r="B50" s="27"/>
    </row>
    <row r="51" spans="1:7" x14ac:dyDescent="0.5">
      <c r="A51" s="27"/>
      <c r="B51" s="27"/>
      <c r="D51" s="266"/>
    </row>
    <row r="52" spans="1:7" x14ac:dyDescent="0.5">
      <c r="A52" s="27"/>
      <c r="B52" s="27"/>
      <c r="D52" s="266"/>
    </row>
    <row r="53" spans="1:7" x14ac:dyDescent="0.5">
      <c r="A53" s="27"/>
      <c r="B53" s="27"/>
      <c r="D53" s="266"/>
    </row>
    <row r="54" spans="1:7" x14ac:dyDescent="0.5">
      <c r="A54" s="27"/>
      <c r="B54" s="27"/>
      <c r="D54" s="266"/>
    </row>
  </sheetData>
  <mergeCells count="1">
    <mergeCell ref="E18:F18"/>
  </mergeCells>
  <phoneticPr fontId="1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7"/>
  <sheetViews>
    <sheetView showGridLines="0" zoomScale="90" zoomScaleNormal="90" workbookViewId="0">
      <pane ySplit="9" topLeftCell="A10" activePane="bottomLeft" state="frozen"/>
      <selection pane="bottomLeft" activeCell="D46" sqref="D46"/>
    </sheetView>
  </sheetViews>
  <sheetFormatPr defaultColWidth="12.1796875" defaultRowHeight="10.5" x14ac:dyDescent="0.5"/>
  <cols>
    <col min="1" max="1" width="4" style="20" customWidth="1"/>
    <col min="2" max="2" width="52.1796875" style="20" bestFit="1" customWidth="1"/>
    <col min="3" max="3" width="9.08984375" style="20" bestFit="1" customWidth="1"/>
    <col min="4" max="4" width="15.81640625" style="20" bestFit="1" customWidth="1"/>
    <col min="5" max="5" width="11.453125" style="20" customWidth="1"/>
    <col min="6" max="6" width="7.453125" style="20" customWidth="1"/>
    <col min="7" max="7" width="12.453125" style="20" bestFit="1" customWidth="1"/>
    <col min="8" max="18" width="8.81640625" style="20" customWidth="1"/>
    <col min="19" max="16384" width="12.1796875" style="20"/>
  </cols>
  <sheetData>
    <row r="1" spans="1:21" x14ac:dyDescent="0.35">
      <c r="A1" s="18" t="e">
        <f>PlantOVH!A1</f>
        <v>#REF!</v>
      </c>
    </row>
    <row r="2" spans="1:21" x14ac:dyDescent="0.35">
      <c r="A2" s="18" t="str">
        <f>PlantOVH!A2</f>
        <v>Financial Pre-Feasibility Study</v>
      </c>
    </row>
    <row r="3" spans="1:21" x14ac:dyDescent="0.5">
      <c r="A3" s="529" t="s">
        <v>111</v>
      </c>
    </row>
    <row r="4" spans="1:21" ht="10.5" customHeight="1" x14ac:dyDescent="0.35">
      <c r="A4" s="10" t="str">
        <f>Asumsi!A4</f>
        <v>Case-3: pakan diproduksi, Jumlah peliharaan di naikkan dari 3.000 menjadi 12.000 ekor</v>
      </c>
    </row>
    <row r="5" spans="1:21" ht="10.5" customHeight="1" x14ac:dyDescent="0.35">
      <c r="A5" s="124"/>
    </row>
    <row r="6" spans="1:21" ht="10.5" customHeight="1" x14ac:dyDescent="0.35">
      <c r="A6" s="124"/>
    </row>
    <row r="7" spans="1:21" x14ac:dyDescent="0.5">
      <c r="G7" s="368" t="s">
        <v>910</v>
      </c>
      <c r="R7" s="34"/>
    </row>
    <row r="8" spans="1:21" ht="24.75" customHeight="1" x14ac:dyDescent="0.5">
      <c r="A8" s="23" t="s">
        <v>60</v>
      </c>
      <c r="B8" s="35"/>
      <c r="C8" s="35"/>
      <c r="D8" s="35"/>
      <c r="E8" s="35"/>
      <c r="G8" s="641" t="s">
        <v>61</v>
      </c>
      <c r="H8" s="654" t="s">
        <v>112</v>
      </c>
      <c r="I8" s="654"/>
      <c r="J8" s="654"/>
      <c r="K8" s="654"/>
      <c r="L8" s="25"/>
      <c r="M8" s="654" t="s">
        <v>113</v>
      </c>
      <c r="N8" s="654"/>
      <c r="O8" s="654"/>
      <c r="P8" s="654"/>
      <c r="Q8" s="654"/>
      <c r="R8" s="641" t="s">
        <v>114</v>
      </c>
    </row>
    <row r="9" spans="1:21" ht="21" x14ac:dyDescent="0.5">
      <c r="A9" s="29"/>
      <c r="B9" s="29"/>
      <c r="C9" s="29"/>
      <c r="D9" s="29"/>
      <c r="E9" s="29"/>
      <c r="G9" s="641"/>
      <c r="H9" s="24" t="s">
        <v>75</v>
      </c>
      <c r="I9" s="24" t="s">
        <v>115</v>
      </c>
      <c r="J9" s="24" t="s">
        <v>116</v>
      </c>
      <c r="K9" s="230" t="s">
        <v>29</v>
      </c>
      <c r="L9" s="24"/>
      <c r="M9" s="24" t="s">
        <v>75</v>
      </c>
      <c r="N9" s="24" t="s">
        <v>900</v>
      </c>
      <c r="O9" s="24" t="s">
        <v>78</v>
      </c>
      <c r="P9" s="24" t="s">
        <v>1099</v>
      </c>
      <c r="Q9" s="233" t="s">
        <v>29</v>
      </c>
      <c r="R9" s="641"/>
    </row>
    <row r="10" spans="1:21" x14ac:dyDescent="0.5">
      <c r="A10" s="36" t="s">
        <v>67</v>
      </c>
      <c r="B10" s="37" t="s">
        <v>117</v>
      </c>
      <c r="C10" s="37"/>
      <c r="F10" s="39"/>
      <c r="G10" s="26">
        <v>1</v>
      </c>
      <c r="H10" s="39">
        <f>D16/1000</f>
        <v>26000</v>
      </c>
      <c r="I10" s="39">
        <f>D17/1000</f>
        <v>0</v>
      </c>
      <c r="J10" s="39">
        <f>D18/1000</f>
        <v>0</v>
      </c>
      <c r="K10" s="229">
        <f t="shared" ref="K10:K19" si="0">SUM(H10:J10)</f>
        <v>26000</v>
      </c>
      <c r="L10" s="63"/>
      <c r="M10" s="39">
        <f>D21/1000</f>
        <v>45500</v>
      </c>
      <c r="N10" s="39">
        <f>D22/1000</f>
        <v>3500</v>
      </c>
      <c r="O10" s="39">
        <f>D23/1000</f>
        <v>0</v>
      </c>
      <c r="P10" s="39">
        <f>D24/1000</f>
        <v>10000</v>
      </c>
      <c r="Q10" s="229">
        <f t="shared" ref="Q10:Q19" si="1">SUM(M10:P10)</f>
        <v>59000</v>
      </c>
      <c r="R10" s="229">
        <f t="shared" ref="R10:R19" si="2">K10+Q10</f>
        <v>85000</v>
      </c>
    </row>
    <row r="11" spans="1:21" x14ac:dyDescent="0.5">
      <c r="B11" s="40" t="s">
        <v>82</v>
      </c>
      <c r="C11" s="40"/>
      <c r="F11" s="39"/>
      <c r="G11" s="26">
        <f t="shared" ref="G11:G19" si="3">G10+1</f>
        <v>2</v>
      </c>
      <c r="H11" s="39">
        <f>E19/1000</f>
        <v>52000</v>
      </c>
      <c r="I11" s="31">
        <f>E17/1000</f>
        <v>0</v>
      </c>
      <c r="J11" s="31">
        <f>E18/1000</f>
        <v>0</v>
      </c>
      <c r="K11" s="229">
        <f t="shared" si="0"/>
        <v>52000</v>
      </c>
      <c r="L11" s="31"/>
      <c r="M11" s="39">
        <f>E21/1000</f>
        <v>45500</v>
      </c>
      <c r="N11" s="31">
        <f>E22/1000</f>
        <v>9800</v>
      </c>
      <c r="O11" s="31">
        <f>E23/1000</f>
        <v>0</v>
      </c>
      <c r="P11" s="31">
        <f>E24/1000</f>
        <v>20000</v>
      </c>
      <c r="Q11" s="229">
        <f t="shared" si="1"/>
        <v>75300</v>
      </c>
      <c r="R11" s="229">
        <f t="shared" si="2"/>
        <v>127300</v>
      </c>
    </row>
    <row r="12" spans="1:21" x14ac:dyDescent="0.5">
      <c r="A12" s="36"/>
      <c r="B12" s="40" t="s">
        <v>118</v>
      </c>
      <c r="C12" s="40"/>
      <c r="D12" s="36"/>
      <c r="E12" s="36"/>
      <c r="F12" s="39"/>
      <c r="G12" s="26">
        <f t="shared" si="3"/>
        <v>3</v>
      </c>
      <c r="H12" s="39">
        <f t="shared" ref="H12:H19" si="4">H11*(1+$I$27)</f>
        <v>52259.999999999993</v>
      </c>
      <c r="I12" s="31">
        <f t="shared" ref="I12:I19" si="5">I11*(1+$I$29)</f>
        <v>0</v>
      </c>
      <c r="J12" s="31">
        <f t="shared" ref="J12:J19" si="6">J11</f>
        <v>0</v>
      </c>
      <c r="K12" s="229">
        <f t="shared" si="0"/>
        <v>52259.999999999993</v>
      </c>
      <c r="L12" s="31"/>
      <c r="M12" s="39">
        <f t="shared" ref="M12:M19" si="7">M11*(1+$I$27)</f>
        <v>45727.499999999993</v>
      </c>
      <c r="N12" s="31">
        <f t="shared" ref="N12:N19" si="8">N11*(1+$I$28)</f>
        <v>9848.9999999999982</v>
      </c>
      <c r="O12" s="31">
        <f t="shared" ref="O12:O19" si="9">O11</f>
        <v>0</v>
      </c>
      <c r="P12" s="31">
        <f t="shared" ref="P12:P19" si="10">P11*(1+$I$30)</f>
        <v>20099.999999999996</v>
      </c>
      <c r="Q12" s="229">
        <f t="shared" si="1"/>
        <v>75676.499999999985</v>
      </c>
      <c r="R12" s="229">
        <f t="shared" si="2"/>
        <v>127936.49999999997</v>
      </c>
    </row>
    <row r="13" spans="1:21" x14ac:dyDescent="0.5">
      <c r="A13" s="36"/>
      <c r="B13" s="40" t="s">
        <v>119</v>
      </c>
      <c r="C13" s="40"/>
      <c r="D13" s="36"/>
      <c r="E13" s="36"/>
      <c r="F13" s="39"/>
      <c r="G13" s="26">
        <f t="shared" si="3"/>
        <v>4</v>
      </c>
      <c r="H13" s="39">
        <f t="shared" si="4"/>
        <v>52521.299999999988</v>
      </c>
      <c r="I13" s="31">
        <f t="shared" si="5"/>
        <v>0</v>
      </c>
      <c r="J13" s="31">
        <f t="shared" si="6"/>
        <v>0</v>
      </c>
      <c r="K13" s="229">
        <f t="shared" si="0"/>
        <v>52521.299999999988</v>
      </c>
      <c r="L13" s="31"/>
      <c r="M13" s="39">
        <f t="shared" si="7"/>
        <v>45956.13749999999</v>
      </c>
      <c r="N13" s="31">
        <f t="shared" si="8"/>
        <v>9898.2449999999972</v>
      </c>
      <c r="O13" s="31">
        <f t="shared" si="9"/>
        <v>0</v>
      </c>
      <c r="P13" s="31">
        <f t="shared" si="10"/>
        <v>20200.499999999993</v>
      </c>
      <c r="Q13" s="229">
        <f t="shared" si="1"/>
        <v>76054.882499999978</v>
      </c>
      <c r="R13" s="229">
        <f t="shared" si="2"/>
        <v>128576.18249999997</v>
      </c>
      <c r="S13" s="62"/>
      <c r="U13" s="62"/>
    </row>
    <row r="14" spans="1:21" x14ac:dyDescent="0.5">
      <c r="A14" s="36"/>
      <c r="D14" s="483" t="s">
        <v>1091</v>
      </c>
      <c r="E14" s="483" t="s">
        <v>1092</v>
      </c>
      <c r="F14" s="39"/>
      <c r="G14" s="26">
        <f t="shared" si="3"/>
        <v>5</v>
      </c>
      <c r="H14" s="39">
        <f t="shared" si="4"/>
        <v>52783.906499999983</v>
      </c>
      <c r="I14" s="31">
        <f t="shared" si="5"/>
        <v>0</v>
      </c>
      <c r="J14" s="31">
        <f t="shared" si="6"/>
        <v>0</v>
      </c>
      <c r="K14" s="229">
        <f t="shared" si="0"/>
        <v>52783.906499999983</v>
      </c>
      <c r="L14" s="31"/>
      <c r="M14" s="39">
        <f t="shared" si="7"/>
        <v>46185.918187499985</v>
      </c>
      <c r="N14" s="31">
        <f t="shared" si="8"/>
        <v>9947.7362249999969</v>
      </c>
      <c r="O14" s="31">
        <f t="shared" si="9"/>
        <v>0</v>
      </c>
      <c r="P14" s="31">
        <f t="shared" si="10"/>
        <v>20301.502499999991</v>
      </c>
      <c r="Q14" s="229">
        <f t="shared" si="1"/>
        <v>76435.156912499966</v>
      </c>
      <c r="R14" s="229">
        <f t="shared" si="2"/>
        <v>129219.06341249995</v>
      </c>
    </row>
    <row r="15" spans="1:21" x14ac:dyDescent="0.5">
      <c r="A15" s="36" t="s">
        <v>68</v>
      </c>
      <c r="B15" s="20" t="s">
        <v>120</v>
      </c>
      <c r="D15" s="21"/>
      <c r="E15" s="21"/>
      <c r="F15" s="39"/>
      <c r="G15" s="26">
        <f t="shared" si="3"/>
        <v>6</v>
      </c>
      <c r="H15" s="39">
        <f t="shared" si="4"/>
        <v>53047.826032499979</v>
      </c>
      <c r="I15" s="31">
        <f t="shared" si="5"/>
        <v>0</v>
      </c>
      <c r="J15" s="31">
        <f t="shared" si="6"/>
        <v>0</v>
      </c>
      <c r="K15" s="229">
        <f t="shared" si="0"/>
        <v>53047.826032499979</v>
      </c>
      <c r="L15" s="31"/>
      <c r="M15" s="39">
        <f t="shared" si="7"/>
        <v>46416.847778437477</v>
      </c>
      <c r="N15" s="31">
        <f t="shared" si="8"/>
        <v>9997.474906124995</v>
      </c>
      <c r="O15" s="31">
        <f t="shared" si="9"/>
        <v>0</v>
      </c>
      <c r="P15" s="31">
        <f t="shared" si="10"/>
        <v>20403.010012499988</v>
      </c>
      <c r="Q15" s="229">
        <f t="shared" si="1"/>
        <v>76817.332697062462</v>
      </c>
      <c r="R15" s="229">
        <f t="shared" si="2"/>
        <v>129865.15872956245</v>
      </c>
    </row>
    <row r="16" spans="1:21" x14ac:dyDescent="0.5">
      <c r="A16" s="36"/>
      <c r="B16" s="27" t="s">
        <v>85</v>
      </c>
      <c r="C16" s="22" t="s">
        <v>86</v>
      </c>
      <c r="D16" s="484">
        <f>Salary!T16</f>
        <v>26000000</v>
      </c>
      <c r="E16" s="484">
        <f>Salary!T22</f>
        <v>52000000</v>
      </c>
      <c r="F16" s="64"/>
      <c r="G16" s="26">
        <f t="shared" si="3"/>
        <v>7</v>
      </c>
      <c r="H16" s="39">
        <f t="shared" si="4"/>
        <v>53313.065162662475</v>
      </c>
      <c r="I16" s="31">
        <f t="shared" si="5"/>
        <v>0</v>
      </c>
      <c r="J16" s="31">
        <f t="shared" si="6"/>
        <v>0</v>
      </c>
      <c r="K16" s="229">
        <f t="shared" si="0"/>
        <v>53313.065162662475</v>
      </c>
      <c r="L16" s="31"/>
      <c r="M16" s="39">
        <f t="shared" si="7"/>
        <v>46648.932017329658</v>
      </c>
      <c r="N16" s="31">
        <f t="shared" si="8"/>
        <v>10047.462280655618</v>
      </c>
      <c r="O16" s="31">
        <f t="shared" si="9"/>
        <v>0</v>
      </c>
      <c r="P16" s="31">
        <f t="shared" si="10"/>
        <v>20505.025062562487</v>
      </c>
      <c r="Q16" s="229">
        <f t="shared" si="1"/>
        <v>77201.419360547763</v>
      </c>
      <c r="R16" s="229">
        <f t="shared" si="2"/>
        <v>130514.48452321024</v>
      </c>
    </row>
    <row r="17" spans="1:18" x14ac:dyDescent="0.35">
      <c r="A17" s="36"/>
      <c r="B17" s="12" t="s">
        <v>121</v>
      </c>
      <c r="C17" s="22" t="s">
        <v>86</v>
      </c>
      <c r="D17" s="485">
        <v>0</v>
      </c>
      <c r="E17" s="485">
        <v>0</v>
      </c>
      <c r="F17" s="65"/>
      <c r="G17" s="26">
        <f t="shared" si="3"/>
        <v>8</v>
      </c>
      <c r="H17" s="39">
        <f t="shared" si="4"/>
        <v>53579.630488475785</v>
      </c>
      <c r="I17" s="31">
        <f t="shared" si="5"/>
        <v>0</v>
      </c>
      <c r="J17" s="31">
        <f t="shared" si="6"/>
        <v>0</v>
      </c>
      <c r="K17" s="229">
        <f t="shared" si="0"/>
        <v>53579.630488475785</v>
      </c>
      <c r="L17" s="31"/>
      <c r="M17" s="39">
        <f t="shared" si="7"/>
        <v>46882.176677416304</v>
      </c>
      <c r="N17" s="31">
        <f t="shared" si="8"/>
        <v>10097.699592058894</v>
      </c>
      <c r="O17" s="31">
        <f t="shared" si="9"/>
        <v>0</v>
      </c>
      <c r="P17" s="31">
        <f t="shared" si="10"/>
        <v>20607.550187875298</v>
      </c>
      <c r="Q17" s="229">
        <f t="shared" si="1"/>
        <v>77587.426457350492</v>
      </c>
      <c r="R17" s="229">
        <f t="shared" si="2"/>
        <v>131167.05694582628</v>
      </c>
    </row>
    <row r="18" spans="1:18" x14ac:dyDescent="0.35">
      <c r="A18" s="36"/>
      <c r="B18" s="12" t="s">
        <v>127</v>
      </c>
      <c r="C18" s="22" t="s">
        <v>86</v>
      </c>
      <c r="D18" s="485">
        <v>0</v>
      </c>
      <c r="E18" s="485">
        <v>0</v>
      </c>
      <c r="F18" s="64"/>
      <c r="G18" s="26">
        <f t="shared" si="3"/>
        <v>9</v>
      </c>
      <c r="H18" s="39">
        <f t="shared" si="4"/>
        <v>53847.528640918157</v>
      </c>
      <c r="I18" s="31">
        <f t="shared" si="5"/>
        <v>0</v>
      </c>
      <c r="J18" s="31">
        <f t="shared" si="6"/>
        <v>0</v>
      </c>
      <c r="K18" s="229">
        <f t="shared" si="0"/>
        <v>53847.528640918157</v>
      </c>
      <c r="L18" s="31"/>
      <c r="M18" s="39">
        <f t="shared" si="7"/>
        <v>47116.587560803382</v>
      </c>
      <c r="N18" s="31">
        <f t="shared" si="8"/>
        <v>10148.188090019188</v>
      </c>
      <c r="O18" s="31">
        <f t="shared" si="9"/>
        <v>0</v>
      </c>
      <c r="P18" s="31">
        <f t="shared" si="10"/>
        <v>20710.587938814671</v>
      </c>
      <c r="Q18" s="229">
        <f t="shared" si="1"/>
        <v>77975.363589637243</v>
      </c>
      <c r="R18" s="229">
        <f t="shared" si="2"/>
        <v>131822.89223055542</v>
      </c>
    </row>
    <row r="19" spans="1:18" x14ac:dyDescent="0.5">
      <c r="A19" s="36"/>
      <c r="C19" s="22" t="s">
        <v>86</v>
      </c>
      <c r="D19" s="21">
        <f>SUM(D16:D18)</f>
        <v>26000000</v>
      </c>
      <c r="E19" s="21">
        <f>SUM(E16:E18)</f>
        <v>52000000</v>
      </c>
      <c r="F19" s="64"/>
      <c r="G19" s="26">
        <f t="shared" si="3"/>
        <v>10</v>
      </c>
      <c r="H19" s="39">
        <f t="shared" si="4"/>
        <v>54116.766284122743</v>
      </c>
      <c r="I19" s="31">
        <f t="shared" si="5"/>
        <v>0</v>
      </c>
      <c r="J19" s="31">
        <f t="shared" si="6"/>
        <v>0</v>
      </c>
      <c r="K19" s="229">
        <f t="shared" si="0"/>
        <v>54116.766284122743</v>
      </c>
      <c r="L19" s="31"/>
      <c r="M19" s="39">
        <f t="shared" si="7"/>
        <v>47352.170498607396</v>
      </c>
      <c r="N19" s="31">
        <f t="shared" si="8"/>
        <v>10198.929030469282</v>
      </c>
      <c r="O19" s="31">
        <f t="shared" si="9"/>
        <v>0</v>
      </c>
      <c r="P19" s="31">
        <f t="shared" si="10"/>
        <v>20814.140878508744</v>
      </c>
      <c r="Q19" s="229">
        <f t="shared" si="1"/>
        <v>78365.240407585428</v>
      </c>
      <c r="R19" s="229">
        <f t="shared" si="2"/>
        <v>132482.00669170817</v>
      </c>
    </row>
    <row r="20" spans="1:18" x14ac:dyDescent="0.5">
      <c r="A20" s="36" t="s">
        <v>69</v>
      </c>
      <c r="B20" s="20" t="s">
        <v>122</v>
      </c>
      <c r="C20" s="22"/>
      <c r="D20" s="21"/>
      <c r="E20" s="21"/>
      <c r="F20" s="64"/>
      <c r="G20" s="232"/>
      <c r="H20" s="29"/>
      <c r="I20" s="29"/>
      <c r="J20" s="227"/>
      <c r="K20" s="231"/>
      <c r="L20" s="29"/>
      <c r="M20" s="29"/>
      <c r="N20" s="29"/>
      <c r="O20" s="227"/>
      <c r="P20" s="227"/>
      <c r="Q20" s="231"/>
      <c r="R20" s="229"/>
    </row>
    <row r="21" spans="1:18" x14ac:dyDescent="0.5">
      <c r="B21" s="27" t="s">
        <v>85</v>
      </c>
      <c r="C21" s="22" t="s">
        <v>86</v>
      </c>
      <c r="D21" s="484">
        <f>Salary!V16</f>
        <v>45500000</v>
      </c>
      <c r="E21" s="484">
        <f>Salary!V22</f>
        <v>45500000</v>
      </c>
      <c r="F21" s="64"/>
      <c r="G21" s="20" t="s">
        <v>72</v>
      </c>
      <c r="H21" s="62">
        <f t="shared" ref="H21:J21" si="11">SUM(H10:H19)</f>
        <v>503470.0231086791</v>
      </c>
      <c r="I21" s="62">
        <f t="shared" si="11"/>
        <v>0</v>
      </c>
      <c r="J21" s="62">
        <f t="shared" si="11"/>
        <v>0</v>
      </c>
      <c r="K21" s="62">
        <f>SUM(K10:K19)</f>
        <v>503470.0231086791</v>
      </c>
      <c r="M21" s="62">
        <f t="shared" ref="M21:P21" si="12">SUM(M10:M19)</f>
        <v>463286.27022009419</v>
      </c>
      <c r="N21" s="62">
        <f t="shared" si="12"/>
        <v>93484.735124327985</v>
      </c>
      <c r="O21" s="62">
        <f t="shared" si="12"/>
        <v>0</v>
      </c>
      <c r="P21" s="62">
        <f t="shared" si="12"/>
        <v>193642.31658026116</v>
      </c>
      <c r="Q21" s="62">
        <f t="shared" ref="Q21:R21" si="13">SUM(Q10:Q19)</f>
        <v>750413.32192468329</v>
      </c>
      <c r="R21" s="62">
        <f t="shared" si="13"/>
        <v>1253883.3450333625</v>
      </c>
    </row>
    <row r="22" spans="1:18" x14ac:dyDescent="0.5">
      <c r="B22" s="27" t="s">
        <v>1098</v>
      </c>
      <c r="C22" s="22" t="s">
        <v>86</v>
      </c>
      <c r="D22" s="486">
        <f>D29*D30*D31</f>
        <v>3500000</v>
      </c>
      <c r="E22" s="486">
        <f>E29*E30*E31</f>
        <v>9800000</v>
      </c>
      <c r="F22" s="64"/>
      <c r="G22" s="20" t="s">
        <v>426</v>
      </c>
      <c r="H22" s="62">
        <f t="shared" ref="H22:J22" si="14">AVERAGE(H10:H19)</f>
        <v>50347.002310867909</v>
      </c>
      <c r="I22" s="62">
        <f t="shared" si="14"/>
        <v>0</v>
      </c>
      <c r="J22" s="62">
        <f t="shared" si="14"/>
        <v>0</v>
      </c>
      <c r="K22" s="62">
        <f>AVERAGE(K10:K19)</f>
        <v>50347.002310867909</v>
      </c>
      <c r="M22" s="62">
        <f t="shared" ref="M22:P22" si="15">AVERAGE(M10:M19)</f>
        <v>46328.627022009416</v>
      </c>
      <c r="N22" s="62">
        <f t="shared" si="15"/>
        <v>9348.4735124327981</v>
      </c>
      <c r="O22" s="62">
        <f t="shared" si="15"/>
        <v>0</v>
      </c>
      <c r="P22" s="62">
        <f t="shared" si="15"/>
        <v>19364.231658026118</v>
      </c>
      <c r="Q22" s="62">
        <f t="shared" ref="Q22:R22" si="16">AVERAGE(Q10:Q19)</f>
        <v>75041.332192468326</v>
      </c>
      <c r="R22" s="62">
        <f t="shared" si="16"/>
        <v>125388.33450333626</v>
      </c>
    </row>
    <row r="23" spans="1:18" x14ac:dyDescent="0.35">
      <c r="B23" s="27" t="s">
        <v>123</v>
      </c>
      <c r="C23" s="22" t="s">
        <v>86</v>
      </c>
      <c r="D23" s="485">
        <v>0</v>
      </c>
      <c r="E23" s="485">
        <v>0</v>
      </c>
      <c r="F23" s="64"/>
      <c r="G23" s="4" t="s">
        <v>436</v>
      </c>
      <c r="H23" s="136">
        <v>0</v>
      </c>
      <c r="I23" s="136">
        <v>0</v>
      </c>
      <c r="J23" s="136">
        <v>0</v>
      </c>
      <c r="K23" s="136">
        <v>0</v>
      </c>
      <c r="M23" s="136">
        <f>M22/$Q$22</f>
        <v>0.61737479424251585</v>
      </c>
      <c r="N23" s="136">
        <f>N22/$Q$22</f>
        <v>0.12457765926190575</v>
      </c>
      <c r="O23" s="136">
        <f>O22/$Q$22</f>
        <v>0</v>
      </c>
      <c r="P23" s="136">
        <f>P22/$Q$22</f>
        <v>0.25804754649557843</v>
      </c>
      <c r="Q23" s="136">
        <f>Q22/$Q$22</f>
        <v>1</v>
      </c>
    </row>
    <row r="24" spans="1:18" x14ac:dyDescent="0.5">
      <c r="B24" s="27" t="s">
        <v>124</v>
      </c>
      <c r="C24" s="22" t="s">
        <v>86</v>
      </c>
      <c r="D24" s="485">
        <v>10000000</v>
      </c>
      <c r="E24" s="485">
        <v>20000000</v>
      </c>
      <c r="F24" s="64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 x14ac:dyDescent="0.5">
      <c r="C25" s="22" t="s">
        <v>86</v>
      </c>
      <c r="D25" s="21">
        <f>SUM(D21:D24)</f>
        <v>59000000</v>
      </c>
      <c r="E25" s="21">
        <f>SUM(E21:E24)</f>
        <v>75300000</v>
      </c>
      <c r="F25" s="64"/>
      <c r="G25" s="42" t="s">
        <v>90</v>
      </c>
      <c r="H25" s="31"/>
      <c r="I25" s="31"/>
      <c r="J25" s="31"/>
    </row>
    <row r="26" spans="1:18" x14ac:dyDescent="0.5">
      <c r="A26" s="29"/>
      <c r="B26" s="29"/>
      <c r="C26" s="29"/>
      <c r="D26" s="29"/>
      <c r="E26" s="29"/>
      <c r="F26" s="64"/>
      <c r="G26" s="20" t="s">
        <v>91</v>
      </c>
      <c r="H26" s="43"/>
      <c r="I26" s="43"/>
      <c r="J26" s="43"/>
    </row>
    <row r="27" spans="1:18" x14ac:dyDescent="0.5">
      <c r="F27" s="64"/>
      <c r="G27" s="27" t="s">
        <v>85</v>
      </c>
      <c r="I27" s="322">
        <f>0.5/100</f>
        <v>5.0000000000000001E-3</v>
      </c>
      <c r="J27" s="488" t="s">
        <v>92</v>
      </c>
    </row>
    <row r="28" spans="1:18" x14ac:dyDescent="0.35">
      <c r="A28" s="4" t="s">
        <v>975</v>
      </c>
      <c r="B28" s="4"/>
      <c r="C28" s="4"/>
      <c r="D28" s="4"/>
      <c r="G28" s="27" t="s">
        <v>93</v>
      </c>
      <c r="I28" s="67">
        <f>I27</f>
        <v>5.0000000000000001E-3</v>
      </c>
      <c r="J28" s="488" t="s">
        <v>92</v>
      </c>
    </row>
    <row r="29" spans="1:18" x14ac:dyDescent="0.35">
      <c r="A29" s="4" t="s">
        <v>9</v>
      </c>
      <c r="B29" s="44" t="s">
        <v>976</v>
      </c>
      <c r="C29" s="71" t="s">
        <v>977</v>
      </c>
      <c r="D29" s="44">
        <f>Salary!L16</f>
        <v>5</v>
      </c>
      <c r="E29" s="21">
        <f>Salary!L22</f>
        <v>14</v>
      </c>
      <c r="G29" s="27" t="s">
        <v>125</v>
      </c>
      <c r="I29" s="67">
        <f t="shared" ref="I29:I30" si="17">I28</f>
        <v>5.0000000000000001E-3</v>
      </c>
      <c r="J29" s="488" t="s">
        <v>92</v>
      </c>
    </row>
    <row r="30" spans="1:18" x14ac:dyDescent="0.35">
      <c r="A30" s="4" t="s">
        <v>10</v>
      </c>
      <c r="B30" s="4" t="s">
        <v>978</v>
      </c>
      <c r="C30" s="71" t="s">
        <v>979</v>
      </c>
      <c r="D30" s="44">
        <f>Asumsi!C97</f>
        <v>2</v>
      </c>
      <c r="E30" s="21">
        <f>D30</f>
        <v>2</v>
      </c>
      <c r="G30" s="27" t="s">
        <v>126</v>
      </c>
      <c r="I30" s="67">
        <f t="shared" si="17"/>
        <v>5.0000000000000001E-3</v>
      </c>
      <c r="J30" s="488" t="s">
        <v>92</v>
      </c>
    </row>
    <row r="31" spans="1:18" x14ac:dyDescent="0.35">
      <c r="A31" s="4" t="s">
        <v>981</v>
      </c>
      <c r="B31" s="4" t="s">
        <v>980</v>
      </c>
      <c r="C31" s="71" t="s">
        <v>902</v>
      </c>
      <c r="D31" s="44">
        <f>Asumsi!C98</f>
        <v>350000</v>
      </c>
      <c r="E31" s="21">
        <f>D31</f>
        <v>350000</v>
      </c>
      <c r="G31" s="26"/>
      <c r="H31" s="39"/>
      <c r="I31" s="31"/>
      <c r="J31" s="267"/>
    </row>
    <row r="32" spans="1:18" x14ac:dyDescent="0.5">
      <c r="G32" s="26"/>
      <c r="H32" s="39"/>
      <c r="I32" s="31"/>
      <c r="J32" s="31"/>
    </row>
    <row r="33" spans="7:12" x14ac:dyDescent="0.5">
      <c r="G33" s="26"/>
      <c r="H33" s="39"/>
      <c r="I33" s="31"/>
      <c r="J33" s="31"/>
    </row>
    <row r="37" spans="7:12" x14ac:dyDescent="0.5">
      <c r="K37" s="43"/>
      <c r="L37" s="66"/>
    </row>
  </sheetData>
  <mergeCells count="4">
    <mergeCell ref="G8:G9"/>
    <mergeCell ref="H8:K8"/>
    <mergeCell ref="M8:Q8"/>
    <mergeCell ref="R8:R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38"/>
  <sheetViews>
    <sheetView showGridLines="0" zoomScale="90" zoomScaleNormal="90" workbookViewId="0">
      <pane ySplit="8" topLeftCell="A9" activePane="bottomLeft" state="frozen"/>
      <selection pane="bottomLeft" activeCell="A3" sqref="A3:A4"/>
    </sheetView>
  </sheetViews>
  <sheetFormatPr defaultColWidth="12.1796875" defaultRowHeight="10.5" x14ac:dyDescent="0.35"/>
  <cols>
    <col min="1" max="1" width="3.81640625" style="44" customWidth="1"/>
    <col min="2" max="2" width="32.1796875" style="44" customWidth="1"/>
    <col min="3" max="3" width="6.453125" style="44" customWidth="1"/>
    <col min="4" max="4" width="12.1796875" style="44"/>
    <col min="5" max="5" width="11" style="44" customWidth="1"/>
    <col min="6" max="6" width="9" style="44" customWidth="1"/>
    <col min="7" max="7" width="9.81640625" style="44" customWidth="1"/>
    <col min="8" max="8" width="12.54296875" style="44" customWidth="1"/>
    <col min="9" max="9" width="10.1796875" style="44" customWidth="1"/>
    <col min="10" max="10" width="12.1796875" style="44"/>
    <col min="11" max="11" width="18.1796875" style="44" customWidth="1"/>
    <col min="12" max="12" width="6.453125" style="45" bestFit="1" customWidth="1"/>
    <col min="13" max="14" width="9.1796875" style="46" bestFit="1" customWidth="1"/>
    <col min="15" max="15" width="11" style="44" bestFit="1" customWidth="1"/>
    <col min="16" max="16" width="1.81640625" style="44" customWidth="1"/>
    <col min="17" max="17" width="8.1796875" style="44" bestFit="1" customWidth="1"/>
    <col min="18" max="18" width="9.6328125" style="44" bestFit="1" customWidth="1"/>
    <col min="19" max="19" width="10" style="44" bestFit="1" customWidth="1"/>
    <col min="20" max="20" width="8.81640625" style="44" bestFit="1" customWidth="1"/>
    <col min="21" max="21" width="8.1796875" style="44" bestFit="1" customWidth="1"/>
    <col min="22" max="22" width="8.81640625" style="44" bestFit="1" customWidth="1"/>
    <col min="23" max="16384" width="12.1796875" style="44"/>
  </cols>
  <sheetData>
    <row r="1" spans="1:22" x14ac:dyDescent="0.35">
      <c r="A1" s="18" t="str">
        <f>Revenue!A1</f>
        <v>Peternakan Ayam Petelur</v>
      </c>
    </row>
    <row r="2" spans="1:22" x14ac:dyDescent="0.35">
      <c r="A2" s="18" t="str">
        <f>Revenue!A2</f>
        <v>Financial Pre-Feasibility Study</v>
      </c>
    </row>
    <row r="3" spans="1:22" x14ac:dyDescent="0.35">
      <c r="A3" s="47" t="s">
        <v>94</v>
      </c>
    </row>
    <row r="4" spans="1:22" x14ac:dyDescent="0.35">
      <c r="A4" s="10" t="str">
        <f>Asumsi!A4</f>
        <v>Case-3: pakan diproduksi, Jumlah peliharaan di naikkan dari 3.000 menjadi 12.000 ekor</v>
      </c>
    </row>
    <row r="5" spans="1:22" x14ac:dyDescent="0.35">
      <c r="A5" s="124"/>
    </row>
    <row r="6" spans="1:22" x14ac:dyDescent="0.35">
      <c r="A6" s="124"/>
    </row>
    <row r="7" spans="1:22" x14ac:dyDescent="0.35">
      <c r="E7" s="368" t="s">
        <v>910</v>
      </c>
      <c r="F7" s="21"/>
      <c r="G7" s="21"/>
      <c r="H7" s="21"/>
      <c r="I7" s="48"/>
    </row>
    <row r="8" spans="1:22" ht="24" customHeight="1" x14ac:dyDescent="0.35">
      <c r="A8" s="49" t="s">
        <v>95</v>
      </c>
      <c r="B8" s="50"/>
      <c r="C8" s="50"/>
      <c r="E8" s="51" t="s">
        <v>61</v>
      </c>
      <c r="F8" s="52" t="s">
        <v>64</v>
      </c>
      <c r="G8" s="52" t="s">
        <v>96</v>
      </c>
      <c r="H8" s="52" t="s">
        <v>97</v>
      </c>
      <c r="I8" s="52" t="s">
        <v>98</v>
      </c>
      <c r="K8" s="49" t="s">
        <v>94</v>
      </c>
      <c r="L8" s="53"/>
      <c r="M8" s="54"/>
      <c r="N8" s="54"/>
      <c r="O8" s="55"/>
      <c r="Q8" s="55"/>
      <c r="R8" s="55"/>
      <c r="S8" s="55"/>
      <c r="T8" s="55"/>
      <c r="U8" s="55"/>
      <c r="V8" s="55"/>
    </row>
    <row r="9" spans="1:22" x14ac:dyDescent="0.35">
      <c r="A9" s="44" t="s">
        <v>67</v>
      </c>
      <c r="B9" s="21" t="s">
        <v>99</v>
      </c>
      <c r="E9" s="56">
        <v>1</v>
      </c>
      <c r="F9" s="48">
        <f>R16/1000</f>
        <v>97500</v>
      </c>
      <c r="G9" s="48">
        <f>T16/1000</f>
        <v>26000</v>
      </c>
      <c r="H9" s="48">
        <f>V16/1000</f>
        <v>45500</v>
      </c>
      <c r="I9" s="48">
        <f t="shared" ref="I9:I16" si="0">SUM(F9:H9)</f>
        <v>169000</v>
      </c>
      <c r="K9" s="234" t="s">
        <v>100</v>
      </c>
      <c r="L9" s="235" t="s">
        <v>101</v>
      </c>
      <c r="M9" s="237" t="s">
        <v>102</v>
      </c>
      <c r="N9" s="655" t="s">
        <v>103</v>
      </c>
      <c r="O9" s="655"/>
      <c r="Q9" s="656" t="s">
        <v>64</v>
      </c>
      <c r="R9" s="656"/>
      <c r="S9" s="656" t="s">
        <v>104</v>
      </c>
      <c r="T9" s="656"/>
      <c r="U9" s="656" t="s">
        <v>105</v>
      </c>
      <c r="V9" s="656"/>
    </row>
    <row r="10" spans="1:22" x14ac:dyDescent="0.35">
      <c r="B10" s="44" t="s">
        <v>106</v>
      </c>
      <c r="E10" s="56">
        <f>E9+1</f>
        <v>2</v>
      </c>
      <c r="F10" s="48">
        <f>R22/1000</f>
        <v>357500</v>
      </c>
      <c r="G10" s="48">
        <f>T22/1000</f>
        <v>52000</v>
      </c>
      <c r="H10" s="48">
        <f>V22/1000</f>
        <v>45500</v>
      </c>
      <c r="I10" s="48">
        <f t="shared" si="0"/>
        <v>455000</v>
      </c>
      <c r="K10" s="234"/>
      <c r="L10" s="235"/>
      <c r="M10" s="237" t="s">
        <v>107</v>
      </c>
      <c r="N10" s="237" t="s">
        <v>108</v>
      </c>
      <c r="O10" s="238" t="s">
        <v>109</v>
      </c>
      <c r="Q10" s="235" t="s">
        <v>101</v>
      </c>
      <c r="R10" s="235" t="s">
        <v>86</v>
      </c>
      <c r="S10" s="235" t="s">
        <v>101</v>
      </c>
      <c r="T10" s="235" t="s">
        <v>86</v>
      </c>
      <c r="U10" s="235" t="s">
        <v>101</v>
      </c>
      <c r="V10" s="235" t="s">
        <v>86</v>
      </c>
    </row>
    <row r="11" spans="1:22" x14ac:dyDescent="0.35">
      <c r="A11" s="44" t="s">
        <v>68</v>
      </c>
      <c r="B11" s="44" t="s">
        <v>110</v>
      </c>
      <c r="C11" s="347">
        <f>PlantOVH!L26</f>
        <v>5.0000000000000001E-3</v>
      </c>
      <c r="E11" s="56">
        <f>E10+1</f>
        <v>3</v>
      </c>
      <c r="F11" s="48">
        <f t="shared" ref="F11:H18" si="1">F10*(1+$C$11)</f>
        <v>359287.49999999994</v>
      </c>
      <c r="G11" s="48">
        <f t="shared" si="1"/>
        <v>52259.999999999993</v>
      </c>
      <c r="H11" s="48">
        <f t="shared" si="1"/>
        <v>45727.499999999993</v>
      </c>
      <c r="I11" s="48">
        <f t="shared" si="0"/>
        <v>457274.99999999994</v>
      </c>
      <c r="K11" s="18" t="s">
        <v>1085</v>
      </c>
      <c r="P11" s="234"/>
    </row>
    <row r="12" spans="1:22" x14ac:dyDescent="0.35">
      <c r="E12" s="56">
        <f t="shared" ref="E12:E18" si="2">E11+1</f>
        <v>4</v>
      </c>
      <c r="F12" s="48">
        <f t="shared" si="1"/>
        <v>361083.93749999988</v>
      </c>
      <c r="G12" s="48">
        <f t="shared" si="1"/>
        <v>52521.299999999988</v>
      </c>
      <c r="H12" s="48">
        <f t="shared" si="1"/>
        <v>45956.13749999999</v>
      </c>
      <c r="I12" s="48">
        <f t="shared" si="0"/>
        <v>459561.37499999988</v>
      </c>
      <c r="K12" s="44" t="s">
        <v>1086</v>
      </c>
      <c r="L12" s="58">
        <v>1</v>
      </c>
      <c r="M12" s="57">
        <v>3500000</v>
      </c>
      <c r="N12" s="46">
        <f>L12*M12</f>
        <v>3500000</v>
      </c>
      <c r="O12" s="44">
        <f>N12*13</f>
        <v>45500000</v>
      </c>
      <c r="P12" s="234"/>
      <c r="Q12" s="45"/>
      <c r="S12" s="45"/>
      <c r="U12" s="45">
        <v>1</v>
      </c>
      <c r="V12" s="44">
        <f>ROUND(O12/L12*U12,0)</f>
        <v>45500000</v>
      </c>
    </row>
    <row r="13" spans="1:22" x14ac:dyDescent="0.35">
      <c r="E13" s="56">
        <f t="shared" si="2"/>
        <v>5</v>
      </c>
      <c r="F13" s="48">
        <f t="shared" si="1"/>
        <v>362889.35718749982</v>
      </c>
      <c r="G13" s="48">
        <f t="shared" si="1"/>
        <v>52783.906499999983</v>
      </c>
      <c r="H13" s="48">
        <f t="shared" si="1"/>
        <v>46185.918187499985</v>
      </c>
      <c r="I13" s="48">
        <f t="shared" si="0"/>
        <v>461859.18187499978</v>
      </c>
      <c r="K13" s="44" t="s">
        <v>1087</v>
      </c>
      <c r="L13" s="58">
        <v>1</v>
      </c>
      <c r="M13" s="57">
        <v>2000000</v>
      </c>
      <c r="N13" s="46">
        <f>L13*M13</f>
        <v>2000000</v>
      </c>
      <c r="O13" s="44">
        <f>N13*13</f>
        <v>26000000</v>
      </c>
      <c r="P13" s="234"/>
      <c r="Q13" s="58"/>
      <c r="S13" s="58">
        <v>1</v>
      </c>
      <c r="T13" s="44">
        <f>ROUND(O13/L13*S13,0)</f>
        <v>26000000</v>
      </c>
      <c r="U13" s="45"/>
    </row>
    <row r="14" spans="1:22" x14ac:dyDescent="0.35">
      <c r="E14" s="56">
        <f t="shared" si="2"/>
        <v>6</v>
      </c>
      <c r="F14" s="48">
        <f t="shared" si="1"/>
        <v>364703.80397343729</v>
      </c>
      <c r="G14" s="48">
        <f t="shared" si="1"/>
        <v>53047.826032499979</v>
      </c>
      <c r="H14" s="48">
        <f t="shared" si="1"/>
        <v>46416.847778437477</v>
      </c>
      <c r="I14" s="48">
        <f t="shared" si="0"/>
        <v>464168.47778437473</v>
      </c>
      <c r="K14" s="44" t="s">
        <v>1088</v>
      </c>
      <c r="L14" s="58">
        <v>1</v>
      </c>
      <c r="M14" s="57">
        <v>2500000</v>
      </c>
      <c r="N14" s="46">
        <f t="shared" ref="N14" si="3">L14*M14</f>
        <v>2500000</v>
      </c>
      <c r="O14" s="44">
        <f t="shared" ref="O14" si="4">N14*13</f>
        <v>32500000</v>
      </c>
      <c r="P14" s="234"/>
      <c r="Q14" s="58">
        <v>1</v>
      </c>
      <c r="R14" s="44">
        <f>ROUND(O14/L14*Q14,0)</f>
        <v>32500000</v>
      </c>
      <c r="T14" s="44">
        <f t="shared" ref="T14" si="5">ROUND(Q14/N14*S14,0)</f>
        <v>0</v>
      </c>
      <c r="U14" s="45">
        <v>0</v>
      </c>
      <c r="V14" s="44">
        <f t="shared" ref="V14" si="6">ROUND(O14/L14*U14,0)</f>
        <v>0</v>
      </c>
    </row>
    <row r="15" spans="1:22" x14ac:dyDescent="0.35">
      <c r="E15" s="56">
        <f t="shared" si="2"/>
        <v>7</v>
      </c>
      <c r="F15" s="48">
        <f t="shared" si="1"/>
        <v>366527.32299330441</v>
      </c>
      <c r="G15" s="48">
        <f t="shared" si="1"/>
        <v>53313.065162662475</v>
      </c>
      <c r="H15" s="48">
        <f t="shared" si="1"/>
        <v>46648.932017329658</v>
      </c>
      <c r="I15" s="48">
        <f t="shared" si="0"/>
        <v>466489.32017329655</v>
      </c>
      <c r="K15" s="44" t="s">
        <v>1089</v>
      </c>
      <c r="L15" s="58">
        <v>2</v>
      </c>
      <c r="M15" s="57">
        <v>2500000</v>
      </c>
      <c r="N15" s="46">
        <f>L15*M15</f>
        <v>5000000</v>
      </c>
      <c r="O15" s="168">
        <f>N15*13</f>
        <v>65000000</v>
      </c>
      <c r="P15" s="234"/>
      <c r="Q15" s="58">
        <v>2</v>
      </c>
      <c r="R15" s="44">
        <f>ROUND(O15/L15*Q15,0)</f>
        <v>65000000</v>
      </c>
      <c r="S15" s="58"/>
      <c r="U15" s="45"/>
    </row>
    <row r="16" spans="1:22" x14ac:dyDescent="0.35">
      <c r="E16" s="56">
        <f t="shared" si="2"/>
        <v>8</v>
      </c>
      <c r="F16" s="48">
        <f t="shared" si="1"/>
        <v>368359.9596082709</v>
      </c>
      <c r="G16" s="48">
        <f t="shared" si="1"/>
        <v>53579.630488475785</v>
      </c>
      <c r="H16" s="48">
        <f t="shared" si="1"/>
        <v>46882.176677416304</v>
      </c>
      <c r="I16" s="48">
        <f t="shared" si="0"/>
        <v>468821.766774163</v>
      </c>
      <c r="K16" s="462" t="s">
        <v>29</v>
      </c>
      <c r="L16" s="59">
        <f>SUM(L12:L15)</f>
        <v>5</v>
      </c>
      <c r="O16" s="60">
        <f>SUM(O12:O15)</f>
        <v>169000000</v>
      </c>
      <c r="P16" s="234"/>
      <c r="R16" s="60">
        <f>SUM(R12:R15)</f>
        <v>97500000</v>
      </c>
      <c r="T16" s="60">
        <f>SUM(T12:T15)</f>
        <v>26000000</v>
      </c>
      <c r="V16" s="60">
        <f>SUM(V12:V15)</f>
        <v>45500000</v>
      </c>
    </row>
    <row r="17" spans="5:22" x14ac:dyDescent="0.35">
      <c r="E17" s="56">
        <f t="shared" si="2"/>
        <v>9</v>
      </c>
      <c r="F17" s="48">
        <f t="shared" si="1"/>
        <v>370201.75940631219</v>
      </c>
      <c r="G17" s="48">
        <f t="shared" si="1"/>
        <v>53847.528640918157</v>
      </c>
      <c r="H17" s="48">
        <f t="shared" si="1"/>
        <v>47116.587560803382</v>
      </c>
      <c r="I17" s="48">
        <f t="shared" ref="I17:I18" si="7">SUM(F17:H17)</f>
        <v>471165.87560803373</v>
      </c>
      <c r="J17" s="45"/>
      <c r="K17" s="18" t="s">
        <v>1090</v>
      </c>
      <c r="P17" s="234"/>
    </row>
    <row r="18" spans="5:22" x14ac:dyDescent="0.35">
      <c r="E18" s="56">
        <f t="shared" si="2"/>
        <v>10</v>
      </c>
      <c r="F18" s="48">
        <f t="shared" si="1"/>
        <v>372052.76820334373</v>
      </c>
      <c r="G18" s="48">
        <f t="shared" si="1"/>
        <v>54116.766284122743</v>
      </c>
      <c r="H18" s="48">
        <f t="shared" si="1"/>
        <v>47352.170498607396</v>
      </c>
      <c r="I18" s="48">
        <f t="shared" si="7"/>
        <v>473521.70498607383</v>
      </c>
      <c r="J18" s="45"/>
      <c r="K18" s="44" t="s">
        <v>1086</v>
      </c>
      <c r="L18" s="58">
        <v>1</v>
      </c>
      <c r="M18" s="57">
        <v>3500000</v>
      </c>
      <c r="N18" s="46">
        <f>L18*M18</f>
        <v>3500000</v>
      </c>
      <c r="O18" s="44">
        <f>N18*13</f>
        <v>45500000</v>
      </c>
      <c r="P18" s="234"/>
      <c r="Q18" s="45"/>
      <c r="S18" s="45"/>
      <c r="U18" s="45">
        <v>1</v>
      </c>
      <c r="V18" s="44">
        <f>ROUND(O18/L18*U18,0)</f>
        <v>45500000</v>
      </c>
    </row>
    <row r="19" spans="5:22" x14ac:dyDescent="0.35">
      <c r="E19" s="234"/>
      <c r="F19" s="234"/>
      <c r="G19" s="234"/>
      <c r="H19" s="234"/>
      <c r="I19" s="234"/>
      <c r="J19" s="45"/>
      <c r="K19" s="44" t="s">
        <v>1087</v>
      </c>
      <c r="L19" s="58">
        <v>2</v>
      </c>
      <c r="M19" s="57">
        <v>2000000</v>
      </c>
      <c r="N19" s="46">
        <f>L19*M19</f>
        <v>4000000</v>
      </c>
      <c r="O19" s="44">
        <f>N19*13</f>
        <v>52000000</v>
      </c>
      <c r="P19" s="234"/>
      <c r="Q19" s="58"/>
      <c r="S19" s="58">
        <v>2</v>
      </c>
      <c r="T19" s="44">
        <f>ROUND(O19/L19*S19,0)</f>
        <v>52000000</v>
      </c>
      <c r="U19" s="45"/>
    </row>
    <row r="20" spans="5:22" x14ac:dyDescent="0.35">
      <c r="J20" s="45"/>
      <c r="K20" s="44" t="s">
        <v>1088</v>
      </c>
      <c r="L20" s="58">
        <v>3</v>
      </c>
      <c r="M20" s="57">
        <v>2500000</v>
      </c>
      <c r="N20" s="46">
        <f t="shared" ref="N20" si="8">L20*M20</f>
        <v>7500000</v>
      </c>
      <c r="O20" s="44">
        <f t="shared" ref="O20" si="9">N20*13</f>
        <v>97500000</v>
      </c>
      <c r="P20" s="234"/>
      <c r="Q20" s="58">
        <v>3</v>
      </c>
      <c r="R20" s="44">
        <f>ROUND(O20/L20*Q20,0)</f>
        <v>97500000</v>
      </c>
      <c r="T20" s="44">
        <f t="shared" ref="T20" si="10">ROUND(Q20/N20*S20,0)</f>
        <v>0</v>
      </c>
      <c r="U20" s="45">
        <v>0</v>
      </c>
      <c r="V20" s="44">
        <f t="shared" ref="V20" si="11">ROUND(O20/L20*U20,0)</f>
        <v>0</v>
      </c>
    </row>
    <row r="21" spans="5:22" x14ac:dyDescent="0.35">
      <c r="J21" s="45"/>
      <c r="K21" s="44" t="s">
        <v>1089</v>
      </c>
      <c r="L21" s="58">
        <v>8</v>
      </c>
      <c r="M21" s="57">
        <v>2500000</v>
      </c>
      <c r="N21" s="46">
        <f>L21*M21</f>
        <v>20000000</v>
      </c>
      <c r="O21" s="168">
        <f>N21*13</f>
        <v>260000000</v>
      </c>
      <c r="P21" s="234"/>
      <c r="Q21" s="58">
        <v>8</v>
      </c>
      <c r="R21" s="44">
        <f>ROUND(O21/L21*Q21,0)</f>
        <v>260000000</v>
      </c>
      <c r="S21" s="58"/>
      <c r="U21" s="45"/>
    </row>
    <row r="22" spans="5:22" x14ac:dyDescent="0.35">
      <c r="J22" s="45"/>
      <c r="K22" s="462" t="s">
        <v>29</v>
      </c>
      <c r="L22" s="59">
        <f>SUM(L18:L21)</f>
        <v>14</v>
      </c>
      <c r="O22" s="60">
        <f>SUM(O18:O21)</f>
        <v>455000000</v>
      </c>
      <c r="P22" s="234"/>
      <c r="R22" s="60">
        <f>SUM(R18:R21)</f>
        <v>357500000</v>
      </c>
      <c r="T22" s="60">
        <f>SUM(T18:T21)</f>
        <v>52000000</v>
      </c>
      <c r="V22" s="60">
        <f>SUM(V18:V21)</f>
        <v>45500000</v>
      </c>
    </row>
    <row r="23" spans="5:22" x14ac:dyDescent="0.35">
      <c r="K23" s="234"/>
      <c r="L23" s="235"/>
      <c r="M23" s="236"/>
      <c r="N23" s="236"/>
      <c r="O23" s="234"/>
      <c r="P23" s="234"/>
      <c r="Q23" s="234"/>
      <c r="R23" s="234"/>
      <c r="S23" s="234"/>
      <c r="T23" s="234"/>
      <c r="U23" s="234"/>
      <c r="V23" s="234"/>
    </row>
    <row r="26" spans="5:22" x14ac:dyDescent="0.35">
      <c r="L26" s="44"/>
      <c r="M26" s="44"/>
      <c r="N26" s="44"/>
    </row>
    <row r="28" spans="5:22" x14ac:dyDescent="0.35">
      <c r="J28" s="45"/>
    </row>
    <row r="29" spans="5:22" x14ac:dyDescent="0.35">
      <c r="J29" s="45"/>
    </row>
    <row r="30" spans="5:22" x14ac:dyDescent="0.35">
      <c r="J30" s="45"/>
    </row>
    <row r="31" spans="5:22" x14ac:dyDescent="0.35">
      <c r="J31" s="45"/>
    </row>
    <row r="32" spans="5:22" x14ac:dyDescent="0.35">
      <c r="J32" s="45"/>
    </row>
    <row r="33" spans="10:10" x14ac:dyDescent="0.35">
      <c r="J33" s="45"/>
    </row>
    <row r="34" spans="10:10" x14ac:dyDescent="0.35">
      <c r="J34" s="45"/>
    </row>
    <row r="35" spans="10:10" x14ac:dyDescent="0.35">
      <c r="J35" s="45"/>
    </row>
    <row r="36" spans="10:10" x14ac:dyDescent="0.35">
      <c r="J36" s="45"/>
    </row>
    <row r="37" spans="10:10" x14ac:dyDescent="0.35">
      <c r="J37" s="45"/>
    </row>
    <row r="38" spans="10:10" x14ac:dyDescent="0.35">
      <c r="J38" s="45"/>
    </row>
  </sheetData>
  <mergeCells count="4">
    <mergeCell ref="N9:O9"/>
    <mergeCell ref="Q9:R9"/>
    <mergeCell ref="S9:T9"/>
    <mergeCell ref="U9:V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26"/>
  <sheetViews>
    <sheetView showGridLines="0" zoomScale="90" zoomScaleNormal="90" workbookViewId="0">
      <pane ySplit="9" topLeftCell="A10" activePane="bottomLeft" state="frozen"/>
      <selection pane="bottomLeft" activeCell="H7" sqref="H7"/>
    </sheetView>
  </sheetViews>
  <sheetFormatPr defaultColWidth="12" defaultRowHeight="10.5" x14ac:dyDescent="0.5"/>
  <cols>
    <col min="1" max="1" width="4.1796875" style="20" customWidth="1"/>
    <col min="2" max="2" width="35.08984375" style="20" bestFit="1" customWidth="1"/>
    <col min="3" max="3" width="4.6328125" style="20" bestFit="1" customWidth="1"/>
    <col min="4" max="4" width="10.81640625" style="20" bestFit="1" customWidth="1"/>
    <col min="5" max="5" width="12.08984375" style="20" bestFit="1" customWidth="1"/>
    <col min="6" max="6" width="5.08984375" style="20" customWidth="1"/>
    <col min="7" max="7" width="12" style="20"/>
    <col min="8" max="8" width="10.81640625" style="20" customWidth="1"/>
    <col min="9" max="11" width="8.81640625" style="20" customWidth="1"/>
    <col min="12" max="12" width="15" style="20" bestFit="1" customWidth="1"/>
    <col min="13" max="13" width="12" style="20"/>
    <col min="14" max="14" width="3.1796875" style="20" customWidth="1"/>
    <col min="15" max="15" width="7.1796875" style="20" customWidth="1"/>
    <col min="16" max="16" width="7" style="20" customWidth="1"/>
    <col min="17" max="17" width="13" style="20" bestFit="1" customWidth="1"/>
    <col min="18" max="16384" width="12" style="20"/>
  </cols>
  <sheetData>
    <row r="1" spans="1:17" x14ac:dyDescent="0.35">
      <c r="A1" s="18" t="str">
        <f>Salary!A1</f>
        <v>Peternakan Ayam Petelur</v>
      </c>
      <c r="B1" s="18"/>
      <c r="C1" s="18"/>
      <c r="D1" s="18"/>
      <c r="E1" s="18"/>
      <c r="F1" s="18"/>
    </row>
    <row r="2" spans="1:17" x14ac:dyDescent="0.35">
      <c r="A2" s="18" t="str">
        <f>Salary!A2</f>
        <v>Financial Pre-Feasibility Study</v>
      </c>
      <c r="B2" s="18"/>
      <c r="C2" s="18"/>
      <c r="D2" s="18"/>
      <c r="E2" s="18"/>
      <c r="F2" s="18"/>
    </row>
    <row r="3" spans="1:17" x14ac:dyDescent="0.5">
      <c r="A3" s="529" t="s">
        <v>144</v>
      </c>
      <c r="B3" s="125"/>
      <c r="C3" s="125"/>
      <c r="D3" s="125"/>
      <c r="E3" s="125"/>
      <c r="F3" s="125"/>
    </row>
    <row r="4" spans="1:17" x14ac:dyDescent="0.35">
      <c r="A4" s="10" t="str">
        <f>Asumsi!A4</f>
        <v>Case-3: pakan diproduksi, Jumlah peliharaan di naikkan dari 3.000 menjadi 12.000 ekor</v>
      </c>
      <c r="B4" s="125"/>
      <c r="C4" s="125"/>
      <c r="D4" s="125"/>
      <c r="E4" s="125"/>
      <c r="F4" s="125"/>
    </row>
    <row r="5" spans="1:17" x14ac:dyDescent="0.35">
      <c r="A5" s="124"/>
      <c r="B5" s="125"/>
      <c r="C5" s="125"/>
      <c r="D5" s="125"/>
      <c r="E5" s="125"/>
      <c r="F5" s="125"/>
    </row>
    <row r="7" spans="1:17" x14ac:dyDescent="0.5">
      <c r="H7" s="368" t="s">
        <v>910</v>
      </c>
      <c r="K7" s="48"/>
    </row>
    <row r="8" spans="1:17" x14ac:dyDescent="0.5">
      <c r="A8" s="23" t="s">
        <v>428</v>
      </c>
      <c r="B8" s="23"/>
      <c r="C8" s="23"/>
      <c r="D8" s="23"/>
      <c r="E8" s="23"/>
      <c r="F8" s="23"/>
      <c r="H8" s="641" t="s">
        <v>61</v>
      </c>
      <c r="I8" s="641" t="s">
        <v>145</v>
      </c>
      <c r="J8" s="641"/>
      <c r="K8" s="641"/>
    </row>
    <row r="9" spans="1:17" x14ac:dyDescent="0.5">
      <c r="A9" s="70"/>
      <c r="B9" s="70"/>
      <c r="C9" s="70"/>
      <c r="D9" s="70"/>
      <c r="E9" s="70"/>
      <c r="F9" s="70"/>
      <c r="H9" s="641"/>
      <c r="I9" s="52" t="s">
        <v>1091</v>
      </c>
      <c r="J9" s="52" t="s">
        <v>1092</v>
      </c>
      <c r="K9" s="52" t="s">
        <v>29</v>
      </c>
    </row>
    <row r="10" spans="1:17" ht="10.5" customHeight="1" x14ac:dyDescent="0.5">
      <c r="A10" s="170" t="s">
        <v>67</v>
      </c>
      <c r="B10" s="657" t="s">
        <v>518</v>
      </c>
      <c r="C10" s="657"/>
      <c r="D10" s="657"/>
      <c r="E10" s="657"/>
      <c r="F10" s="657"/>
      <c r="G10" s="77"/>
      <c r="H10" s="26">
        <v>1</v>
      </c>
      <c r="I10" s="482">
        <f>D22/1000</f>
        <v>69758.754889999997</v>
      </c>
      <c r="J10" s="482"/>
      <c r="K10" s="482">
        <f>I10+J10</f>
        <v>69758.754889999997</v>
      </c>
    </row>
    <row r="11" spans="1:17" x14ac:dyDescent="0.5">
      <c r="D11" s="79" t="s">
        <v>1091</v>
      </c>
      <c r="E11" s="79" t="s">
        <v>1092</v>
      </c>
      <c r="G11" s="77"/>
      <c r="H11" s="26">
        <f t="shared" ref="H11:H19" si="0">H10+1</f>
        <v>2</v>
      </c>
      <c r="I11" s="482">
        <f>I10</f>
        <v>69758.754889999997</v>
      </c>
      <c r="J11" s="482">
        <f>E22/1000</f>
        <v>212353.2269811111</v>
      </c>
      <c r="K11" s="482">
        <f t="shared" ref="K11:K19" si="1">I11+J11</f>
        <v>282111.98187111109</v>
      </c>
      <c r="Q11" s="78"/>
    </row>
    <row r="12" spans="1:17" x14ac:dyDescent="0.5">
      <c r="A12" s="172" t="s">
        <v>68</v>
      </c>
      <c r="B12" s="267" t="s">
        <v>1057</v>
      </c>
      <c r="C12" s="20" t="s">
        <v>147</v>
      </c>
      <c r="D12" s="458">
        <v>10</v>
      </c>
      <c r="E12" s="458">
        <v>9</v>
      </c>
      <c r="G12" s="79"/>
      <c r="H12" s="26">
        <f t="shared" si="0"/>
        <v>3</v>
      </c>
      <c r="I12" s="482">
        <f t="shared" ref="I12:J19" si="2">I11</f>
        <v>69758.754889999997</v>
      </c>
      <c r="J12" s="482">
        <f>J11</f>
        <v>212353.2269811111</v>
      </c>
      <c r="K12" s="482">
        <f t="shared" si="1"/>
        <v>282111.98187111109</v>
      </c>
    </row>
    <row r="13" spans="1:17" x14ac:dyDescent="0.5">
      <c r="A13" s="455" t="s">
        <v>69</v>
      </c>
      <c r="B13" s="454" t="s">
        <v>519</v>
      </c>
      <c r="C13" s="171"/>
      <c r="G13" s="79"/>
      <c r="H13" s="26">
        <f t="shared" si="0"/>
        <v>4</v>
      </c>
      <c r="I13" s="482">
        <f t="shared" si="2"/>
        <v>69758.754889999997</v>
      </c>
      <c r="J13" s="482">
        <f t="shared" si="2"/>
        <v>212353.2269811111</v>
      </c>
      <c r="K13" s="482">
        <f t="shared" si="1"/>
        <v>282111.98187111109</v>
      </c>
    </row>
    <row r="14" spans="1:17" x14ac:dyDescent="0.5">
      <c r="A14" s="79"/>
      <c r="B14" s="454" t="s">
        <v>1050</v>
      </c>
      <c r="C14" s="454" t="s">
        <v>24</v>
      </c>
      <c r="D14" s="454">
        <f>CapitalInvestment!E10</f>
        <v>14544340</v>
      </c>
      <c r="E14" s="454">
        <f>CapitalInvestment!H10</f>
        <v>43633020</v>
      </c>
      <c r="G14" s="79"/>
      <c r="H14" s="26">
        <f t="shared" si="0"/>
        <v>5</v>
      </c>
      <c r="I14" s="482">
        <f t="shared" si="2"/>
        <v>69758.754889999997</v>
      </c>
      <c r="J14" s="482">
        <f t="shared" si="2"/>
        <v>212353.2269811111</v>
      </c>
      <c r="K14" s="482">
        <f t="shared" si="1"/>
        <v>282111.98187111109</v>
      </c>
    </row>
    <row r="15" spans="1:17" x14ac:dyDescent="0.5">
      <c r="A15" s="27"/>
      <c r="B15" s="454" t="s">
        <v>1051</v>
      </c>
      <c r="C15" s="454" t="s">
        <v>24</v>
      </c>
      <c r="D15" s="454">
        <f>CapitalInvestment!E11</f>
        <v>428333703.41999996</v>
      </c>
      <c r="E15" s="454">
        <f>CapitalInvestment!H11</f>
        <v>1285001110.26</v>
      </c>
      <c r="G15" s="79"/>
      <c r="H15" s="26">
        <f t="shared" si="0"/>
        <v>6</v>
      </c>
      <c r="I15" s="482">
        <f t="shared" si="2"/>
        <v>69758.754889999997</v>
      </c>
      <c r="J15" s="482">
        <f t="shared" si="2"/>
        <v>212353.2269811111</v>
      </c>
      <c r="K15" s="482">
        <f t="shared" si="1"/>
        <v>282111.98187111109</v>
      </c>
    </row>
    <row r="16" spans="1:17" x14ac:dyDescent="0.5">
      <c r="B16" s="455" t="s">
        <v>1052</v>
      </c>
      <c r="C16" s="454" t="s">
        <v>24</v>
      </c>
      <c r="D16" s="454">
        <f>CapitalInvestment!E12</f>
        <v>76205835.120000005</v>
      </c>
      <c r="E16" s="454">
        <f>CapitalInvestment!H12</f>
        <v>228617505.36000001</v>
      </c>
      <c r="H16" s="26">
        <f t="shared" si="0"/>
        <v>7</v>
      </c>
      <c r="I16" s="482">
        <f t="shared" si="2"/>
        <v>69758.754889999997</v>
      </c>
      <c r="J16" s="482">
        <f t="shared" si="2"/>
        <v>212353.2269811111</v>
      </c>
      <c r="K16" s="482">
        <f t="shared" si="1"/>
        <v>282111.98187111109</v>
      </c>
    </row>
    <row r="17" spans="1:11" x14ac:dyDescent="0.5">
      <c r="B17" s="267" t="s">
        <v>1053</v>
      </c>
      <c r="C17" s="454" t="s">
        <v>24</v>
      </c>
      <c r="D17" s="454">
        <f>CapitalInvestment!E13</f>
        <v>41583603.870000005</v>
      </c>
      <c r="E17" s="454">
        <f>CapitalInvestment!H13</f>
        <v>83167207.74000001</v>
      </c>
      <c r="H17" s="26">
        <f t="shared" si="0"/>
        <v>8</v>
      </c>
      <c r="I17" s="482">
        <f t="shared" si="2"/>
        <v>69758.754889999997</v>
      </c>
      <c r="J17" s="482">
        <f t="shared" si="2"/>
        <v>212353.2269811111</v>
      </c>
      <c r="K17" s="482">
        <f t="shared" si="1"/>
        <v>282111.98187111109</v>
      </c>
    </row>
    <row r="18" spans="1:11" x14ac:dyDescent="0.5">
      <c r="A18" s="27"/>
      <c r="B18" s="267" t="s">
        <v>1054</v>
      </c>
      <c r="C18" s="454" t="s">
        <v>24</v>
      </c>
      <c r="D18" s="454">
        <f>CapitalInvestment!E14</f>
        <v>9299152.4900000002</v>
      </c>
      <c r="E18" s="454">
        <f>CapitalInvestment!H14</f>
        <v>27897457.469999999</v>
      </c>
      <c r="H18" s="26">
        <f t="shared" si="0"/>
        <v>9</v>
      </c>
      <c r="I18" s="482">
        <f t="shared" si="2"/>
        <v>69758.754889999997</v>
      </c>
      <c r="J18" s="482">
        <f t="shared" si="2"/>
        <v>212353.2269811111</v>
      </c>
      <c r="K18" s="482">
        <f t="shared" si="1"/>
        <v>282111.98187111109</v>
      </c>
    </row>
    <row r="19" spans="1:11" x14ac:dyDescent="0.5">
      <c r="A19" s="27"/>
      <c r="B19" s="455" t="s">
        <v>1055</v>
      </c>
      <c r="C19" s="454" t="s">
        <v>24</v>
      </c>
      <c r="D19" s="454">
        <f>CapitalInvestment!E15</f>
        <v>57620914</v>
      </c>
      <c r="E19" s="454">
        <f>CapitalInvestment!H15</f>
        <v>172862742</v>
      </c>
      <c r="H19" s="26">
        <f t="shared" si="0"/>
        <v>10</v>
      </c>
      <c r="I19" s="482">
        <f t="shared" si="2"/>
        <v>69758.754889999997</v>
      </c>
      <c r="J19" s="482">
        <f t="shared" si="2"/>
        <v>212353.2269811111</v>
      </c>
      <c r="K19" s="482">
        <f t="shared" si="1"/>
        <v>282111.98187111109</v>
      </c>
    </row>
    <row r="20" spans="1:11" x14ac:dyDescent="0.5">
      <c r="A20" s="27"/>
      <c r="B20" s="455" t="s">
        <v>1056</v>
      </c>
      <c r="C20" s="454" t="s">
        <v>24</v>
      </c>
      <c r="D20" s="456">
        <f>CapitalInvestment!E16</f>
        <v>70000000</v>
      </c>
      <c r="E20" s="456">
        <f>CapitalInvestment!H16</f>
        <v>70000000</v>
      </c>
    </row>
    <row r="21" spans="1:11" x14ac:dyDescent="0.5">
      <c r="B21" s="455"/>
      <c r="C21" s="455" t="s">
        <v>24</v>
      </c>
      <c r="D21" s="457">
        <f>SUM(D14:D20)</f>
        <v>697587548.89999998</v>
      </c>
      <c r="E21" s="457">
        <f>SUM(E14:E20)</f>
        <v>1911179042.8299999</v>
      </c>
      <c r="H21" s="29"/>
      <c r="I21" s="29"/>
      <c r="J21" s="29"/>
      <c r="K21" s="29"/>
    </row>
    <row r="22" spans="1:11" x14ac:dyDescent="0.5">
      <c r="A22" s="455" t="s">
        <v>971</v>
      </c>
      <c r="B22" s="267" t="s">
        <v>1058</v>
      </c>
      <c r="C22" s="267" t="s">
        <v>24</v>
      </c>
      <c r="D22" s="267">
        <f>D21/D12</f>
        <v>69758754.890000001</v>
      </c>
      <c r="E22" s="267">
        <f>E21/E12</f>
        <v>212353226.98111111</v>
      </c>
      <c r="I22" s="21">
        <f>SUM(I10:I19)</f>
        <v>697587.54889999994</v>
      </c>
      <c r="J22" s="21">
        <f>SUM(J10:J19)</f>
        <v>1911179.0428299999</v>
      </c>
    </row>
    <row r="24" spans="1:11" x14ac:dyDescent="0.5">
      <c r="H24" s="26"/>
    </row>
    <row r="25" spans="1:11" x14ac:dyDescent="0.5">
      <c r="H25" s="26"/>
    </row>
    <row r="26" spans="1:11" x14ac:dyDescent="0.5">
      <c r="H26" s="26"/>
    </row>
  </sheetData>
  <mergeCells count="3">
    <mergeCell ref="H8:H9"/>
    <mergeCell ref="B10:F10"/>
    <mergeCell ref="I8:K8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9"/>
  <sheetViews>
    <sheetView showGridLines="0" tabSelected="1" zoomScale="90" zoomScaleNormal="90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C17" sqref="AC17"/>
    </sheetView>
  </sheetViews>
  <sheetFormatPr defaultColWidth="12" defaultRowHeight="10.5" x14ac:dyDescent="0.5"/>
  <cols>
    <col min="1" max="1" width="5" style="121" customWidth="1"/>
    <col min="2" max="2" width="4.453125" style="122" customWidth="1"/>
    <col min="3" max="3" width="1.81640625" style="122" customWidth="1"/>
    <col min="4" max="4" width="11.1796875" style="19" customWidth="1"/>
    <col min="5" max="5" width="12.1796875" style="19" customWidth="1"/>
    <col min="6" max="6" width="13.54296875" style="19" customWidth="1"/>
    <col min="7" max="9" width="10.453125" style="19" customWidth="1"/>
    <col min="10" max="10" width="12.453125" style="19" customWidth="1"/>
    <col min="11" max="11" width="11.1796875" style="19" bestFit="1" customWidth="1"/>
    <col min="12" max="12" width="1.81640625" style="19" customWidth="1"/>
    <col min="13" max="13" width="8.1796875" style="19" customWidth="1"/>
    <col min="14" max="14" width="12.453125" style="19" customWidth="1"/>
    <col min="15" max="15" width="14.1796875" style="19" customWidth="1"/>
    <col min="16" max="16" width="1.81640625" style="19" customWidth="1"/>
    <col min="17" max="17" width="9" style="19" customWidth="1"/>
    <col min="18" max="18" width="9.81640625" style="19" bestFit="1" customWidth="1"/>
    <col min="19" max="19" width="13" style="19" bestFit="1" customWidth="1"/>
    <col min="20" max="20" width="1.81640625" style="19" customWidth="1"/>
    <col min="21" max="21" width="9.453125" style="19" customWidth="1"/>
    <col min="22" max="22" width="12" style="19"/>
    <col min="23" max="23" width="1.81640625" style="19" customWidth="1"/>
    <col min="24" max="25" width="10.81640625" style="19" customWidth="1"/>
    <col min="26" max="26" width="9.453125" style="19" customWidth="1"/>
    <col min="27" max="27" width="10.453125" style="19" customWidth="1"/>
    <col min="28" max="16384" width="12" style="19"/>
  </cols>
  <sheetData>
    <row r="1" spans="1:27" x14ac:dyDescent="0.35">
      <c r="A1" s="1" t="s">
        <v>0</v>
      </c>
      <c r="B1" s="269"/>
      <c r="C1" s="269"/>
      <c r="D1" s="270"/>
      <c r="E1" s="270"/>
      <c r="G1" s="270"/>
      <c r="H1" s="270"/>
      <c r="I1" s="270"/>
      <c r="J1" s="284"/>
      <c r="K1" s="270"/>
      <c r="L1" s="270"/>
      <c r="M1" s="270"/>
      <c r="N1" s="270"/>
      <c r="O1" s="270"/>
    </row>
    <row r="2" spans="1:27" x14ac:dyDescent="0.35">
      <c r="A2" s="1" t="s">
        <v>73</v>
      </c>
      <c r="B2" s="269"/>
      <c r="C2" s="269"/>
      <c r="D2" s="270"/>
      <c r="E2" s="270"/>
      <c r="G2" s="270"/>
      <c r="H2" s="270"/>
      <c r="I2" s="270"/>
      <c r="J2" s="284"/>
      <c r="K2" s="270"/>
      <c r="L2" s="270"/>
      <c r="M2" s="270"/>
      <c r="N2" s="270"/>
      <c r="O2" s="270"/>
      <c r="P2" s="270"/>
    </row>
    <row r="3" spans="1:27" x14ac:dyDescent="0.35">
      <c r="A3" s="7" t="s">
        <v>636</v>
      </c>
      <c r="B3" s="269"/>
      <c r="C3" s="269"/>
      <c r="D3" s="270"/>
      <c r="E3" s="270"/>
      <c r="G3" s="129"/>
      <c r="P3" s="112"/>
      <c r="Q3" s="285"/>
      <c r="R3" s="285"/>
    </row>
    <row r="4" spans="1:27" ht="10.5" customHeight="1" x14ac:dyDescent="0.35">
      <c r="A4" s="10" t="str">
        <f>Asumsi!A4</f>
        <v>Case-3: pakan diproduksi, Jumlah peliharaan di naikkan dari 3.000 menjadi 12.000 ekor</v>
      </c>
      <c r="B4" s="269"/>
      <c r="C4" s="269"/>
      <c r="D4" s="273"/>
      <c r="E4" s="273"/>
      <c r="F4" s="366"/>
      <c r="G4" s="273"/>
      <c r="H4" s="270"/>
      <c r="I4" s="270"/>
      <c r="J4" s="270"/>
      <c r="K4" s="270"/>
      <c r="L4" s="270"/>
      <c r="M4" s="270"/>
      <c r="N4" s="270"/>
      <c r="O4" s="270"/>
    </row>
    <row r="5" spans="1:27" ht="10.5" customHeight="1" x14ac:dyDescent="0.35">
      <c r="A5" s="124"/>
      <c r="B5" s="269"/>
      <c r="C5" s="269"/>
      <c r="D5" s="273"/>
      <c r="E5" s="273"/>
      <c r="F5" s="366"/>
      <c r="G5" s="273"/>
      <c r="H5" s="270"/>
      <c r="I5" s="270"/>
      <c r="J5" s="270"/>
      <c r="K5" s="270"/>
      <c r="L5" s="270"/>
      <c r="M5" s="270"/>
      <c r="N5" s="270"/>
      <c r="O5" s="270"/>
    </row>
    <row r="6" spans="1:27" ht="10.5" customHeight="1" x14ac:dyDescent="0.35">
      <c r="A6" s="124"/>
      <c r="B6" s="269"/>
      <c r="C6" s="269"/>
      <c r="D6" s="273"/>
      <c r="E6" s="273"/>
      <c r="G6" s="273"/>
      <c r="H6" s="270"/>
      <c r="I6" s="270"/>
      <c r="J6" s="270"/>
      <c r="K6" s="270"/>
      <c r="L6" s="270"/>
      <c r="M6" s="270"/>
      <c r="N6" s="270"/>
      <c r="O6" s="270"/>
      <c r="X6" s="271" t="s">
        <v>90</v>
      </c>
      <c r="Y6" s="272" t="s">
        <v>553</v>
      </c>
    </row>
    <row r="7" spans="1:27" x14ac:dyDescent="0.5">
      <c r="A7" s="368" t="s">
        <v>910</v>
      </c>
      <c r="B7" s="269"/>
      <c r="C7" s="269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X7" s="272"/>
      <c r="Y7" s="272" t="s">
        <v>554</v>
      </c>
    </row>
    <row r="8" spans="1:27" ht="37.5" customHeight="1" x14ac:dyDescent="0.35">
      <c r="A8" s="646" t="s">
        <v>269</v>
      </c>
      <c r="B8" s="646"/>
      <c r="C8" s="269"/>
      <c r="D8" s="643" t="s">
        <v>133</v>
      </c>
      <c r="E8" s="274"/>
      <c r="F8" s="643" t="s">
        <v>555</v>
      </c>
      <c r="G8" s="274"/>
      <c r="H8" s="643" t="s">
        <v>556</v>
      </c>
      <c r="I8" s="643" t="s">
        <v>557</v>
      </c>
      <c r="J8" s="643" t="s">
        <v>558</v>
      </c>
      <c r="K8" s="274"/>
      <c r="L8" s="269"/>
      <c r="M8" s="639" t="s">
        <v>540</v>
      </c>
      <c r="N8" s="639"/>
      <c r="O8" s="275">
        <f>Asumsi!C38/100</f>
        <v>0.09</v>
      </c>
      <c r="P8" s="269"/>
      <c r="Q8" s="640" t="s">
        <v>559</v>
      </c>
      <c r="R8" s="640"/>
      <c r="S8" s="276">
        <v>0.21026600222373543</v>
      </c>
      <c r="U8" s="641" t="s">
        <v>560</v>
      </c>
      <c r="V8" s="641"/>
      <c r="X8" s="642" t="s">
        <v>561</v>
      </c>
      <c r="Y8" s="642"/>
      <c r="Z8" s="642"/>
      <c r="AA8" s="642"/>
    </row>
    <row r="9" spans="1:27" ht="52.5" x14ac:dyDescent="0.35">
      <c r="A9" s="646"/>
      <c r="B9" s="646"/>
      <c r="C9" s="269"/>
      <c r="D9" s="643"/>
      <c r="E9" s="274" t="s">
        <v>145</v>
      </c>
      <c r="F9" s="643"/>
      <c r="G9" s="274" t="s">
        <v>619</v>
      </c>
      <c r="H9" s="643"/>
      <c r="I9" s="643"/>
      <c r="J9" s="643"/>
      <c r="K9" s="274" t="s">
        <v>562</v>
      </c>
      <c r="L9" s="269"/>
      <c r="M9" s="274" t="s">
        <v>563</v>
      </c>
      <c r="N9" s="274" t="s">
        <v>564</v>
      </c>
      <c r="O9" s="274" t="s">
        <v>565</v>
      </c>
      <c r="P9" s="269"/>
      <c r="Q9" s="274" t="s">
        <v>563</v>
      </c>
      <c r="R9" s="274" t="s">
        <v>564</v>
      </c>
      <c r="S9" s="274" t="s">
        <v>565</v>
      </c>
      <c r="U9" s="274" t="s">
        <v>566</v>
      </c>
      <c r="V9" s="274" t="s">
        <v>567</v>
      </c>
      <c r="X9" s="274" t="s">
        <v>563</v>
      </c>
      <c r="Y9" s="274" t="s">
        <v>568</v>
      </c>
      <c r="Z9" s="274" t="s">
        <v>569</v>
      </c>
      <c r="AA9" s="274" t="s">
        <v>570</v>
      </c>
    </row>
    <row r="10" spans="1:27" x14ac:dyDescent="0.5">
      <c r="A10" s="646"/>
      <c r="B10" s="646"/>
      <c r="C10" s="269"/>
      <c r="D10" s="277" t="s">
        <v>571</v>
      </c>
      <c r="E10" s="277" t="s">
        <v>572</v>
      </c>
      <c r="F10" s="277" t="s">
        <v>609</v>
      </c>
      <c r="G10" s="277" t="s">
        <v>573</v>
      </c>
      <c r="H10" s="277" t="s">
        <v>620</v>
      </c>
      <c r="I10" s="277" t="s">
        <v>621</v>
      </c>
      <c r="J10" s="277" t="s">
        <v>626</v>
      </c>
      <c r="K10" s="277" t="s">
        <v>627</v>
      </c>
      <c r="L10" s="278"/>
      <c r="M10" s="277" t="s">
        <v>628</v>
      </c>
      <c r="N10" s="277" t="s">
        <v>629</v>
      </c>
      <c r="O10" s="277" t="s">
        <v>574</v>
      </c>
      <c r="P10" s="278"/>
      <c r="Q10" s="277" t="s">
        <v>630</v>
      </c>
      <c r="R10" s="277" t="s">
        <v>631</v>
      </c>
      <c r="S10" s="277" t="s">
        <v>574</v>
      </c>
      <c r="T10" s="279"/>
      <c r="U10" s="280"/>
      <c r="V10" s="280"/>
      <c r="W10" s="279"/>
      <c r="X10" s="277" t="s">
        <v>628</v>
      </c>
      <c r="Y10" s="277" t="s">
        <v>575</v>
      </c>
      <c r="Z10" s="277" t="s">
        <v>576</v>
      </c>
      <c r="AA10" s="277" t="s">
        <v>632</v>
      </c>
    </row>
    <row r="11" spans="1:27" ht="10.5" customHeight="1" x14ac:dyDescent="0.35">
      <c r="A11" s="281"/>
      <c r="B11" s="74">
        <v>1</v>
      </c>
      <c r="C11" s="282"/>
      <c r="D11" s="273"/>
      <c r="E11" s="273"/>
      <c r="F11" s="273"/>
      <c r="G11" s="273"/>
      <c r="H11" s="273"/>
      <c r="I11" s="273">
        <f>-1*(CapitalInvestment!AB10+CapitalInvestment!AB11)/1000</f>
        <v>-1340300</v>
      </c>
      <c r="J11" s="273">
        <f>H11+I11</f>
        <v>-1340300</v>
      </c>
      <c r="K11" s="273">
        <f>J11</f>
        <v>-1340300</v>
      </c>
      <c r="L11" s="316"/>
      <c r="M11" s="283">
        <f>1/(1+$O$8)^B11</f>
        <v>0.9174311926605504</v>
      </c>
      <c r="N11" s="273">
        <f>J11</f>
        <v>-1340300</v>
      </c>
      <c r="O11" s="273">
        <f>N11</f>
        <v>-1340300</v>
      </c>
      <c r="P11" s="316"/>
      <c r="Q11" s="283">
        <f>1/(1+$S$8)^B11</f>
        <v>0.82626463782557391</v>
      </c>
      <c r="R11" s="273">
        <f>J11*Q11</f>
        <v>-1107442.4940776166</v>
      </c>
      <c r="S11" s="273">
        <f>R11</f>
        <v>-1107442.4940776166</v>
      </c>
      <c r="T11" s="284"/>
      <c r="U11" s="284"/>
      <c r="V11" s="284">
        <f>-1*I11*M11</f>
        <v>1229633.0275229358</v>
      </c>
      <c r="W11" s="284"/>
      <c r="X11" s="283">
        <f>1/(1+$O$8)^B11</f>
        <v>0.9174311926605504</v>
      </c>
      <c r="Y11" s="273">
        <f>X11*I11</f>
        <v>-1229633.0275229358</v>
      </c>
      <c r="Z11" s="283"/>
      <c r="AA11" s="273"/>
    </row>
    <row r="12" spans="1:27" ht="10.5" customHeight="1" x14ac:dyDescent="0.35">
      <c r="A12" s="644" t="s">
        <v>577</v>
      </c>
      <c r="B12" s="74">
        <v>2</v>
      </c>
      <c r="C12" s="269"/>
      <c r="D12" s="284">
        <f>IncomeStatement!B17</f>
        <v>-49832.891140000196</v>
      </c>
      <c r="E12" s="284">
        <f>Depreciation!K10</f>
        <v>69758.754889999997</v>
      </c>
      <c r="F12" s="284">
        <f>IncomeStatement!B20</f>
        <v>0</v>
      </c>
      <c r="G12" s="284">
        <f>IncomeStatement!B18</f>
        <v>0</v>
      </c>
      <c r="H12" s="273">
        <f>D12+E12+F12</f>
        <v>19925.8637499998</v>
      </c>
      <c r="I12" s="273">
        <f>-1*(CapitalInvestment!AB12+CapitalInvestment!AB13)/1000</f>
        <v>-2690000</v>
      </c>
      <c r="J12" s="273">
        <f>H12+I12</f>
        <v>-2670074.13625</v>
      </c>
      <c r="K12" s="273">
        <f>J12+K11</f>
        <v>-4010374.13625</v>
      </c>
      <c r="L12" s="318"/>
      <c r="M12" s="283">
        <f t="shared" ref="M12:M21" si="0">1/(1+$O$8)^B12</f>
        <v>0.84167999326655996</v>
      </c>
      <c r="N12" s="273">
        <f>M12*J12</f>
        <v>-2247347.9810201158</v>
      </c>
      <c r="O12" s="273">
        <f>N12+O11</f>
        <v>-3587647.9810201158</v>
      </c>
      <c r="P12" s="318"/>
      <c r="Q12" s="283">
        <f t="shared" ref="Q12:Q21" si="1">1/(1+$S$8)^B12</f>
        <v>0.68271325172102681</v>
      </c>
      <c r="R12" s="273">
        <f t="shared" ref="R12" si="2">J12*Q12</f>
        <v>-1822894.9958954495</v>
      </c>
      <c r="S12" s="273">
        <f>R12+S11</f>
        <v>-2930337.4899730664</v>
      </c>
      <c r="T12" s="284"/>
      <c r="U12" s="284">
        <f t="shared" ref="U12:U20" si="3">H12*M12</f>
        <v>16771.200866930223</v>
      </c>
      <c r="V12" s="284">
        <f>-1*I12*M12</f>
        <v>2264119.1818870464</v>
      </c>
      <c r="W12" s="284"/>
      <c r="X12" s="283">
        <f t="shared" ref="X12:X21" si="4">1/(1+$O$8)^B12</f>
        <v>0.84167999326655996</v>
      </c>
      <c r="Y12" s="273">
        <f>X12*I12</f>
        <v>-2264119.1818870464</v>
      </c>
      <c r="Z12" s="283">
        <f t="shared" ref="Z12:Z21" si="5">(1+$O$8)^($B$21-B12)</f>
        <v>2.1718932794423105</v>
      </c>
      <c r="AA12" s="284">
        <f>H12*Z12</f>
        <v>43276.849565707722</v>
      </c>
    </row>
    <row r="13" spans="1:27" ht="10.5" customHeight="1" x14ac:dyDescent="0.35">
      <c r="A13" s="645"/>
      <c r="B13" s="74">
        <f t="shared" ref="B13:B21" si="6">B12+1</f>
        <v>3</v>
      </c>
      <c r="C13" s="74"/>
      <c r="D13" s="284">
        <f>IncomeStatement!C17</f>
        <v>253136.67587888893</v>
      </c>
      <c r="E13" s="284">
        <f>Depreciation!K11</f>
        <v>282111.98187111109</v>
      </c>
      <c r="F13" s="284">
        <f>IncomeStatement!C20</f>
        <v>0</v>
      </c>
      <c r="G13" s="284">
        <f>IncomeStatement!C18</f>
        <v>-317688</v>
      </c>
      <c r="H13" s="273">
        <f>D13+E13+F13+G13</f>
        <v>217560.65775000001</v>
      </c>
      <c r="I13" s="273"/>
      <c r="J13" s="273">
        <f>H13+I13</f>
        <v>217560.65775000001</v>
      </c>
      <c r="K13" s="273">
        <f>J13+K12</f>
        <v>-3792813.4785000002</v>
      </c>
      <c r="L13" s="318"/>
      <c r="M13" s="283">
        <f t="shared" si="0"/>
        <v>0.77218348006106419</v>
      </c>
      <c r="N13" s="273">
        <f>M13*J13</f>
        <v>167996.74582576915</v>
      </c>
      <c r="O13" s="273">
        <f t="shared" ref="O13:O19" si="7">N13+O12</f>
        <v>-3419651.2351943469</v>
      </c>
      <c r="P13" s="286"/>
      <c r="Q13" s="283">
        <f t="shared" si="1"/>
        <v>0.56410181767199408</v>
      </c>
      <c r="R13" s="273">
        <f>J13*Q13</f>
        <v>122726.36249068961</v>
      </c>
      <c r="S13" s="273">
        <f>R13+S12</f>
        <v>-2807611.127482377</v>
      </c>
      <c r="T13" s="284"/>
      <c r="U13" s="284">
        <f t="shared" si="3"/>
        <v>167996.74582576915</v>
      </c>
      <c r="V13" s="284">
        <f>-1*I13*M13</f>
        <v>0</v>
      </c>
      <c r="W13" s="284"/>
      <c r="X13" s="283">
        <f t="shared" si="4"/>
        <v>0.77218348006106419</v>
      </c>
      <c r="Y13" s="273">
        <f>X13*I13</f>
        <v>0</v>
      </c>
      <c r="Z13" s="283">
        <f t="shared" si="5"/>
        <v>1.9925626416901929</v>
      </c>
      <c r="AA13" s="284">
        <f t="shared" ref="AA13:AA20" si="8">H13*Z13</f>
        <v>433503.23893419595</v>
      </c>
    </row>
    <row r="14" spans="1:27" ht="10.5" customHeight="1" x14ac:dyDescent="0.35">
      <c r="A14" s="645"/>
      <c r="B14" s="74">
        <f t="shared" si="6"/>
        <v>4</v>
      </c>
      <c r="C14" s="74"/>
      <c r="D14" s="284">
        <f>IncomeStatement!D17</f>
        <v>1093785.4341288889</v>
      </c>
      <c r="E14" s="284">
        <f>Depreciation!K12</f>
        <v>282111.98187111109</v>
      </c>
      <c r="F14" s="284">
        <f>IncomeStatement!D20</f>
        <v>-94918.717754177778</v>
      </c>
      <c r="G14" s="284">
        <f>IncomeStatement!D18</f>
        <v>-230888</v>
      </c>
      <c r="H14" s="273">
        <f t="shared" ref="H14:H21" si="9">D14+E14+F14+G14</f>
        <v>1050090.6982458222</v>
      </c>
      <c r="I14" s="273"/>
      <c r="J14" s="273">
        <f t="shared" ref="J14:J20" si="10">H14+I14</f>
        <v>1050090.6982458222</v>
      </c>
      <c r="K14" s="273">
        <f t="shared" ref="K14:K20" si="11">J14+K13</f>
        <v>-2742722.7802541777</v>
      </c>
      <c r="L14" s="318"/>
      <c r="M14" s="283">
        <f t="shared" si="0"/>
        <v>0.7084252110651964</v>
      </c>
      <c r="N14" s="273">
        <f t="shared" ref="N14:N21" si="12">M14*J14</f>
        <v>743910.72454239603</v>
      </c>
      <c r="O14" s="273">
        <f t="shared" si="7"/>
        <v>-2675740.5106519507</v>
      </c>
      <c r="P14" s="286"/>
      <c r="Q14" s="283">
        <f t="shared" si="1"/>
        <v>0.46609738407549806</v>
      </c>
      <c r="R14" s="273">
        <f>J14*Q14</f>
        <v>489444.5274943909</v>
      </c>
      <c r="S14" s="273">
        <f t="shared" ref="S14:S20" si="13">R14+S13</f>
        <v>-2318166.599987986</v>
      </c>
      <c r="T14" s="284"/>
      <c r="U14" s="284">
        <f t="shared" si="3"/>
        <v>743910.72454239603</v>
      </c>
      <c r="V14" s="284">
        <f t="shared" ref="V14:V20" si="14">-1*I14*M14</f>
        <v>0</v>
      </c>
      <c r="W14" s="284"/>
      <c r="X14" s="283">
        <f t="shared" si="4"/>
        <v>0.7084252110651964</v>
      </c>
      <c r="Y14" s="273">
        <f t="shared" ref="Y14:Y20" si="15">X14*I14</f>
        <v>0</v>
      </c>
      <c r="Z14" s="283">
        <f t="shared" si="5"/>
        <v>1.8280391208166906</v>
      </c>
      <c r="AA14" s="284">
        <f t="shared" si="8"/>
        <v>1919606.8767990777</v>
      </c>
    </row>
    <row r="15" spans="1:27" ht="10.5" customHeight="1" x14ac:dyDescent="0.35">
      <c r="A15" s="645"/>
      <c r="B15" s="74">
        <f t="shared" si="6"/>
        <v>5</v>
      </c>
      <c r="C15" s="74"/>
      <c r="D15" s="284">
        <f>IncomeStatement!E17</f>
        <v>1540829.6141288879</v>
      </c>
      <c r="E15" s="284">
        <f>Depreciation!K13</f>
        <v>282111.98187111109</v>
      </c>
      <c r="F15" s="284">
        <f>IncomeStatement!E20</f>
        <v>-153641.57755417767</v>
      </c>
      <c r="G15" s="284">
        <f>IncomeStatement!E18</f>
        <v>-144088</v>
      </c>
      <c r="H15" s="273">
        <f t="shared" si="9"/>
        <v>1525212.0184458212</v>
      </c>
      <c r="I15" s="273"/>
      <c r="J15" s="273">
        <f>H15+I15</f>
        <v>1525212.0184458212</v>
      </c>
      <c r="K15" s="273">
        <f t="shared" si="11"/>
        <v>-1217510.7618083565</v>
      </c>
      <c r="L15" s="286"/>
      <c r="M15" s="283">
        <f t="shared" si="0"/>
        <v>0.64993138629834524</v>
      </c>
      <c r="N15" s="273">
        <f t="shared" si="12"/>
        <v>991283.16154738993</v>
      </c>
      <c r="O15" s="273">
        <f t="shared" si="7"/>
        <v>-1684457.3491045609</v>
      </c>
      <c r="P15" s="286"/>
      <c r="Q15" s="283">
        <f t="shared" si="1"/>
        <v>0.38511978624458876</v>
      </c>
      <c r="R15" s="273">
        <f>J15*Q15</f>
        <v>587389.32652153249</v>
      </c>
      <c r="S15" s="273">
        <f t="shared" si="13"/>
        <v>-1730777.2734664534</v>
      </c>
      <c r="T15" s="284"/>
      <c r="U15" s="284">
        <f t="shared" si="3"/>
        <v>991283.16154738993</v>
      </c>
      <c r="V15" s="284">
        <f t="shared" si="14"/>
        <v>0</v>
      </c>
      <c r="W15" s="284"/>
      <c r="X15" s="283">
        <f t="shared" si="4"/>
        <v>0.64993138629834524</v>
      </c>
      <c r="Y15" s="273">
        <f t="shared" si="15"/>
        <v>0</v>
      </c>
      <c r="Z15" s="283">
        <f t="shared" si="5"/>
        <v>1.6771001108410006</v>
      </c>
      <c r="AA15" s="284">
        <f t="shared" si="8"/>
        <v>2557933.2451915131</v>
      </c>
    </row>
    <row r="16" spans="1:27" ht="10.5" customHeight="1" x14ac:dyDescent="0.35">
      <c r="A16" s="645"/>
      <c r="B16" s="74">
        <f t="shared" si="6"/>
        <v>6</v>
      </c>
      <c r="C16" s="74"/>
      <c r="D16" s="284">
        <f>IncomeStatement!F17</f>
        <v>847975.86352888925</v>
      </c>
      <c r="E16" s="284">
        <f>Depreciation!K14</f>
        <v>282111.98187111109</v>
      </c>
      <c r="F16" s="284">
        <f>IncomeStatement!F20</f>
        <v>-86975.664988177814</v>
      </c>
      <c r="G16" s="284">
        <f>IncomeStatement!F18</f>
        <v>-57288</v>
      </c>
      <c r="H16" s="273">
        <f t="shared" si="9"/>
        <v>985824.18041182263</v>
      </c>
      <c r="I16" s="273"/>
      <c r="J16" s="273">
        <f t="shared" si="10"/>
        <v>985824.18041182263</v>
      </c>
      <c r="K16" s="273">
        <f t="shared" si="11"/>
        <v>-231686.58139653387</v>
      </c>
      <c r="L16" s="286"/>
      <c r="M16" s="283">
        <f t="shared" si="0"/>
        <v>0.5962673268792158</v>
      </c>
      <c r="N16" s="273">
        <f>M16*J16</f>
        <v>587814.74882705125</v>
      </c>
      <c r="O16" s="273">
        <f t="shared" si="7"/>
        <v>-1096642.6002775095</v>
      </c>
      <c r="P16" s="286"/>
      <c r="Q16" s="283">
        <f t="shared" si="1"/>
        <v>0.31821086070084759</v>
      </c>
      <c r="R16" s="273">
        <f t="shared" ref="R16:R21" si="16">J16*Q16</f>
        <v>313699.96094855375</v>
      </c>
      <c r="S16" s="273">
        <f t="shared" si="13"/>
        <v>-1417077.3125178996</v>
      </c>
      <c r="T16" s="284"/>
      <c r="U16" s="284">
        <f t="shared" si="3"/>
        <v>587814.74882705125</v>
      </c>
      <c r="V16" s="284">
        <f t="shared" si="14"/>
        <v>0</v>
      </c>
      <c r="W16" s="284"/>
      <c r="X16" s="283">
        <f t="shared" si="4"/>
        <v>0.5962673268792158</v>
      </c>
      <c r="Y16" s="273">
        <f t="shared" si="15"/>
        <v>0</v>
      </c>
      <c r="Z16" s="283">
        <f t="shared" si="5"/>
        <v>1.5386239549000005</v>
      </c>
      <c r="AA16" s="284">
        <f t="shared" si="8"/>
        <v>1516812.6993012901</v>
      </c>
    </row>
    <row r="17" spans="1:27" ht="10.5" customHeight="1" x14ac:dyDescent="0.35">
      <c r="A17" s="645"/>
      <c r="B17" s="74">
        <f t="shared" si="6"/>
        <v>7</v>
      </c>
      <c r="C17" s="74"/>
      <c r="D17" s="284">
        <f>IncomeStatement!G17</f>
        <v>1086440.4714258891</v>
      </c>
      <c r="E17" s="284">
        <f>Depreciation!K15</f>
        <v>282111.98187111109</v>
      </c>
      <c r="F17" s="284">
        <f>IncomeStatement!G20</f>
        <v>-117980.7718568478</v>
      </c>
      <c r="G17" s="284">
        <f>IncomeStatement!G18</f>
        <v>-13888</v>
      </c>
      <c r="H17" s="273">
        <f t="shared" si="9"/>
        <v>1236683.6814401522</v>
      </c>
      <c r="I17" s="273"/>
      <c r="J17" s="273">
        <f t="shared" si="10"/>
        <v>1236683.6814401522</v>
      </c>
      <c r="K17" s="273">
        <f t="shared" si="11"/>
        <v>1004997.1000436184</v>
      </c>
      <c r="L17" s="286"/>
      <c r="M17" s="283">
        <f t="shared" si="0"/>
        <v>0.54703424484331731</v>
      </c>
      <c r="N17" s="273">
        <f t="shared" si="12"/>
        <v>676508.32378666732</v>
      </c>
      <c r="O17" s="273">
        <f t="shared" si="7"/>
        <v>-420134.27649084223</v>
      </c>
      <c r="P17" s="286"/>
      <c r="Q17" s="283">
        <f t="shared" si="1"/>
        <v>0.26292638156914994</v>
      </c>
      <c r="R17" s="273">
        <f t="shared" si="16"/>
        <v>325156.76550667454</v>
      </c>
      <c r="S17" s="273">
        <f t="shared" si="13"/>
        <v>-1091920.547011225</v>
      </c>
      <c r="T17" s="284"/>
      <c r="U17" s="284">
        <f t="shared" si="3"/>
        <v>676508.32378666732</v>
      </c>
      <c r="V17" s="284">
        <f t="shared" si="14"/>
        <v>0</v>
      </c>
      <c r="W17" s="284"/>
      <c r="X17" s="283">
        <f t="shared" si="4"/>
        <v>0.54703424484331731</v>
      </c>
      <c r="Y17" s="273">
        <f t="shared" si="15"/>
        <v>0</v>
      </c>
      <c r="Z17" s="283">
        <f t="shared" si="5"/>
        <v>1.4115816100000003</v>
      </c>
      <c r="AA17" s="284">
        <f t="shared" si="8"/>
        <v>1745679.9421080176</v>
      </c>
    </row>
    <row r="18" spans="1:27" ht="10.5" customHeight="1" x14ac:dyDescent="0.35">
      <c r="A18" s="645"/>
      <c r="B18" s="74">
        <f t="shared" si="6"/>
        <v>8</v>
      </c>
      <c r="C18" s="74"/>
      <c r="D18" s="284">
        <f>IncomeStatement!H17</f>
        <v>1533447.9266123739</v>
      </c>
      <c r="E18" s="284">
        <f>Depreciation!K16</f>
        <v>282111.98187111109</v>
      </c>
      <c r="F18" s="284">
        <f>IncomeStatement!H20</f>
        <v>-168679.27192736114</v>
      </c>
      <c r="G18" s="284">
        <f>IncomeStatement!H18</f>
        <v>0</v>
      </c>
      <c r="H18" s="273">
        <f t="shared" si="9"/>
        <v>1646880.6365561238</v>
      </c>
      <c r="I18" s="273"/>
      <c r="J18" s="273">
        <f t="shared" si="10"/>
        <v>1646880.6365561238</v>
      </c>
      <c r="K18" s="273">
        <f t="shared" si="11"/>
        <v>2651877.7365997424</v>
      </c>
      <c r="L18" s="286"/>
      <c r="M18" s="283">
        <f t="shared" si="0"/>
        <v>0.50186627967276809</v>
      </c>
      <c r="N18" s="273">
        <f t="shared" si="12"/>
        <v>826513.858133542</v>
      </c>
      <c r="O18" s="273">
        <f t="shared" si="7"/>
        <v>406379.58164269978</v>
      </c>
      <c r="P18" s="286"/>
      <c r="Q18" s="283">
        <f t="shared" si="1"/>
        <v>0.21724677144202234</v>
      </c>
      <c r="R18" s="273">
        <f t="shared" si="16"/>
        <v>357779.50124220049</v>
      </c>
      <c r="S18" s="273">
        <f t="shared" si="13"/>
        <v>-734141.04576902452</v>
      </c>
      <c r="T18" s="284"/>
      <c r="U18" s="284">
        <f t="shared" si="3"/>
        <v>826513.858133542</v>
      </c>
      <c r="V18" s="284">
        <f t="shared" si="14"/>
        <v>0</v>
      </c>
      <c r="W18" s="284"/>
      <c r="X18" s="283">
        <f t="shared" si="4"/>
        <v>0.50186627967276809</v>
      </c>
      <c r="Y18" s="273">
        <f t="shared" si="15"/>
        <v>0</v>
      </c>
      <c r="Z18" s="283">
        <f t="shared" si="5"/>
        <v>1.2950290000000002</v>
      </c>
      <c r="AA18" s="284">
        <f t="shared" si="8"/>
        <v>2132758.1838786406</v>
      </c>
    </row>
    <row r="19" spans="1:27" ht="10.5" customHeight="1" x14ac:dyDescent="0.35">
      <c r="A19" s="645"/>
      <c r="B19" s="74">
        <f t="shared" si="6"/>
        <v>9</v>
      </c>
      <c r="C19" s="74"/>
      <c r="D19" s="284">
        <f>IncomeStatement!I17</f>
        <v>840557.26757479145</v>
      </c>
      <c r="E19" s="284">
        <f>Depreciation!K17</f>
        <v>282111.98187111109</v>
      </c>
      <c r="F19" s="284">
        <f>IncomeStatement!I20</f>
        <v>-92461.299433227061</v>
      </c>
      <c r="G19" s="284">
        <f>IncomeStatement!I18</f>
        <v>0</v>
      </c>
      <c r="H19" s="273">
        <f t="shared" si="9"/>
        <v>1030207.9500126756</v>
      </c>
      <c r="I19" s="273"/>
      <c r="J19" s="273">
        <f t="shared" si="10"/>
        <v>1030207.9500126756</v>
      </c>
      <c r="K19" s="273">
        <f t="shared" si="11"/>
        <v>3682085.6866124179</v>
      </c>
      <c r="L19" s="286"/>
      <c r="M19" s="283">
        <f t="shared" si="0"/>
        <v>0.46042777951630098</v>
      </c>
      <c r="N19" s="273">
        <f t="shared" si="12"/>
        <v>474336.35886437661</v>
      </c>
      <c r="O19" s="273">
        <f t="shared" si="7"/>
        <v>880715.94050707645</v>
      </c>
      <c r="P19" s="286"/>
      <c r="Q19" s="283">
        <f t="shared" si="1"/>
        <v>0.17950332492431784</v>
      </c>
      <c r="R19" s="273">
        <f t="shared" si="16"/>
        <v>184925.7523907407</v>
      </c>
      <c r="S19" s="273">
        <f t="shared" si="13"/>
        <v>-549215.29337828385</v>
      </c>
      <c r="T19" s="284"/>
      <c r="U19" s="284">
        <f t="shared" si="3"/>
        <v>474336.35886437661</v>
      </c>
      <c r="V19" s="284">
        <f t="shared" si="14"/>
        <v>0</v>
      </c>
      <c r="W19" s="284"/>
      <c r="X19" s="283">
        <f t="shared" si="4"/>
        <v>0.46042777951630098</v>
      </c>
      <c r="Y19" s="273">
        <f t="shared" si="15"/>
        <v>0</v>
      </c>
      <c r="Z19" s="283">
        <f t="shared" si="5"/>
        <v>1.1881000000000002</v>
      </c>
      <c r="AA19" s="284">
        <f t="shared" si="8"/>
        <v>1223990.0654100601</v>
      </c>
    </row>
    <row r="20" spans="1:27" ht="10.5" customHeight="1" x14ac:dyDescent="0.35">
      <c r="A20" s="645"/>
      <c r="B20" s="74">
        <f t="shared" si="6"/>
        <v>10</v>
      </c>
      <c r="C20" s="74"/>
      <c r="D20" s="284">
        <f>IncomeStatement!J17</f>
        <v>1078984.7824920211</v>
      </c>
      <c r="E20" s="284">
        <f>Depreciation!K18</f>
        <v>282111.98187111109</v>
      </c>
      <c r="F20" s="284">
        <f>IncomeStatement!J20</f>
        <v>-118688.32607412232</v>
      </c>
      <c r="G20" s="284">
        <f>IncomeStatement!J18</f>
        <v>0</v>
      </c>
      <c r="H20" s="273">
        <f t="shared" si="9"/>
        <v>1242408.43828901</v>
      </c>
      <c r="I20" s="273"/>
      <c r="J20" s="273">
        <f t="shared" si="10"/>
        <v>1242408.43828901</v>
      </c>
      <c r="K20" s="273">
        <f t="shared" si="11"/>
        <v>4924494.1249014279</v>
      </c>
      <c r="L20" s="286"/>
      <c r="M20" s="283">
        <f t="shared" si="0"/>
        <v>0.42241080689568894</v>
      </c>
      <c r="N20" s="273">
        <f t="shared" si="12"/>
        <v>524806.75091167341</v>
      </c>
      <c r="O20" s="273">
        <f>N20+O19</f>
        <v>1405522.6914187497</v>
      </c>
      <c r="P20" s="286"/>
      <c r="Q20" s="283">
        <f t="shared" si="1"/>
        <v>0.14831724975707777</v>
      </c>
      <c r="R20" s="273">
        <f t="shared" si="16"/>
        <v>184270.60264201203</v>
      </c>
      <c r="S20" s="273">
        <f t="shared" si="13"/>
        <v>-364944.69073627179</v>
      </c>
      <c r="T20" s="284"/>
      <c r="U20" s="284">
        <f t="shared" si="3"/>
        <v>524806.75091167341</v>
      </c>
      <c r="V20" s="284">
        <f t="shared" si="14"/>
        <v>0</v>
      </c>
      <c r="W20" s="284"/>
      <c r="X20" s="283">
        <f t="shared" si="4"/>
        <v>0.42241080689568894</v>
      </c>
      <c r="Y20" s="273">
        <f t="shared" si="15"/>
        <v>0</v>
      </c>
      <c r="Z20" s="283">
        <f t="shared" si="5"/>
        <v>1.0900000000000001</v>
      </c>
      <c r="AA20" s="284">
        <f t="shared" si="8"/>
        <v>1354225.1977350209</v>
      </c>
    </row>
    <row r="21" spans="1:27" ht="10.5" customHeight="1" x14ac:dyDescent="0.35">
      <c r="A21" s="645"/>
      <c r="B21" s="74">
        <f t="shared" si="6"/>
        <v>11</v>
      </c>
      <c r="C21" s="74"/>
      <c r="D21" s="284">
        <f>IncomeStatement!K17</f>
        <v>1882954.9592338363</v>
      </c>
      <c r="E21" s="284">
        <f>Depreciation!K19</f>
        <v>282111.98187111109</v>
      </c>
      <c r="F21" s="284">
        <f>IncomeStatement!K20</f>
        <v>-207125.04551572198</v>
      </c>
      <c r="G21" s="284">
        <f>IncomeStatement!K18</f>
        <v>0</v>
      </c>
      <c r="H21" s="273">
        <f t="shared" si="9"/>
        <v>1957941.8955892257</v>
      </c>
      <c r="I21" s="273">
        <f>(CapitalInvestment!AB11+CapitalInvestment!AB13)/1000</f>
        <v>1020000</v>
      </c>
      <c r="J21" s="273">
        <f>H21+I21</f>
        <v>2977941.8955892259</v>
      </c>
      <c r="K21" s="273">
        <f>J21+K20</f>
        <v>7902436.0204906538</v>
      </c>
      <c r="L21" s="286"/>
      <c r="M21" s="283">
        <f t="shared" si="0"/>
        <v>0.38753285036301738</v>
      </c>
      <c r="N21" s="273">
        <f t="shared" si="12"/>
        <v>1154050.3110131398</v>
      </c>
      <c r="O21" s="273">
        <f>N21+O20</f>
        <v>2559573.0024318895</v>
      </c>
      <c r="P21" s="286"/>
      <c r="Q21" s="283">
        <f t="shared" si="1"/>
        <v>0.12254929865381704</v>
      </c>
      <c r="R21" s="273">
        <f t="shared" si="16"/>
        <v>364944.69073627808</v>
      </c>
      <c r="S21" s="273">
        <f>R21+S20</f>
        <v>6.28642737865448E-9</v>
      </c>
      <c r="T21" s="284"/>
      <c r="U21" s="284">
        <f>(H21+I21)*M21</f>
        <v>1154050.3110131398</v>
      </c>
      <c r="V21" s="284">
        <f>I21*M21</f>
        <v>395283.50737027772</v>
      </c>
      <c r="W21" s="284"/>
      <c r="X21" s="283">
        <f t="shared" si="4"/>
        <v>0.38753285036301738</v>
      </c>
      <c r="Y21" s="273"/>
      <c r="Z21" s="283">
        <f t="shared" si="5"/>
        <v>1</v>
      </c>
      <c r="AA21" s="284">
        <f>(H21+I21)*Z21</f>
        <v>2977941.8955892259</v>
      </c>
    </row>
    <row r="22" spans="1:27" x14ac:dyDescent="0.5">
      <c r="A22" s="287"/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8"/>
      <c r="U22" s="289"/>
      <c r="V22" s="289"/>
      <c r="W22" s="289"/>
      <c r="X22" s="289"/>
      <c r="Y22" s="289"/>
      <c r="Z22" s="289"/>
      <c r="AA22" s="289"/>
    </row>
    <row r="23" spans="1:27" x14ac:dyDescent="0.5">
      <c r="F23" s="111"/>
      <c r="G23" s="111"/>
      <c r="J23" s="111"/>
      <c r="O23" s="317"/>
      <c r="Q23" s="317"/>
      <c r="S23" s="317"/>
    </row>
    <row r="24" spans="1:27" x14ac:dyDescent="0.5">
      <c r="A24" s="19"/>
      <c r="D24" s="290" t="s">
        <v>578</v>
      </c>
      <c r="E24" s="290"/>
      <c r="J24" s="130" t="s">
        <v>579</v>
      </c>
      <c r="O24" s="317"/>
      <c r="S24" s="317"/>
      <c r="U24" s="130" t="s">
        <v>580</v>
      </c>
    </row>
    <row r="25" spans="1:27" ht="10.5" customHeight="1" x14ac:dyDescent="0.35">
      <c r="A25" s="19"/>
      <c r="D25" s="291" t="s">
        <v>581</v>
      </c>
      <c r="E25" s="291"/>
      <c r="F25" s="449">
        <f>O8*100</f>
        <v>9</v>
      </c>
      <c r="G25" s="292" t="s">
        <v>148</v>
      </c>
      <c r="J25" s="293" t="s">
        <v>582</v>
      </c>
      <c r="N25" s="294">
        <f>-1*SUM(Y11:Y21)</f>
        <v>3493752.209409982</v>
      </c>
      <c r="O25" s="292" t="s">
        <v>633</v>
      </c>
      <c r="S25" s="317"/>
      <c r="U25" s="19" t="s">
        <v>583</v>
      </c>
      <c r="Z25" s="295">
        <f>B17</f>
        <v>7</v>
      </c>
      <c r="AA25" s="19" t="s">
        <v>31</v>
      </c>
    </row>
    <row r="26" spans="1:27" ht="10.5" customHeight="1" x14ac:dyDescent="0.35">
      <c r="A26" s="19"/>
      <c r="D26" s="291" t="s">
        <v>584</v>
      </c>
      <c r="E26" s="291"/>
      <c r="F26" s="296">
        <f>-1*(I11+I12)*1000</f>
        <v>4030300000</v>
      </c>
      <c r="G26" s="292" t="s">
        <v>24</v>
      </c>
      <c r="J26" s="293" t="s">
        <v>585</v>
      </c>
      <c r="N26" s="297">
        <f>SUM(AA12:AA21)</f>
        <v>15905728.194512751</v>
      </c>
      <c r="O26" s="292" t="s">
        <v>633</v>
      </c>
      <c r="U26" s="19" t="s">
        <v>586</v>
      </c>
      <c r="Z26" s="340">
        <f>O17</f>
        <v>-420134.27649084223</v>
      </c>
      <c r="AA26" s="292" t="s">
        <v>633</v>
      </c>
    </row>
    <row r="27" spans="1:27" ht="10.5" customHeight="1" x14ac:dyDescent="0.35">
      <c r="A27" s="19"/>
      <c r="D27" s="298" t="s">
        <v>587</v>
      </c>
      <c r="E27" s="298"/>
      <c r="F27" s="299">
        <f>O21*1000</f>
        <v>2559573002.4318895</v>
      </c>
      <c r="G27" s="292" t="s">
        <v>24</v>
      </c>
      <c r="J27" s="293" t="s">
        <v>581</v>
      </c>
      <c r="N27" s="300">
        <f>O8*100</f>
        <v>9</v>
      </c>
      <c r="O27" s="19" t="s">
        <v>205</v>
      </c>
      <c r="U27" s="19" t="s">
        <v>588</v>
      </c>
      <c r="Z27" s="340">
        <f>N18</f>
        <v>826513.858133542</v>
      </c>
      <c r="AA27" s="292" t="s">
        <v>633</v>
      </c>
    </row>
    <row r="28" spans="1:27" ht="10.5" customHeight="1" x14ac:dyDescent="0.35">
      <c r="A28" s="19"/>
      <c r="D28" s="291" t="s">
        <v>589</v>
      </c>
      <c r="E28" s="291"/>
      <c r="F28" s="301">
        <f>S8*100</f>
        <v>21.026600222373542</v>
      </c>
      <c r="G28" s="292" t="s">
        <v>205</v>
      </c>
      <c r="J28" s="293" t="s">
        <v>590</v>
      </c>
      <c r="N28" s="297">
        <f>B21</f>
        <v>11</v>
      </c>
      <c r="U28" s="19" t="s">
        <v>591</v>
      </c>
      <c r="Z28" s="302">
        <f>Z25-(Z26/Z27)</f>
        <v>7.5083209099961152</v>
      </c>
      <c r="AA28" s="19" t="s">
        <v>592</v>
      </c>
    </row>
    <row r="29" spans="1:27" ht="10.5" customHeight="1" x14ac:dyDescent="0.35">
      <c r="A29" s="19"/>
      <c r="D29" s="303" t="s">
        <v>593</v>
      </c>
      <c r="E29" s="303"/>
      <c r="F29" s="301">
        <f>N29</f>
        <v>14.773585899566744</v>
      </c>
      <c r="G29" s="292" t="s">
        <v>205</v>
      </c>
      <c r="J29" s="293" t="s">
        <v>594</v>
      </c>
      <c r="N29" s="304">
        <f>100*((N26/(N25))^(1/N28)-1)</f>
        <v>14.773585899566744</v>
      </c>
      <c r="O29" s="19" t="s">
        <v>205</v>
      </c>
    </row>
    <row r="30" spans="1:27" ht="10.5" customHeight="1" x14ac:dyDescent="0.35">
      <c r="A30" s="19"/>
      <c r="D30" s="291" t="s">
        <v>595</v>
      </c>
      <c r="E30" s="291"/>
      <c r="F30" s="301">
        <f>N35</f>
        <v>1.5849667200850797</v>
      </c>
      <c r="G30" s="292"/>
      <c r="J30" s="272" t="s">
        <v>596</v>
      </c>
      <c r="U30" s="290" t="s">
        <v>597</v>
      </c>
    </row>
    <row r="31" spans="1:27" ht="10.5" customHeight="1" x14ac:dyDescent="0.5">
      <c r="D31" s="291" t="s">
        <v>598</v>
      </c>
      <c r="E31" s="291"/>
      <c r="F31" s="301">
        <f>Z28-1</f>
        <v>6.5083209099961152</v>
      </c>
      <c r="G31" s="638" t="s">
        <v>889</v>
      </c>
      <c r="H31" s="638"/>
      <c r="U31" s="305" t="s">
        <v>599</v>
      </c>
    </row>
    <row r="32" spans="1:27" ht="10.5" customHeight="1" x14ac:dyDescent="0.5">
      <c r="G32" s="638"/>
      <c r="H32" s="638"/>
      <c r="J32" s="130" t="s">
        <v>600</v>
      </c>
      <c r="U32" s="305" t="s">
        <v>601</v>
      </c>
      <c r="X32" s="306">
        <f>IncomeStatement!M10</f>
        <v>5479715.4000000004</v>
      </c>
      <c r="Y32" s="305" t="s">
        <v>635</v>
      </c>
    </row>
    <row r="33" spans="1:25" ht="10.5" customHeight="1" x14ac:dyDescent="0.35">
      <c r="J33" s="19" t="s">
        <v>602</v>
      </c>
      <c r="N33" s="307">
        <f>SUM(U11:U21)</f>
        <v>6163992.1843189355</v>
      </c>
      <c r="O33" s="292" t="s">
        <v>633</v>
      </c>
      <c r="U33" s="305" t="s">
        <v>603</v>
      </c>
      <c r="X33" s="308">
        <f>-1*IncomeStatement!M11</f>
        <v>4343499.0551102171</v>
      </c>
      <c r="Y33" s="305" t="s">
        <v>635</v>
      </c>
    </row>
    <row r="34" spans="1:25" ht="10.5" customHeight="1" x14ac:dyDescent="0.5">
      <c r="A34" s="19"/>
      <c r="B34" s="19"/>
      <c r="E34" s="384"/>
      <c r="J34" s="19" t="s">
        <v>604</v>
      </c>
      <c r="N34" s="309">
        <f>SUM(V11:V21)</f>
        <v>3889035.7167802597</v>
      </c>
      <c r="O34" s="19" t="s">
        <v>634</v>
      </c>
      <c r="U34" s="305" t="s">
        <v>605</v>
      </c>
      <c r="X34" s="310">
        <f>100*(X32-X33)/X32</f>
        <v>20.734951762089381</v>
      </c>
      <c r="Y34" s="305" t="s">
        <v>205</v>
      </c>
    </row>
    <row r="35" spans="1:25" x14ac:dyDescent="0.5">
      <c r="A35" s="19"/>
      <c r="B35" s="19"/>
      <c r="C35" s="305"/>
      <c r="F35" s="446"/>
      <c r="J35" s="19" t="s">
        <v>595</v>
      </c>
      <c r="N35" s="311">
        <f>N33/N34</f>
        <v>1.5849667200850797</v>
      </c>
      <c r="U35" s="305" t="s">
        <v>606</v>
      </c>
      <c r="X35" s="312"/>
      <c r="Y35" s="305"/>
    </row>
    <row r="36" spans="1:25" x14ac:dyDescent="0.5">
      <c r="A36" s="19"/>
      <c r="B36" s="19"/>
      <c r="C36" s="305"/>
      <c r="U36" s="305" t="s">
        <v>601</v>
      </c>
      <c r="X36" s="306">
        <f>X32</f>
        <v>5479715.4000000004</v>
      </c>
      <c r="Y36" s="305" t="s">
        <v>635</v>
      </c>
    </row>
    <row r="37" spans="1:25" x14ac:dyDescent="0.5">
      <c r="A37" s="19"/>
      <c r="B37" s="19"/>
      <c r="C37" s="305"/>
      <c r="U37" s="305" t="s">
        <v>607</v>
      </c>
      <c r="X37" s="308">
        <f>IncomeStatement!M21</f>
        <v>830396.94287606538</v>
      </c>
      <c r="Y37" s="305" t="s">
        <v>635</v>
      </c>
    </row>
    <row r="38" spans="1:25" ht="10.5" customHeight="1" x14ac:dyDescent="0.35">
      <c r="A38" s="19"/>
      <c r="B38" s="19"/>
      <c r="C38" s="305"/>
      <c r="N38" s="441" t="s">
        <v>1115</v>
      </c>
      <c r="O38" s="441" t="s">
        <v>1114</v>
      </c>
      <c r="U38" s="305" t="s">
        <v>608</v>
      </c>
      <c r="X38" s="313">
        <f>100*X37/X36</f>
        <v>15.154015897907131</v>
      </c>
      <c r="Y38" s="4" t="s">
        <v>205</v>
      </c>
    </row>
    <row r="39" spans="1:25" x14ac:dyDescent="0.5">
      <c r="M39" s="19">
        <f>B11-1</f>
        <v>0</v>
      </c>
      <c r="N39" s="317">
        <f>K11</f>
        <v>-1340300</v>
      </c>
      <c r="O39" s="317">
        <f t="shared" ref="O39:O49" si="17">O11</f>
        <v>-1340300</v>
      </c>
    </row>
    <row r="40" spans="1:25" x14ac:dyDescent="0.5">
      <c r="M40" s="19">
        <f t="shared" ref="M40:M47" si="18">B12-1</f>
        <v>1</v>
      </c>
      <c r="N40" s="317">
        <f t="shared" ref="N39:N49" si="19">K12</f>
        <v>-4010374.13625</v>
      </c>
      <c r="O40" s="317">
        <f t="shared" si="17"/>
        <v>-3587647.9810201158</v>
      </c>
    </row>
    <row r="41" spans="1:25" x14ac:dyDescent="0.5">
      <c r="M41" s="19">
        <f t="shared" si="18"/>
        <v>2</v>
      </c>
      <c r="N41" s="317">
        <f t="shared" si="19"/>
        <v>-3792813.4785000002</v>
      </c>
      <c r="O41" s="317">
        <f t="shared" si="17"/>
        <v>-3419651.2351943469</v>
      </c>
    </row>
    <row r="42" spans="1:25" x14ac:dyDescent="0.5">
      <c r="M42" s="19">
        <f t="shared" si="18"/>
        <v>3</v>
      </c>
      <c r="N42" s="317">
        <f t="shared" si="19"/>
        <v>-2742722.7802541777</v>
      </c>
      <c r="O42" s="317">
        <f t="shared" si="17"/>
        <v>-2675740.5106519507</v>
      </c>
    </row>
    <row r="43" spans="1:25" x14ac:dyDescent="0.5">
      <c r="M43" s="19">
        <f t="shared" si="18"/>
        <v>4</v>
      </c>
      <c r="N43" s="317">
        <f t="shared" si="19"/>
        <v>-1217510.7618083565</v>
      </c>
      <c r="O43" s="317">
        <f t="shared" si="17"/>
        <v>-1684457.3491045609</v>
      </c>
    </row>
    <row r="44" spans="1:25" x14ac:dyDescent="0.5">
      <c r="M44" s="19">
        <f t="shared" si="18"/>
        <v>5</v>
      </c>
      <c r="N44" s="317">
        <f t="shared" si="19"/>
        <v>-231686.58139653387</v>
      </c>
      <c r="O44" s="317">
        <f t="shared" si="17"/>
        <v>-1096642.6002775095</v>
      </c>
    </row>
    <row r="45" spans="1:25" x14ac:dyDescent="0.5">
      <c r="M45" s="19">
        <f t="shared" si="18"/>
        <v>6</v>
      </c>
      <c r="N45" s="317">
        <f t="shared" si="19"/>
        <v>1004997.1000436184</v>
      </c>
      <c r="O45" s="317">
        <f t="shared" si="17"/>
        <v>-420134.27649084223</v>
      </c>
    </row>
    <row r="46" spans="1:25" x14ac:dyDescent="0.5">
      <c r="M46" s="19">
        <f t="shared" si="18"/>
        <v>7</v>
      </c>
      <c r="N46" s="317">
        <f t="shared" si="19"/>
        <v>2651877.7365997424</v>
      </c>
      <c r="O46" s="317">
        <f t="shared" si="17"/>
        <v>406379.58164269978</v>
      </c>
    </row>
    <row r="47" spans="1:25" x14ac:dyDescent="0.5">
      <c r="M47" s="19">
        <f t="shared" si="18"/>
        <v>8</v>
      </c>
      <c r="N47" s="317">
        <f t="shared" si="19"/>
        <v>3682085.6866124179</v>
      </c>
      <c r="O47" s="317">
        <f t="shared" si="17"/>
        <v>880715.94050707645</v>
      </c>
    </row>
    <row r="48" spans="1:25" x14ac:dyDescent="0.5">
      <c r="M48" s="19">
        <f>B20-1</f>
        <v>9</v>
      </c>
      <c r="N48" s="317">
        <f t="shared" si="19"/>
        <v>4924494.1249014279</v>
      </c>
      <c r="O48" s="317">
        <f t="shared" si="17"/>
        <v>1405522.6914187497</v>
      </c>
    </row>
    <row r="49" spans="13:15" x14ac:dyDescent="0.5">
      <c r="M49" s="19">
        <f t="shared" ref="M49" si="20">B21-1</f>
        <v>10</v>
      </c>
      <c r="N49" s="317">
        <f t="shared" si="19"/>
        <v>7902436.0204906538</v>
      </c>
      <c r="O49" s="317">
        <f t="shared" si="17"/>
        <v>2559573.0024318895</v>
      </c>
    </row>
  </sheetData>
  <mergeCells count="12">
    <mergeCell ref="A12:A21"/>
    <mergeCell ref="A8:B10"/>
    <mergeCell ref="D8:D9"/>
    <mergeCell ref="F8:F9"/>
    <mergeCell ref="H8:H9"/>
    <mergeCell ref="G31:H32"/>
    <mergeCell ref="M8:N8"/>
    <mergeCell ref="Q8:R8"/>
    <mergeCell ref="U8:V8"/>
    <mergeCell ref="X8:AA8"/>
    <mergeCell ref="I8:I9"/>
    <mergeCell ref="J8:J9"/>
  </mergeCells>
  <pageMargins left="0.7" right="0.7" top="0.75" bottom="0.75" header="0.3" footer="0.3"/>
  <pageSetup orientation="portrait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EE17-12E5-4BF2-AFFA-D8B51048FFE0}">
  <dimension ref="A2:AC93"/>
  <sheetViews>
    <sheetView showGridLines="0" topLeftCell="A39" workbookViewId="0">
      <selection activeCell="G61" sqref="G61"/>
    </sheetView>
  </sheetViews>
  <sheetFormatPr defaultColWidth="8.90625" defaultRowHeight="10.5" x14ac:dyDescent="0.35"/>
  <cols>
    <col min="1" max="1" width="8.90625" style="531"/>
    <col min="2" max="2" width="9.1796875" style="568" customWidth="1"/>
    <col min="3" max="3" width="56.81640625" style="531" customWidth="1"/>
    <col min="4" max="4" width="16.453125" style="577" customWidth="1"/>
    <col min="5" max="5" width="15" style="578" bestFit="1" customWidth="1"/>
    <col min="6" max="6" width="11.54296875" style="553" bestFit="1" customWidth="1"/>
    <col min="7" max="7" width="10.453125" style="553" bestFit="1" customWidth="1"/>
    <col min="8" max="8" width="8.81640625" style="553" bestFit="1" customWidth="1"/>
    <col min="9" max="9" width="6.54296875" style="531" bestFit="1" customWidth="1"/>
    <col min="10" max="10" width="7" style="531" bestFit="1" customWidth="1"/>
    <col min="11" max="14" width="2.1796875" style="531" bestFit="1" customWidth="1"/>
    <col min="15" max="15" width="6.81640625" style="531" bestFit="1" customWidth="1"/>
    <col min="16" max="16" width="2.1796875" style="531" bestFit="1" customWidth="1"/>
    <col min="17" max="17" width="6.81640625" style="531" bestFit="1" customWidth="1"/>
    <col min="18" max="18" width="3.453125" style="531" bestFit="1" customWidth="1"/>
    <col min="19" max="19" width="6.81640625" style="531" bestFit="1" customWidth="1"/>
    <col min="20" max="20" width="6.1796875" style="531" bestFit="1" customWidth="1"/>
    <col min="21" max="21" width="3.453125" style="531" bestFit="1" customWidth="1"/>
    <col min="22" max="22" width="6.81640625" style="531" bestFit="1" customWidth="1"/>
    <col min="23" max="23" width="3.453125" style="531" bestFit="1" customWidth="1"/>
    <col min="24" max="24" width="21" style="531" bestFit="1" customWidth="1"/>
    <col min="25" max="26" width="3.453125" style="531" bestFit="1" customWidth="1"/>
    <col min="27" max="27" width="6.81640625" style="531" bestFit="1" customWidth="1"/>
    <col min="28" max="29" width="3.453125" style="531" bestFit="1" customWidth="1"/>
    <col min="30" max="16384" width="8.90625" style="531"/>
  </cols>
  <sheetData>
    <row r="2" spans="1:8" x14ac:dyDescent="0.35">
      <c r="A2" s="531">
        <v>2</v>
      </c>
      <c r="B2" s="531" t="s">
        <v>1192</v>
      </c>
    </row>
    <row r="3" spans="1:8" x14ac:dyDescent="0.35">
      <c r="B3" s="579" t="s">
        <v>1193</v>
      </c>
      <c r="C3" s="580" t="s">
        <v>1194</v>
      </c>
      <c r="D3" s="581" t="s">
        <v>1195</v>
      </c>
      <c r="E3" s="582" t="s">
        <v>168</v>
      </c>
      <c r="F3" s="583" t="s">
        <v>1196</v>
      </c>
      <c r="G3" s="583"/>
      <c r="H3" s="583" t="s">
        <v>1197</v>
      </c>
    </row>
    <row r="4" spans="1:8" x14ac:dyDescent="0.35">
      <c r="B4" s="584">
        <v>1</v>
      </c>
      <c r="C4" s="585" t="s">
        <v>1198</v>
      </c>
      <c r="D4" s="586">
        <v>200</v>
      </c>
      <c r="E4" s="587" t="s">
        <v>659</v>
      </c>
      <c r="F4" s="588">
        <f>70000</f>
        <v>70000</v>
      </c>
      <c r="G4" s="588"/>
      <c r="H4" s="588">
        <f t="shared" ref="H4:H16" si="0">F4*D4</f>
        <v>14000000</v>
      </c>
    </row>
    <row r="5" spans="1:8" x14ac:dyDescent="0.35">
      <c r="B5" s="571">
        <v>2</v>
      </c>
      <c r="C5" s="570" t="s">
        <v>1199</v>
      </c>
      <c r="D5" s="589"/>
      <c r="E5" s="590" t="s">
        <v>1200</v>
      </c>
      <c r="F5" s="591">
        <v>7500</v>
      </c>
      <c r="G5" s="591"/>
      <c r="H5" s="591">
        <f t="shared" si="0"/>
        <v>0</v>
      </c>
    </row>
    <row r="6" spans="1:8" x14ac:dyDescent="0.35">
      <c r="B6" s="571">
        <v>3</v>
      </c>
      <c r="C6" s="570" t="s">
        <v>1201</v>
      </c>
      <c r="D6" s="589"/>
      <c r="E6" s="590" t="s">
        <v>1200</v>
      </c>
      <c r="F6" s="591">
        <v>8000</v>
      </c>
      <c r="G6" s="591"/>
      <c r="H6" s="591">
        <f t="shared" si="0"/>
        <v>0</v>
      </c>
    </row>
    <row r="7" spans="1:8" x14ac:dyDescent="0.35">
      <c r="B7" s="571">
        <v>4</v>
      </c>
      <c r="C7" s="570" t="s">
        <v>1202</v>
      </c>
      <c r="D7" s="589">
        <v>5</v>
      </c>
      <c r="E7" s="590" t="s">
        <v>1203</v>
      </c>
      <c r="F7" s="591">
        <v>120000</v>
      </c>
      <c r="G7" s="591"/>
      <c r="H7" s="591">
        <f t="shared" si="0"/>
        <v>600000</v>
      </c>
    </row>
    <row r="8" spans="1:8" x14ac:dyDescent="0.35">
      <c r="B8" s="571">
        <v>5</v>
      </c>
      <c r="C8" s="570" t="s">
        <v>1204</v>
      </c>
      <c r="D8" s="589">
        <v>1</v>
      </c>
      <c r="E8" s="590" t="s">
        <v>1203</v>
      </c>
      <c r="F8" s="591">
        <v>150000</v>
      </c>
      <c r="G8" s="591"/>
      <c r="H8" s="591">
        <f t="shared" si="0"/>
        <v>150000</v>
      </c>
    </row>
    <row r="9" spans="1:8" x14ac:dyDescent="0.35">
      <c r="B9" s="571">
        <v>6</v>
      </c>
      <c r="C9" s="570" t="s">
        <v>1205</v>
      </c>
      <c r="D9" s="589">
        <v>1</v>
      </c>
      <c r="E9" s="590" t="s">
        <v>1200</v>
      </c>
      <c r="F9" s="591">
        <v>1200000</v>
      </c>
      <c r="G9" s="591"/>
      <c r="H9" s="591">
        <f t="shared" si="0"/>
        <v>1200000</v>
      </c>
    </row>
    <row r="10" spans="1:8" x14ac:dyDescent="0.35">
      <c r="B10" s="571">
        <v>7</v>
      </c>
      <c r="C10" s="570" t="s">
        <v>1206</v>
      </c>
      <c r="D10" s="589">
        <v>1</v>
      </c>
      <c r="E10" s="590" t="s">
        <v>1207</v>
      </c>
      <c r="F10" s="591">
        <v>700000</v>
      </c>
      <c r="G10" s="591"/>
      <c r="H10" s="591">
        <f t="shared" si="0"/>
        <v>700000</v>
      </c>
    </row>
    <row r="11" spans="1:8" x14ac:dyDescent="0.35">
      <c r="B11" s="571">
        <v>8</v>
      </c>
      <c r="C11" s="570" t="s">
        <v>1208</v>
      </c>
      <c r="D11" s="589">
        <v>1</v>
      </c>
      <c r="E11" s="590" t="s">
        <v>1207</v>
      </c>
      <c r="F11" s="591">
        <v>680000</v>
      </c>
      <c r="G11" s="591"/>
      <c r="H11" s="591">
        <f t="shared" si="0"/>
        <v>680000</v>
      </c>
    </row>
    <row r="12" spans="1:8" x14ac:dyDescent="0.35">
      <c r="B12" s="571">
        <v>9</v>
      </c>
      <c r="C12" s="570" t="s">
        <v>1209</v>
      </c>
      <c r="D12" s="589">
        <v>1</v>
      </c>
      <c r="E12" s="590" t="s">
        <v>1210</v>
      </c>
      <c r="F12" s="591">
        <v>650000</v>
      </c>
      <c r="G12" s="591"/>
      <c r="H12" s="591">
        <f t="shared" si="0"/>
        <v>650000</v>
      </c>
    </row>
    <row r="13" spans="1:8" x14ac:dyDescent="0.35">
      <c r="B13" s="571">
        <v>10</v>
      </c>
      <c r="C13" s="570" t="s">
        <v>1211</v>
      </c>
      <c r="D13" s="589">
        <v>10</v>
      </c>
      <c r="E13" s="590" t="s">
        <v>1212</v>
      </c>
      <c r="F13" s="591">
        <v>50000</v>
      </c>
      <c r="G13" s="591"/>
      <c r="H13" s="591">
        <f t="shared" si="0"/>
        <v>500000</v>
      </c>
    </row>
    <row r="14" spans="1:8" x14ac:dyDescent="0.35">
      <c r="B14" s="571">
        <v>11</v>
      </c>
      <c r="C14" s="570" t="s">
        <v>1213</v>
      </c>
      <c r="D14" s="589">
        <v>1</v>
      </c>
      <c r="E14" s="590" t="s">
        <v>1214</v>
      </c>
      <c r="F14" s="591">
        <v>180000</v>
      </c>
      <c r="G14" s="591"/>
      <c r="H14" s="591">
        <f t="shared" si="0"/>
        <v>180000</v>
      </c>
    </row>
    <row r="15" spans="1:8" x14ac:dyDescent="0.35">
      <c r="B15" s="571">
        <v>12</v>
      </c>
      <c r="C15" s="570" t="s">
        <v>1215</v>
      </c>
      <c r="D15" s="589">
        <v>1</v>
      </c>
      <c r="E15" s="590" t="s">
        <v>1216</v>
      </c>
      <c r="F15" s="591">
        <v>50000</v>
      </c>
      <c r="G15" s="591"/>
      <c r="H15" s="591">
        <f t="shared" si="0"/>
        <v>50000</v>
      </c>
    </row>
    <row r="16" spans="1:8" x14ac:dyDescent="0.35">
      <c r="B16" s="571">
        <v>13</v>
      </c>
      <c r="C16" s="570" t="s">
        <v>1217</v>
      </c>
      <c r="D16" s="589">
        <v>8</v>
      </c>
      <c r="E16" s="590" t="s">
        <v>54</v>
      </c>
      <c r="F16" s="591">
        <v>40000</v>
      </c>
      <c r="G16" s="591"/>
      <c r="H16" s="591">
        <f t="shared" si="0"/>
        <v>320000</v>
      </c>
    </row>
    <row r="17" spans="2:29" x14ac:dyDescent="0.35">
      <c r="B17" s="658" t="s">
        <v>1197</v>
      </c>
      <c r="C17" s="659"/>
      <c r="D17" s="660"/>
      <c r="E17" s="660"/>
      <c r="F17" s="661"/>
      <c r="G17" s="607"/>
      <c r="H17" s="607">
        <f>SUM(H4:H16)</f>
        <v>19030000</v>
      </c>
    </row>
    <row r="19" spans="2:29" x14ac:dyDescent="0.35">
      <c r="C19" s="531" t="s">
        <v>1218</v>
      </c>
    </row>
    <row r="20" spans="2:29" x14ac:dyDescent="0.35">
      <c r="C20" s="531" t="s">
        <v>1219</v>
      </c>
    </row>
    <row r="22" spans="2:29" x14ac:dyDescent="0.35">
      <c r="B22" s="608" t="s">
        <v>1220</v>
      </c>
      <c r="C22" s="592"/>
      <c r="D22" s="592"/>
      <c r="E22" s="592"/>
      <c r="F22" s="592"/>
      <c r="G22" s="592"/>
      <c r="H22" s="592"/>
      <c r="I22" s="592"/>
      <c r="J22" s="593"/>
    </row>
    <row r="23" spans="2:29" x14ac:dyDescent="0.35">
      <c r="B23" s="594"/>
      <c r="C23" s="595"/>
      <c r="D23" s="595"/>
      <c r="E23" s="595"/>
      <c r="F23" s="595"/>
      <c r="G23" s="595"/>
      <c r="H23" s="662" t="s">
        <v>1071</v>
      </c>
      <c r="I23" s="662"/>
      <c r="J23" s="662"/>
      <c r="K23" s="662"/>
      <c r="L23" s="662"/>
      <c r="M23" s="662"/>
      <c r="N23" s="662"/>
      <c r="O23" s="662"/>
      <c r="P23" s="662"/>
      <c r="Q23" s="662"/>
      <c r="R23" s="662"/>
      <c r="S23" s="662"/>
      <c r="T23" s="662"/>
      <c r="U23" s="662"/>
      <c r="V23" s="662"/>
      <c r="W23" s="662"/>
      <c r="X23" s="662"/>
      <c r="Y23" s="662"/>
      <c r="Z23" s="662"/>
      <c r="AA23" s="662"/>
      <c r="AB23" s="662"/>
      <c r="AC23" s="662"/>
    </row>
    <row r="24" spans="2:29" x14ac:dyDescent="0.35">
      <c r="B24" s="605" t="s">
        <v>1193</v>
      </c>
      <c r="C24" s="609" t="s">
        <v>1221</v>
      </c>
      <c r="D24" s="611" t="s">
        <v>1222</v>
      </c>
      <c r="E24" s="606" t="s">
        <v>1223</v>
      </c>
      <c r="F24" s="606" t="s">
        <v>1224</v>
      </c>
      <c r="G24" s="606" t="s">
        <v>1225</v>
      </c>
      <c r="H24" s="606">
        <v>1</v>
      </c>
      <c r="I24" s="605">
        <v>2</v>
      </c>
      <c r="J24" s="605">
        <v>3</v>
      </c>
      <c r="K24" s="606">
        <v>4</v>
      </c>
      <c r="L24" s="605">
        <v>5</v>
      </c>
      <c r="M24" s="605">
        <v>6</v>
      </c>
      <c r="N24" s="606">
        <v>7</v>
      </c>
      <c r="O24" s="605">
        <v>8</v>
      </c>
      <c r="P24" s="605">
        <v>9</v>
      </c>
      <c r="Q24" s="606">
        <v>10</v>
      </c>
      <c r="R24" s="605">
        <v>11</v>
      </c>
      <c r="S24" s="605">
        <v>12</v>
      </c>
      <c r="T24" s="606">
        <v>13</v>
      </c>
      <c r="U24" s="605">
        <v>14</v>
      </c>
      <c r="V24" s="605">
        <v>15</v>
      </c>
      <c r="W24" s="606">
        <v>16</v>
      </c>
      <c r="X24" s="605">
        <v>17</v>
      </c>
      <c r="Y24" s="606">
        <v>18</v>
      </c>
      <c r="Z24" s="605">
        <v>19</v>
      </c>
      <c r="AA24" s="605">
        <v>20</v>
      </c>
      <c r="AB24" s="606">
        <v>21</v>
      </c>
      <c r="AC24" s="605">
        <v>22</v>
      </c>
    </row>
    <row r="25" spans="2:29" x14ac:dyDescent="0.35">
      <c r="B25" s="571">
        <v>1</v>
      </c>
      <c r="C25" s="569" t="s">
        <v>1226</v>
      </c>
      <c r="D25" s="614" t="s">
        <v>1227</v>
      </c>
      <c r="E25" s="596"/>
      <c r="F25" s="597">
        <v>11</v>
      </c>
      <c r="G25" s="597">
        <v>1</v>
      </c>
      <c r="H25" s="615"/>
      <c r="I25" s="598"/>
      <c r="J25" s="597"/>
      <c r="K25" s="570"/>
      <c r="L25" s="570"/>
      <c r="M25" s="570"/>
      <c r="N25" s="570"/>
      <c r="O25" s="570"/>
      <c r="P25" s="570"/>
      <c r="Q25" s="570"/>
      <c r="R25" s="570"/>
      <c r="S25" s="570"/>
      <c r="T25" s="570"/>
      <c r="U25" s="570"/>
      <c r="V25" s="570"/>
      <c r="W25" s="570"/>
      <c r="X25" s="570"/>
      <c r="Y25" s="570"/>
      <c r="Z25" s="570"/>
      <c r="AA25" s="570"/>
      <c r="AB25" s="570"/>
      <c r="AC25" s="570"/>
    </row>
    <row r="26" spans="2:29" x14ac:dyDescent="0.35">
      <c r="B26" s="571">
        <v>2</v>
      </c>
      <c r="C26" s="569" t="s">
        <v>1228</v>
      </c>
      <c r="D26" s="596"/>
      <c r="E26" s="599" t="s">
        <v>1229</v>
      </c>
      <c r="F26" s="597">
        <v>14</v>
      </c>
      <c r="G26" s="597">
        <v>1</v>
      </c>
      <c r="H26" s="599" t="s">
        <v>1230</v>
      </c>
      <c r="I26" s="571"/>
      <c r="J26" s="589"/>
      <c r="K26" s="570"/>
      <c r="L26" s="570"/>
      <c r="M26" s="570"/>
      <c r="N26" s="570"/>
      <c r="O26" s="570"/>
      <c r="P26" s="570"/>
      <c r="Q26" s="570"/>
      <c r="R26" s="570"/>
      <c r="S26" s="570"/>
      <c r="T26" s="570"/>
      <c r="U26" s="570"/>
      <c r="V26" s="570"/>
      <c r="W26" s="570"/>
      <c r="X26" s="570"/>
      <c r="Y26" s="570"/>
      <c r="Z26" s="570"/>
      <c r="AA26" s="570"/>
      <c r="AB26" s="570"/>
      <c r="AC26" s="570"/>
    </row>
    <row r="27" spans="2:29" x14ac:dyDescent="0.35">
      <c r="B27" s="571">
        <v>3</v>
      </c>
      <c r="C27" s="569" t="s">
        <v>1226</v>
      </c>
      <c r="D27" s="614" t="s">
        <v>1227</v>
      </c>
      <c r="E27" s="596"/>
      <c r="F27" s="597">
        <v>15</v>
      </c>
      <c r="G27" s="597">
        <v>2</v>
      </c>
      <c r="H27" s="597"/>
      <c r="I27" s="615"/>
      <c r="J27" s="597"/>
      <c r="K27" s="570"/>
      <c r="L27" s="570"/>
      <c r="M27" s="570"/>
      <c r="N27" s="570"/>
      <c r="O27" s="570"/>
      <c r="P27" s="570"/>
      <c r="Q27" s="570"/>
      <c r="R27" s="570"/>
      <c r="S27" s="570"/>
      <c r="T27" s="570"/>
      <c r="U27" s="570"/>
      <c r="V27" s="570"/>
      <c r="W27" s="570"/>
      <c r="X27" s="570"/>
      <c r="Y27" s="570"/>
      <c r="Z27" s="570"/>
      <c r="AA27" s="570"/>
      <c r="AB27" s="570"/>
      <c r="AC27" s="570"/>
    </row>
    <row r="28" spans="2:29" x14ac:dyDescent="0.35">
      <c r="B28" s="571">
        <v>4</v>
      </c>
      <c r="C28" s="569" t="s">
        <v>1231</v>
      </c>
      <c r="D28" s="612" t="s">
        <v>1232</v>
      </c>
      <c r="E28" s="596"/>
      <c r="F28" s="597">
        <v>16</v>
      </c>
      <c r="G28" s="597">
        <v>2</v>
      </c>
      <c r="H28" s="597"/>
      <c r="I28" s="600"/>
      <c r="J28" s="597"/>
      <c r="K28" s="570"/>
      <c r="L28" s="570"/>
      <c r="M28" s="570"/>
      <c r="N28" s="570"/>
      <c r="O28" s="570"/>
      <c r="P28" s="570"/>
      <c r="Q28" s="570"/>
      <c r="R28" s="570"/>
      <c r="S28" s="570"/>
      <c r="T28" s="570"/>
      <c r="U28" s="570"/>
      <c r="V28" s="570"/>
      <c r="W28" s="570"/>
      <c r="X28" s="570"/>
      <c r="Y28" s="570"/>
      <c r="Z28" s="570"/>
      <c r="AA28" s="570"/>
      <c r="AB28" s="570"/>
      <c r="AC28" s="570"/>
    </row>
    <row r="29" spans="2:29" x14ac:dyDescent="0.35">
      <c r="B29" s="571">
        <v>5</v>
      </c>
      <c r="C29" s="569" t="s">
        <v>1233</v>
      </c>
      <c r="D29" s="596"/>
      <c r="E29" s="610" t="s">
        <v>1234</v>
      </c>
      <c r="F29" s="597">
        <v>17</v>
      </c>
      <c r="G29" s="597">
        <v>2</v>
      </c>
      <c r="H29" s="597"/>
      <c r="I29" s="598"/>
      <c r="J29" s="597"/>
      <c r="K29" s="570"/>
      <c r="L29" s="570"/>
      <c r="M29" s="570"/>
      <c r="N29" s="570"/>
      <c r="O29" s="570"/>
      <c r="P29" s="570"/>
      <c r="Q29" s="570"/>
      <c r="R29" s="570"/>
      <c r="S29" s="570"/>
      <c r="T29" s="570"/>
      <c r="U29" s="570"/>
      <c r="V29" s="570"/>
      <c r="W29" s="570"/>
      <c r="X29" s="610" t="s">
        <v>1234</v>
      </c>
      <c r="Y29" s="570"/>
      <c r="Z29" s="570"/>
      <c r="AA29" s="570"/>
      <c r="AB29" s="570"/>
      <c r="AC29" s="570"/>
    </row>
    <row r="30" spans="2:29" x14ac:dyDescent="0.35">
      <c r="B30" s="571">
        <v>6</v>
      </c>
      <c r="C30" s="569" t="s">
        <v>1235</v>
      </c>
      <c r="D30" s="614" t="s">
        <v>1227</v>
      </c>
      <c r="E30" s="596"/>
      <c r="F30" s="597">
        <v>17</v>
      </c>
      <c r="G30" s="597">
        <v>2</v>
      </c>
      <c r="H30" s="597"/>
      <c r="I30" s="615"/>
      <c r="J30" s="597"/>
      <c r="K30" s="570"/>
      <c r="L30" s="570"/>
      <c r="M30" s="570"/>
      <c r="N30" s="570"/>
      <c r="O30" s="570"/>
      <c r="P30" s="570"/>
      <c r="Q30" s="570"/>
      <c r="R30" s="570"/>
      <c r="S30" s="570"/>
      <c r="T30" s="570"/>
      <c r="U30" s="570"/>
      <c r="V30" s="570"/>
      <c r="W30" s="570"/>
      <c r="X30" s="570"/>
      <c r="Y30" s="570"/>
      <c r="Z30" s="570"/>
      <c r="AA30" s="570"/>
      <c r="AB30" s="570"/>
      <c r="AC30" s="570"/>
    </row>
    <row r="31" spans="2:29" x14ac:dyDescent="0.35">
      <c r="B31" s="571">
        <v>7</v>
      </c>
      <c r="C31" s="569" t="s">
        <v>1236</v>
      </c>
      <c r="D31" s="601" t="s">
        <v>1237</v>
      </c>
      <c r="E31" s="596"/>
      <c r="F31" s="597">
        <v>18</v>
      </c>
      <c r="G31" s="597">
        <v>2</v>
      </c>
      <c r="H31" s="597"/>
      <c r="I31" s="601" t="s">
        <v>1238</v>
      </c>
      <c r="J31" s="597"/>
      <c r="K31" s="570"/>
      <c r="L31" s="570"/>
      <c r="M31" s="570"/>
      <c r="N31" s="570"/>
      <c r="O31" s="570"/>
      <c r="P31" s="570"/>
      <c r="Q31" s="570"/>
      <c r="R31" s="570"/>
      <c r="S31" s="570"/>
      <c r="T31" s="570"/>
      <c r="U31" s="570"/>
      <c r="V31" s="570"/>
      <c r="W31" s="570"/>
      <c r="X31" s="570"/>
      <c r="Y31" s="570"/>
      <c r="Z31" s="570"/>
      <c r="AA31" s="570"/>
      <c r="AB31" s="570"/>
      <c r="AC31" s="570"/>
    </row>
    <row r="32" spans="2:29" x14ac:dyDescent="0.35">
      <c r="B32" s="571">
        <v>8</v>
      </c>
      <c r="C32" s="569" t="s">
        <v>1239</v>
      </c>
      <c r="D32" s="602" t="s">
        <v>1240</v>
      </c>
      <c r="E32" s="596"/>
      <c r="F32" s="597">
        <v>19</v>
      </c>
      <c r="G32" s="597">
        <v>3</v>
      </c>
      <c r="H32" s="589"/>
      <c r="I32" s="571"/>
      <c r="J32" s="602" t="s">
        <v>1241</v>
      </c>
      <c r="K32" s="570"/>
      <c r="L32" s="570"/>
      <c r="M32" s="570"/>
      <c r="N32" s="570"/>
      <c r="O32" s="570"/>
      <c r="P32" s="570"/>
      <c r="Q32" s="570"/>
      <c r="R32" s="570"/>
      <c r="S32" s="570"/>
      <c r="T32" s="570"/>
      <c r="U32" s="570"/>
      <c r="V32" s="570"/>
      <c r="W32" s="570"/>
      <c r="X32" s="570"/>
      <c r="Y32" s="570"/>
      <c r="Z32" s="570"/>
      <c r="AA32" s="570"/>
      <c r="AB32" s="570"/>
      <c r="AC32" s="570"/>
    </row>
    <row r="33" spans="2:29" x14ac:dyDescent="0.35">
      <c r="B33" s="571">
        <v>9</v>
      </c>
      <c r="C33" s="569" t="s">
        <v>1242</v>
      </c>
      <c r="D33" s="596"/>
      <c r="E33" s="603" t="s">
        <v>1243</v>
      </c>
      <c r="F33" s="597">
        <v>30</v>
      </c>
      <c r="G33" s="597">
        <v>8</v>
      </c>
      <c r="H33" s="589"/>
      <c r="I33" s="571"/>
      <c r="J33" s="589"/>
      <c r="K33" s="570"/>
      <c r="L33" s="570"/>
      <c r="M33" s="570"/>
      <c r="N33" s="570"/>
      <c r="O33" s="603" t="s">
        <v>1244</v>
      </c>
      <c r="P33" s="570"/>
      <c r="Q33" s="570"/>
      <c r="R33" s="570"/>
      <c r="S33" s="570"/>
      <c r="T33" s="570"/>
      <c r="U33" s="570"/>
      <c r="V33" s="570"/>
      <c r="W33" s="570"/>
      <c r="X33" s="570"/>
      <c r="Y33" s="570"/>
      <c r="Z33" s="570"/>
      <c r="AA33" s="570"/>
      <c r="AB33" s="570"/>
      <c r="AC33" s="570"/>
    </row>
    <row r="34" spans="2:29" x14ac:dyDescent="0.35">
      <c r="B34" s="571">
        <v>10</v>
      </c>
      <c r="C34" s="569" t="s">
        <v>1235</v>
      </c>
      <c r="D34" s="614" t="s">
        <v>1227</v>
      </c>
      <c r="E34" s="596"/>
      <c r="F34" s="597">
        <v>30</v>
      </c>
      <c r="G34" s="597">
        <v>8</v>
      </c>
      <c r="H34" s="597"/>
      <c r="I34" s="598"/>
      <c r="J34" s="597"/>
      <c r="K34" s="570"/>
      <c r="L34" s="570"/>
      <c r="M34" s="570"/>
      <c r="N34" s="570"/>
      <c r="O34" s="615"/>
      <c r="P34" s="570"/>
      <c r="Q34" s="570"/>
      <c r="R34" s="570"/>
      <c r="S34" s="570"/>
      <c r="T34" s="570"/>
      <c r="U34" s="570"/>
      <c r="V34" s="570"/>
      <c r="W34" s="570"/>
      <c r="X34" s="570"/>
      <c r="Y34" s="570"/>
      <c r="Z34" s="570"/>
      <c r="AA34" s="570"/>
      <c r="AB34" s="570"/>
      <c r="AC34" s="570"/>
    </row>
    <row r="35" spans="2:29" x14ac:dyDescent="0.35">
      <c r="B35" s="571">
        <v>11</v>
      </c>
      <c r="C35" s="569" t="s">
        <v>1245</v>
      </c>
      <c r="D35" s="612" t="s">
        <v>1232</v>
      </c>
      <c r="E35" s="596"/>
      <c r="F35" s="597">
        <v>40</v>
      </c>
      <c r="G35" s="597">
        <v>8</v>
      </c>
      <c r="H35" s="597"/>
      <c r="I35" s="598"/>
      <c r="J35" s="598"/>
      <c r="K35" s="570"/>
      <c r="L35" s="570"/>
      <c r="M35" s="570"/>
      <c r="N35" s="570"/>
      <c r="O35" s="600" t="s">
        <v>1246</v>
      </c>
      <c r="P35" s="570"/>
      <c r="Q35" s="570"/>
      <c r="R35" s="570"/>
      <c r="S35" s="570"/>
      <c r="T35" s="570"/>
      <c r="U35" s="570"/>
      <c r="V35" s="570"/>
      <c r="W35" s="570"/>
      <c r="X35" s="570"/>
      <c r="Y35" s="570"/>
      <c r="Z35" s="570"/>
      <c r="AA35" s="570"/>
      <c r="AB35" s="570"/>
      <c r="AC35" s="570"/>
    </row>
    <row r="36" spans="2:29" x14ac:dyDescent="0.35">
      <c r="B36" s="571">
        <v>12</v>
      </c>
      <c r="C36" s="569" t="s">
        <v>1247</v>
      </c>
      <c r="D36" s="613" t="s">
        <v>1248</v>
      </c>
      <c r="E36" s="596"/>
      <c r="F36" s="597">
        <v>40</v>
      </c>
      <c r="G36" s="597">
        <v>8</v>
      </c>
      <c r="H36" s="597"/>
      <c r="I36" s="598"/>
      <c r="J36" s="597"/>
      <c r="K36" s="570"/>
      <c r="L36" s="570"/>
      <c r="M36" s="570"/>
      <c r="N36" s="570"/>
      <c r="O36" s="604" t="s">
        <v>1248</v>
      </c>
      <c r="P36" s="570"/>
      <c r="Q36" s="570"/>
      <c r="R36" s="570"/>
      <c r="S36" s="570"/>
      <c r="T36" s="570"/>
      <c r="U36" s="570"/>
      <c r="V36" s="570"/>
      <c r="W36" s="570"/>
      <c r="X36" s="570"/>
      <c r="Y36" s="570"/>
      <c r="Z36" s="570"/>
      <c r="AA36" s="570"/>
      <c r="AB36" s="570"/>
      <c r="AC36" s="570"/>
    </row>
    <row r="37" spans="2:29" x14ac:dyDescent="0.35">
      <c r="B37" s="571">
        <v>13</v>
      </c>
      <c r="C37" s="569" t="s">
        <v>1242</v>
      </c>
      <c r="D37" s="596"/>
      <c r="E37" s="603" t="s">
        <v>1243</v>
      </c>
      <c r="F37" s="597">
        <v>40</v>
      </c>
      <c r="G37" s="597">
        <v>10</v>
      </c>
      <c r="H37" s="597"/>
      <c r="I37" s="598"/>
      <c r="J37" s="597"/>
      <c r="K37" s="570"/>
      <c r="L37" s="570"/>
      <c r="M37" s="570"/>
      <c r="N37" s="570"/>
      <c r="O37" s="596"/>
      <c r="P37" s="570"/>
      <c r="Q37" s="603" t="s">
        <v>1244</v>
      </c>
      <c r="R37" s="570"/>
      <c r="S37" s="570"/>
      <c r="T37" s="570"/>
      <c r="U37" s="570"/>
      <c r="V37" s="570"/>
      <c r="W37" s="570"/>
      <c r="X37" s="570"/>
      <c r="Y37" s="570"/>
      <c r="Z37" s="570"/>
      <c r="AA37" s="570"/>
      <c r="AB37" s="570"/>
      <c r="AC37" s="570"/>
    </row>
    <row r="38" spans="2:29" x14ac:dyDescent="0.35">
      <c r="B38" s="571">
        <v>14</v>
      </c>
      <c r="C38" s="569" t="s">
        <v>1249</v>
      </c>
      <c r="D38" s="614" t="s">
        <v>1227</v>
      </c>
      <c r="E38" s="596"/>
      <c r="F38" s="597">
        <v>41</v>
      </c>
      <c r="G38" s="597">
        <v>9</v>
      </c>
      <c r="H38" s="597"/>
      <c r="I38" s="598"/>
      <c r="J38" s="597"/>
      <c r="K38" s="570"/>
      <c r="L38" s="570"/>
      <c r="M38" s="570"/>
      <c r="N38" s="570"/>
      <c r="O38" s="570"/>
      <c r="P38" s="615"/>
      <c r="Q38" s="570"/>
      <c r="R38" s="570"/>
      <c r="S38" s="570"/>
      <c r="T38" s="570"/>
      <c r="U38" s="570"/>
      <c r="V38" s="570"/>
      <c r="W38" s="570"/>
      <c r="X38" s="570"/>
      <c r="Y38" s="570"/>
      <c r="Z38" s="570"/>
      <c r="AA38" s="570"/>
      <c r="AB38" s="570"/>
      <c r="AC38" s="570"/>
    </row>
    <row r="39" spans="2:29" x14ac:dyDescent="0.35">
      <c r="B39" s="571">
        <v>15</v>
      </c>
      <c r="C39" s="569" t="s">
        <v>1250</v>
      </c>
      <c r="D39" s="596"/>
      <c r="E39" s="603" t="s">
        <v>1243</v>
      </c>
      <c r="F39" s="597">
        <v>51</v>
      </c>
      <c r="G39" s="597">
        <v>12</v>
      </c>
      <c r="H39" s="597"/>
      <c r="I39" s="598"/>
      <c r="J39" s="597"/>
      <c r="K39" s="570"/>
      <c r="L39" s="570"/>
      <c r="M39" s="570"/>
      <c r="N39" s="570"/>
      <c r="O39" s="570"/>
      <c r="P39" s="570"/>
      <c r="Q39" s="570"/>
      <c r="R39" s="570"/>
      <c r="S39" s="603" t="s">
        <v>1244</v>
      </c>
      <c r="T39" s="570"/>
      <c r="U39" s="570"/>
      <c r="V39" s="570"/>
      <c r="W39" s="570"/>
      <c r="X39" s="570"/>
      <c r="Y39" s="570"/>
      <c r="Z39" s="570"/>
      <c r="AA39" s="570"/>
      <c r="AB39" s="570"/>
      <c r="AC39" s="570"/>
    </row>
    <row r="40" spans="2:29" x14ac:dyDescent="0.35">
      <c r="B40" s="571">
        <v>16</v>
      </c>
      <c r="C40" s="569" t="s">
        <v>1249</v>
      </c>
      <c r="D40" s="614" t="s">
        <v>1227</v>
      </c>
      <c r="E40" s="596"/>
      <c r="F40" s="597">
        <v>51</v>
      </c>
      <c r="G40" s="597">
        <v>12</v>
      </c>
      <c r="H40" s="597"/>
      <c r="I40" s="598"/>
      <c r="J40" s="597"/>
      <c r="K40" s="570"/>
      <c r="L40" s="570"/>
      <c r="M40" s="570"/>
      <c r="N40" s="570"/>
      <c r="O40" s="570"/>
      <c r="P40" s="570"/>
      <c r="Q40" s="570"/>
      <c r="R40" s="570"/>
      <c r="S40" s="615"/>
      <c r="T40" s="570"/>
      <c r="U40" s="570"/>
      <c r="V40" s="570"/>
      <c r="W40" s="570"/>
      <c r="X40" s="570"/>
      <c r="Y40" s="570"/>
      <c r="Z40" s="570"/>
      <c r="AA40" s="570"/>
      <c r="AB40" s="570"/>
      <c r="AC40" s="570"/>
    </row>
    <row r="41" spans="2:29" x14ac:dyDescent="0.35">
      <c r="B41" s="571">
        <v>17</v>
      </c>
      <c r="C41" s="569" t="s">
        <v>1251</v>
      </c>
      <c r="D41" s="613" t="s">
        <v>1248</v>
      </c>
      <c r="E41" s="596"/>
      <c r="F41" s="597">
        <v>52</v>
      </c>
      <c r="G41" s="597">
        <v>13</v>
      </c>
      <c r="H41" s="597"/>
      <c r="I41" s="598"/>
      <c r="J41" s="597"/>
      <c r="K41" s="570"/>
      <c r="L41" s="570"/>
      <c r="M41" s="570"/>
      <c r="N41" s="570"/>
      <c r="O41" s="570"/>
      <c r="P41" s="570"/>
      <c r="Q41" s="570"/>
      <c r="R41" s="570"/>
      <c r="S41" s="570"/>
      <c r="T41" s="604" t="s">
        <v>1248</v>
      </c>
      <c r="U41" s="570"/>
      <c r="V41" s="570"/>
      <c r="W41" s="570"/>
      <c r="X41" s="570"/>
      <c r="Y41" s="570"/>
      <c r="Z41" s="570"/>
      <c r="AA41" s="570"/>
      <c r="AB41" s="570"/>
      <c r="AC41" s="570"/>
    </row>
    <row r="42" spans="2:29" x14ac:dyDescent="0.35">
      <c r="B42" s="571">
        <v>18</v>
      </c>
      <c r="C42" s="569" t="s">
        <v>1245</v>
      </c>
      <c r="D42" s="612" t="s">
        <v>1246</v>
      </c>
      <c r="E42" s="596"/>
      <c r="F42" s="597">
        <v>60</v>
      </c>
      <c r="G42" s="597">
        <v>15</v>
      </c>
      <c r="H42" s="597"/>
      <c r="I42" s="598"/>
      <c r="J42" s="597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570"/>
      <c r="V42" s="600" t="s">
        <v>1246</v>
      </c>
      <c r="W42" s="570"/>
      <c r="X42" s="570"/>
      <c r="Y42" s="570"/>
      <c r="Z42" s="570"/>
      <c r="AA42" s="570"/>
      <c r="AB42" s="570"/>
      <c r="AC42" s="570"/>
    </row>
    <row r="43" spans="2:29" x14ac:dyDescent="0.35">
      <c r="B43" s="571">
        <v>19</v>
      </c>
      <c r="C43" s="569" t="s">
        <v>1251</v>
      </c>
      <c r="D43" s="613" t="s">
        <v>1248</v>
      </c>
      <c r="E43" s="596"/>
      <c r="F43" s="597">
        <v>61</v>
      </c>
      <c r="G43" s="597">
        <v>15</v>
      </c>
      <c r="H43" s="597"/>
      <c r="I43" s="598"/>
      <c r="J43" s="597"/>
      <c r="K43" s="570"/>
      <c r="L43" s="570"/>
      <c r="M43" s="570"/>
      <c r="N43" s="570"/>
      <c r="O43" s="570"/>
      <c r="P43" s="570"/>
      <c r="Q43" s="570"/>
      <c r="R43" s="570"/>
      <c r="S43" s="570"/>
      <c r="T43" s="570"/>
      <c r="U43" s="570"/>
      <c r="V43" s="604" t="s">
        <v>1248</v>
      </c>
      <c r="W43" s="570"/>
      <c r="X43" s="570"/>
      <c r="Y43" s="570"/>
      <c r="Z43" s="570"/>
      <c r="AA43" s="570"/>
      <c r="AB43" s="570"/>
      <c r="AC43" s="570"/>
    </row>
    <row r="44" spans="2:29" x14ac:dyDescent="0.35">
      <c r="B44" s="571">
        <v>20</v>
      </c>
      <c r="C44" s="569" t="s">
        <v>1242</v>
      </c>
      <c r="D44" s="596"/>
      <c r="E44" s="603" t="s">
        <v>1243</v>
      </c>
      <c r="F44" s="597">
        <v>62</v>
      </c>
      <c r="G44" s="597">
        <v>15</v>
      </c>
      <c r="H44" s="597"/>
      <c r="I44" s="598"/>
      <c r="J44" s="597"/>
      <c r="K44" s="570"/>
      <c r="L44" s="570"/>
      <c r="M44" s="570"/>
      <c r="N44" s="570"/>
      <c r="O44" s="570"/>
      <c r="P44" s="570"/>
      <c r="Q44" s="570"/>
      <c r="R44" s="570"/>
      <c r="S44" s="570"/>
      <c r="T44" s="570"/>
      <c r="U44" s="570"/>
      <c r="V44" s="603" t="s">
        <v>1244</v>
      </c>
      <c r="W44" s="570"/>
      <c r="X44" s="570"/>
      <c r="Y44" s="570"/>
      <c r="Z44" s="570"/>
      <c r="AA44" s="570"/>
      <c r="AB44" s="570"/>
      <c r="AC44" s="570"/>
    </row>
    <row r="45" spans="2:29" x14ac:dyDescent="0.35">
      <c r="B45" s="571">
        <v>21</v>
      </c>
      <c r="C45" s="569" t="s">
        <v>1251</v>
      </c>
      <c r="D45" s="613" t="s">
        <v>1248</v>
      </c>
      <c r="E45" s="596"/>
      <c r="F45" s="597">
        <v>63</v>
      </c>
      <c r="G45" s="597">
        <v>15</v>
      </c>
      <c r="H45" s="597"/>
      <c r="I45" s="598"/>
      <c r="J45" s="597"/>
      <c r="K45" s="570"/>
      <c r="L45" s="570"/>
      <c r="M45" s="570"/>
      <c r="N45" s="570"/>
      <c r="O45" s="570"/>
      <c r="P45" s="570"/>
      <c r="Q45" s="570"/>
      <c r="R45" s="570"/>
      <c r="S45" s="570"/>
      <c r="T45" s="570"/>
      <c r="U45" s="570"/>
      <c r="V45" s="604" t="s">
        <v>1248</v>
      </c>
      <c r="W45" s="570"/>
      <c r="X45" s="570"/>
      <c r="Y45" s="570"/>
      <c r="Z45" s="570"/>
      <c r="AA45" s="570"/>
      <c r="AB45" s="570"/>
      <c r="AC45" s="570"/>
    </row>
    <row r="46" spans="2:29" x14ac:dyDescent="0.35">
      <c r="B46" s="571">
        <v>22</v>
      </c>
      <c r="C46" s="569" t="s">
        <v>1249</v>
      </c>
      <c r="D46" s="614" t="s">
        <v>1227</v>
      </c>
      <c r="E46" s="596"/>
      <c r="F46" s="597">
        <v>75</v>
      </c>
      <c r="G46" s="597">
        <v>19</v>
      </c>
      <c r="H46" s="597"/>
      <c r="I46" s="598"/>
      <c r="J46" s="597"/>
      <c r="K46" s="570"/>
      <c r="L46" s="570"/>
      <c r="M46" s="570"/>
      <c r="N46" s="570"/>
      <c r="O46" s="570"/>
      <c r="P46" s="570"/>
      <c r="Q46" s="570"/>
      <c r="R46" s="570"/>
      <c r="S46" s="570"/>
      <c r="T46" s="570"/>
      <c r="U46" s="570"/>
      <c r="V46" s="570"/>
      <c r="W46" s="570"/>
      <c r="X46" s="570"/>
      <c r="Y46" s="570"/>
      <c r="Z46" s="615"/>
      <c r="AA46" s="570"/>
      <c r="AB46" s="570"/>
      <c r="AC46" s="570"/>
    </row>
    <row r="47" spans="2:29" x14ac:dyDescent="0.35">
      <c r="B47" s="571">
        <v>23</v>
      </c>
      <c r="C47" s="569" t="s">
        <v>1245</v>
      </c>
      <c r="D47" s="612" t="s">
        <v>1246</v>
      </c>
      <c r="E47" s="596"/>
      <c r="F47" s="597">
        <v>80</v>
      </c>
      <c r="G47" s="597">
        <v>20</v>
      </c>
      <c r="H47" s="597"/>
      <c r="I47" s="598"/>
      <c r="J47" s="598"/>
      <c r="K47" s="570"/>
      <c r="L47" s="570"/>
      <c r="M47" s="570"/>
      <c r="N47" s="570"/>
      <c r="O47" s="570"/>
      <c r="P47" s="570"/>
      <c r="Q47" s="570"/>
      <c r="R47" s="570"/>
      <c r="S47" s="570"/>
      <c r="T47" s="570"/>
      <c r="U47" s="570"/>
      <c r="V47" s="570"/>
      <c r="W47" s="570"/>
      <c r="X47" s="570"/>
      <c r="Y47" s="570"/>
      <c r="Z47" s="570"/>
      <c r="AA47" s="600" t="s">
        <v>1246</v>
      </c>
      <c r="AB47" s="570"/>
      <c r="AC47" s="570"/>
    </row>
    <row r="48" spans="2:29" x14ac:dyDescent="0.35">
      <c r="B48" s="571">
        <v>24</v>
      </c>
      <c r="C48" s="569" t="s">
        <v>1242</v>
      </c>
      <c r="D48" s="596"/>
      <c r="E48" s="603" t="s">
        <v>1243</v>
      </c>
      <c r="F48" s="597">
        <v>81</v>
      </c>
      <c r="G48" s="597">
        <v>20</v>
      </c>
      <c r="H48" s="589"/>
      <c r="I48" s="571"/>
      <c r="J48" s="589"/>
      <c r="K48" s="570"/>
      <c r="L48" s="570"/>
      <c r="M48" s="570"/>
      <c r="N48" s="570"/>
      <c r="O48" s="570"/>
      <c r="P48" s="570"/>
      <c r="Q48" s="570"/>
      <c r="R48" s="570"/>
      <c r="S48" s="570"/>
      <c r="T48" s="570"/>
      <c r="U48" s="570"/>
      <c r="V48" s="570"/>
      <c r="W48" s="570"/>
      <c r="X48" s="570"/>
      <c r="Y48" s="570"/>
      <c r="Z48" s="570"/>
      <c r="AA48" s="603" t="s">
        <v>1244</v>
      </c>
      <c r="AB48" s="570"/>
      <c r="AC48" s="570"/>
    </row>
    <row r="49" spans="2:29" x14ac:dyDescent="0.35">
      <c r="B49" s="571"/>
      <c r="C49" s="569"/>
      <c r="D49" s="590"/>
      <c r="E49" s="590"/>
      <c r="F49" s="589"/>
      <c r="G49" s="589"/>
      <c r="H49" s="589"/>
      <c r="I49" s="571"/>
      <c r="J49" s="571"/>
      <c r="K49" s="570"/>
      <c r="L49" s="570"/>
      <c r="M49" s="570"/>
      <c r="N49" s="570"/>
      <c r="O49" s="570"/>
      <c r="P49" s="570"/>
      <c r="Q49" s="570"/>
      <c r="R49" s="570"/>
      <c r="S49" s="570"/>
      <c r="T49" s="570"/>
      <c r="U49" s="570"/>
      <c r="V49" s="570"/>
      <c r="W49" s="570"/>
      <c r="X49" s="570"/>
      <c r="Y49" s="570"/>
      <c r="Z49" s="570"/>
      <c r="AA49" s="570"/>
      <c r="AB49" s="570"/>
      <c r="AC49" s="570"/>
    </row>
    <row r="50" spans="2:29" x14ac:dyDescent="0.35">
      <c r="C50" s="536" t="s">
        <v>1252</v>
      </c>
      <c r="F50" s="577"/>
      <c r="G50" s="577"/>
      <c r="H50" s="577"/>
      <c r="I50" s="568"/>
      <c r="J50" s="568"/>
    </row>
    <row r="51" spans="2:29" x14ac:dyDescent="0.35">
      <c r="C51" s="536" t="s">
        <v>1253</v>
      </c>
      <c r="F51" s="577"/>
      <c r="G51" s="577"/>
      <c r="H51" s="577"/>
      <c r="I51" s="568"/>
      <c r="J51" s="568"/>
    </row>
    <row r="52" spans="2:29" x14ac:dyDescent="0.35">
      <c r="C52" s="536"/>
      <c r="F52" s="577"/>
      <c r="G52" s="577"/>
      <c r="H52" s="577"/>
      <c r="I52" s="568"/>
      <c r="J52" s="568"/>
    </row>
    <row r="53" spans="2:29" x14ac:dyDescent="0.35">
      <c r="C53" s="536"/>
      <c r="D53" s="617" t="s">
        <v>1254</v>
      </c>
      <c r="E53" s="618" t="s">
        <v>527</v>
      </c>
      <c r="F53" s="577"/>
      <c r="G53" s="577"/>
      <c r="H53" s="577"/>
      <c r="I53" s="568"/>
      <c r="J53" s="568"/>
    </row>
    <row r="54" spans="2:29" x14ac:dyDescent="0.35">
      <c r="C54" s="536"/>
      <c r="D54" s="616" t="s">
        <v>43</v>
      </c>
      <c r="F54" s="577"/>
      <c r="G54" s="577"/>
      <c r="H54" s="577"/>
      <c r="I54" s="568"/>
      <c r="J54" s="568"/>
    </row>
    <row r="55" spans="2:29" x14ac:dyDescent="0.35">
      <c r="D55" s="536" t="s">
        <v>472</v>
      </c>
      <c r="E55" s="618">
        <v>1</v>
      </c>
    </row>
    <row r="56" spans="2:29" x14ac:dyDescent="0.35">
      <c r="D56" s="536" t="s">
        <v>474</v>
      </c>
      <c r="E56" s="618">
        <v>2</v>
      </c>
    </row>
    <row r="57" spans="2:29" x14ac:dyDescent="0.35">
      <c r="D57" s="536" t="s">
        <v>475</v>
      </c>
      <c r="E57" s="618" t="s">
        <v>1255</v>
      </c>
    </row>
    <row r="58" spans="2:29" x14ac:dyDescent="0.35">
      <c r="D58" s="616" t="s">
        <v>51</v>
      </c>
      <c r="E58" s="618"/>
    </row>
    <row r="59" spans="2:29" x14ac:dyDescent="0.35">
      <c r="D59" s="536" t="s">
        <v>480</v>
      </c>
      <c r="E59" s="618" t="s">
        <v>1256</v>
      </c>
    </row>
    <row r="60" spans="2:29" x14ac:dyDescent="0.35">
      <c r="D60" s="531" t="s">
        <v>481</v>
      </c>
      <c r="E60" s="618">
        <v>2</v>
      </c>
    </row>
    <row r="61" spans="2:29" x14ac:dyDescent="0.35">
      <c r="D61" s="461" t="s">
        <v>486</v>
      </c>
      <c r="E61" s="618" t="s">
        <v>1257</v>
      </c>
    </row>
    <row r="62" spans="2:29" x14ac:dyDescent="0.35">
      <c r="D62" s="461" t="s">
        <v>487</v>
      </c>
      <c r="E62" s="618" t="s">
        <v>1258</v>
      </c>
    </row>
    <row r="63" spans="2:29" x14ac:dyDescent="0.35">
      <c r="D63" s="578"/>
    </row>
    <row r="64" spans="2:29" x14ac:dyDescent="0.35">
      <c r="D64" s="578"/>
    </row>
    <row r="65" spans="4:4" x14ac:dyDescent="0.35">
      <c r="D65" s="578"/>
    </row>
    <row r="66" spans="4:4" x14ac:dyDescent="0.35">
      <c r="D66" s="578"/>
    </row>
    <row r="67" spans="4:4" x14ac:dyDescent="0.35">
      <c r="D67" s="578"/>
    </row>
    <row r="68" spans="4:4" x14ac:dyDescent="0.35">
      <c r="D68" s="578"/>
    </row>
    <row r="69" spans="4:4" x14ac:dyDescent="0.35">
      <c r="D69" s="578"/>
    </row>
    <row r="70" spans="4:4" x14ac:dyDescent="0.35">
      <c r="D70" s="578"/>
    </row>
    <row r="71" spans="4:4" x14ac:dyDescent="0.35">
      <c r="D71" s="578"/>
    </row>
    <row r="72" spans="4:4" x14ac:dyDescent="0.35">
      <c r="D72" s="578"/>
    </row>
    <row r="73" spans="4:4" x14ac:dyDescent="0.35">
      <c r="D73" s="578"/>
    </row>
    <row r="74" spans="4:4" x14ac:dyDescent="0.35">
      <c r="D74" s="578"/>
    </row>
    <row r="75" spans="4:4" x14ac:dyDescent="0.35">
      <c r="D75" s="578"/>
    </row>
    <row r="76" spans="4:4" x14ac:dyDescent="0.35">
      <c r="D76" s="578"/>
    </row>
    <row r="77" spans="4:4" x14ac:dyDescent="0.35">
      <c r="D77" s="578"/>
    </row>
    <row r="78" spans="4:4" x14ac:dyDescent="0.35">
      <c r="D78" s="578"/>
    </row>
    <row r="79" spans="4:4" x14ac:dyDescent="0.35">
      <c r="D79" s="578"/>
    </row>
    <row r="80" spans="4:4" x14ac:dyDescent="0.35">
      <c r="D80" s="578"/>
    </row>
    <row r="81" spans="4:4" x14ac:dyDescent="0.35">
      <c r="D81" s="578"/>
    </row>
    <row r="82" spans="4:4" x14ac:dyDescent="0.35">
      <c r="D82" s="578"/>
    </row>
    <row r="83" spans="4:4" x14ac:dyDescent="0.35">
      <c r="D83" s="578"/>
    </row>
    <row r="84" spans="4:4" x14ac:dyDescent="0.35">
      <c r="D84" s="578"/>
    </row>
    <row r="85" spans="4:4" x14ac:dyDescent="0.35">
      <c r="D85" s="578"/>
    </row>
    <row r="86" spans="4:4" x14ac:dyDescent="0.35">
      <c r="D86" s="578"/>
    </row>
    <row r="87" spans="4:4" x14ac:dyDescent="0.35">
      <c r="D87" s="578"/>
    </row>
    <row r="88" spans="4:4" x14ac:dyDescent="0.35">
      <c r="D88" s="578"/>
    </row>
    <row r="89" spans="4:4" x14ac:dyDescent="0.35">
      <c r="D89" s="578"/>
    </row>
    <row r="90" spans="4:4" x14ac:dyDescent="0.35">
      <c r="D90" s="578"/>
    </row>
    <row r="91" spans="4:4" x14ac:dyDescent="0.35">
      <c r="D91" s="578"/>
    </row>
    <row r="92" spans="4:4" x14ac:dyDescent="0.35">
      <c r="D92" s="578"/>
    </row>
    <row r="93" spans="4:4" x14ac:dyDescent="0.35">
      <c r="D93" s="578"/>
    </row>
  </sheetData>
  <mergeCells count="2">
    <mergeCell ref="B17:F17"/>
    <mergeCell ref="H23:AC2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60"/>
  <sheetViews>
    <sheetView showGridLines="0" topLeftCell="B4" workbookViewId="0">
      <selection activeCell="I14" sqref="I14"/>
    </sheetView>
  </sheetViews>
  <sheetFormatPr defaultColWidth="8.81640625" defaultRowHeight="10.5" x14ac:dyDescent="0.35"/>
  <cols>
    <col min="1" max="1" width="30.453125" style="4" bestFit="1" customWidth="1"/>
    <col min="2" max="2" width="10.453125" style="4" bestFit="1" customWidth="1"/>
    <col min="3" max="3" width="9.453125" style="4" bestFit="1" customWidth="1"/>
    <col min="4" max="4" width="16.81640625" style="4" bestFit="1" customWidth="1"/>
    <col min="5" max="5" width="11.1796875" style="4" bestFit="1" customWidth="1"/>
    <col min="6" max="6" width="34.453125" style="4" bestFit="1" customWidth="1"/>
    <col min="7" max="7" width="8.81640625" style="4"/>
    <col min="8" max="8" width="27.453125" style="4" bestFit="1" customWidth="1"/>
    <col min="9" max="9" width="11.1796875" style="4" bestFit="1" customWidth="1"/>
    <col min="10" max="10" width="8.81640625" style="4"/>
    <col min="11" max="11" width="9" style="4" bestFit="1" customWidth="1"/>
    <col min="12" max="12" width="8.81640625" style="4"/>
    <col min="13" max="13" width="11" style="4" bestFit="1" customWidth="1"/>
    <col min="14" max="17" width="8.81640625" style="4"/>
    <col min="18" max="18" width="27.1796875" style="4" customWidth="1"/>
    <col min="19" max="19" width="9.1796875" style="4" bestFit="1" customWidth="1"/>
    <col min="20" max="16384" width="8.81640625" style="4"/>
  </cols>
  <sheetData>
    <row r="1" spans="1:20" x14ac:dyDescent="0.35">
      <c r="A1" s="18" t="str">
        <f>Depreciation!A1</f>
        <v>Peternakan Ayam Petelur</v>
      </c>
    </row>
    <row r="2" spans="1:20" x14ac:dyDescent="0.35">
      <c r="A2" s="18" t="str">
        <f>Depreciation!A2</f>
        <v>Financial Pre-Feasibility Study</v>
      </c>
    </row>
    <row r="3" spans="1:20" x14ac:dyDescent="0.35">
      <c r="A3" s="126" t="s">
        <v>150</v>
      </c>
    </row>
    <row r="6" spans="1:20" x14ac:dyDescent="0.35">
      <c r="A6" s="11" t="s">
        <v>151</v>
      </c>
      <c r="H6" s="11" t="s">
        <v>202</v>
      </c>
      <c r="R6" s="11" t="s">
        <v>541</v>
      </c>
    </row>
    <row r="7" spans="1:20" x14ac:dyDescent="0.35">
      <c r="A7" s="81" t="s">
        <v>152</v>
      </c>
      <c r="B7" s="4" t="s">
        <v>155</v>
      </c>
      <c r="H7" s="81" t="s">
        <v>152</v>
      </c>
      <c r="I7" s="4" t="s">
        <v>238</v>
      </c>
      <c r="R7" s="81" t="s">
        <v>152</v>
      </c>
      <c r="S7" s="4" t="s">
        <v>543</v>
      </c>
    </row>
    <row r="8" spans="1:20" x14ac:dyDescent="0.35">
      <c r="A8" s="81" t="s">
        <v>153</v>
      </c>
      <c r="B8" s="4" t="s">
        <v>156</v>
      </c>
      <c r="H8" s="81" t="s">
        <v>153</v>
      </c>
      <c r="I8" s="4" t="s">
        <v>203</v>
      </c>
      <c r="R8" s="81" t="s">
        <v>153</v>
      </c>
      <c r="S8" s="4" t="s">
        <v>542</v>
      </c>
    </row>
    <row r="9" spans="1:20" x14ac:dyDescent="0.35">
      <c r="A9" s="81" t="s">
        <v>154</v>
      </c>
      <c r="B9" s="80" t="s">
        <v>157</v>
      </c>
      <c r="H9" s="81" t="s">
        <v>154</v>
      </c>
      <c r="I9" s="83">
        <v>42887</v>
      </c>
      <c r="R9" s="81" t="s">
        <v>154</v>
      </c>
      <c r="S9" s="4" t="s">
        <v>543</v>
      </c>
    </row>
    <row r="11" spans="1:20" x14ac:dyDescent="0.35">
      <c r="A11" s="81" t="s">
        <v>160</v>
      </c>
      <c r="H11" s="81" t="s">
        <v>160</v>
      </c>
      <c r="R11" s="81" t="s">
        <v>160</v>
      </c>
    </row>
    <row r="12" spans="1:20" x14ac:dyDescent="0.35">
      <c r="A12" s="11" t="s">
        <v>162</v>
      </c>
      <c r="B12" s="4">
        <v>100</v>
      </c>
      <c r="C12" s="4" t="s">
        <v>3</v>
      </c>
      <c r="H12" s="11" t="s">
        <v>162</v>
      </c>
      <c r="I12" s="4">
        <v>13000</v>
      </c>
      <c r="J12" s="4" t="s">
        <v>3</v>
      </c>
      <c r="R12" s="11" t="s">
        <v>37</v>
      </c>
      <c r="S12" s="211">
        <v>16</v>
      </c>
      <c r="T12" s="4" t="s">
        <v>35</v>
      </c>
    </row>
    <row r="13" spans="1:20" x14ac:dyDescent="0.35">
      <c r="A13" s="11" t="s">
        <v>161</v>
      </c>
      <c r="B13" s="4">
        <v>24</v>
      </c>
      <c r="C13" s="4" t="s">
        <v>38</v>
      </c>
      <c r="H13" s="11" t="s">
        <v>161</v>
      </c>
      <c r="R13" s="11" t="s">
        <v>39</v>
      </c>
      <c r="S13" s="211">
        <v>18</v>
      </c>
      <c r="T13" s="4" t="s">
        <v>38</v>
      </c>
    </row>
    <row r="14" spans="1:20" x14ac:dyDescent="0.35">
      <c r="A14" s="11" t="s">
        <v>163</v>
      </c>
      <c r="B14" s="71" t="s">
        <v>158</v>
      </c>
      <c r="C14" s="4" t="s">
        <v>159</v>
      </c>
      <c r="H14" s="11" t="s">
        <v>163</v>
      </c>
      <c r="R14" s="11" t="s">
        <v>36</v>
      </c>
      <c r="S14" s="211">
        <v>20</v>
      </c>
      <c r="T14" s="4" t="s">
        <v>35</v>
      </c>
    </row>
    <row r="15" spans="1:20" x14ac:dyDescent="0.35">
      <c r="A15" s="11" t="s">
        <v>164</v>
      </c>
      <c r="B15" s="13" t="s">
        <v>168</v>
      </c>
      <c r="C15" s="13" t="s">
        <v>169</v>
      </c>
      <c r="D15" s="13" t="s">
        <v>174</v>
      </c>
      <c r="E15" s="13" t="s">
        <v>175</v>
      </c>
      <c r="H15" s="11" t="s">
        <v>164</v>
      </c>
      <c r="R15" s="11" t="s">
        <v>40</v>
      </c>
    </row>
    <row r="16" spans="1:20" x14ac:dyDescent="0.35">
      <c r="A16" s="15" t="s">
        <v>165</v>
      </c>
      <c r="D16" s="44"/>
      <c r="E16" s="44">
        <v>3850000</v>
      </c>
      <c r="H16" s="15" t="s">
        <v>226</v>
      </c>
      <c r="I16" s="4">
        <v>5</v>
      </c>
      <c r="J16" s="4" t="s">
        <v>227</v>
      </c>
      <c r="R16" s="12" t="s">
        <v>41</v>
      </c>
      <c r="S16" s="212">
        <v>5000000</v>
      </c>
      <c r="T16" s="4" t="s">
        <v>25</v>
      </c>
    </row>
    <row r="17" spans="1:20" x14ac:dyDescent="0.35">
      <c r="A17" s="15" t="s">
        <v>166</v>
      </c>
      <c r="D17" s="44"/>
      <c r="E17" s="44">
        <v>3850000</v>
      </c>
      <c r="H17" s="15" t="s">
        <v>228</v>
      </c>
      <c r="I17" s="4">
        <v>694420000</v>
      </c>
      <c r="J17" s="4" t="s">
        <v>24</v>
      </c>
      <c r="R17" s="12" t="s">
        <v>42</v>
      </c>
      <c r="S17" s="212">
        <v>500000</v>
      </c>
      <c r="T17" s="4" t="s">
        <v>25</v>
      </c>
    </row>
    <row r="18" spans="1:20" x14ac:dyDescent="0.35">
      <c r="A18" s="15" t="s">
        <v>167</v>
      </c>
      <c r="B18" s="4" t="s">
        <v>170</v>
      </c>
      <c r="C18" s="4" t="s">
        <v>171</v>
      </c>
      <c r="D18" s="44">
        <v>89000</v>
      </c>
      <c r="E18" s="44">
        <v>89000</v>
      </c>
      <c r="H18" s="15" t="s">
        <v>229</v>
      </c>
      <c r="I18" s="4">
        <v>22560000</v>
      </c>
      <c r="J18" s="4" t="s">
        <v>24</v>
      </c>
      <c r="R18" s="11" t="s">
        <v>45</v>
      </c>
    </row>
    <row r="19" spans="1:20" x14ac:dyDescent="0.35">
      <c r="A19" s="15" t="s">
        <v>172</v>
      </c>
      <c r="B19" s="4" t="s">
        <v>173</v>
      </c>
      <c r="C19" s="4">
        <v>50</v>
      </c>
      <c r="D19" s="44">
        <v>7000</v>
      </c>
      <c r="E19" s="44">
        <f>C19*D19</f>
        <v>350000</v>
      </c>
      <c r="H19" s="15" t="s">
        <v>230</v>
      </c>
      <c r="I19" s="4">
        <v>95872167</v>
      </c>
      <c r="J19" s="4" t="s">
        <v>24</v>
      </c>
      <c r="R19" s="12" t="s">
        <v>46</v>
      </c>
      <c r="S19" s="211">
        <v>90</v>
      </c>
      <c r="T19" s="4" t="s">
        <v>44</v>
      </c>
    </row>
    <row r="20" spans="1:20" x14ac:dyDescent="0.35">
      <c r="A20" s="15" t="s">
        <v>176</v>
      </c>
      <c r="B20" s="4" t="s">
        <v>177</v>
      </c>
      <c r="C20" s="4">
        <v>200</v>
      </c>
      <c r="D20" s="44">
        <v>5000</v>
      </c>
      <c r="E20" s="44">
        <f t="shared" ref="E20:E24" si="0">C20*D20</f>
        <v>1000000</v>
      </c>
      <c r="H20" s="11" t="s">
        <v>231</v>
      </c>
      <c r="R20" s="12" t="s">
        <v>47</v>
      </c>
      <c r="S20" s="211">
        <v>112</v>
      </c>
      <c r="T20" s="4" t="s">
        <v>44</v>
      </c>
    </row>
    <row r="21" spans="1:20" x14ac:dyDescent="0.35">
      <c r="A21" s="15" t="s">
        <v>178</v>
      </c>
      <c r="B21" s="4" t="s">
        <v>182</v>
      </c>
      <c r="C21" s="4">
        <v>20</v>
      </c>
      <c r="D21" s="44">
        <v>13000</v>
      </c>
      <c r="E21" s="44">
        <f t="shared" si="0"/>
        <v>260000</v>
      </c>
      <c r="H21" s="15" t="s">
        <v>239</v>
      </c>
      <c r="I21" s="44">
        <v>13000</v>
      </c>
      <c r="J21" s="44" t="s">
        <v>3</v>
      </c>
      <c r="K21" s="44">
        <v>3500</v>
      </c>
      <c r="L21" s="44" t="s">
        <v>7</v>
      </c>
      <c r="M21" s="44">
        <f>I21*K21</f>
        <v>45500000</v>
      </c>
      <c r="N21" s="4" t="s">
        <v>258</v>
      </c>
      <c r="R21" s="11" t="s">
        <v>43</v>
      </c>
    </row>
    <row r="22" spans="1:20" x14ac:dyDescent="0.35">
      <c r="A22" s="15" t="s">
        <v>179</v>
      </c>
      <c r="B22" s="4" t="s">
        <v>54</v>
      </c>
      <c r="C22" s="4">
        <v>1</v>
      </c>
      <c r="D22" s="44">
        <v>200000</v>
      </c>
      <c r="E22" s="44">
        <f t="shared" si="0"/>
        <v>200000</v>
      </c>
      <c r="H22" s="15" t="s">
        <v>232</v>
      </c>
      <c r="R22" s="12" t="s">
        <v>19</v>
      </c>
      <c r="S22" s="212">
        <v>5</v>
      </c>
      <c r="T22" s="4" t="s">
        <v>56</v>
      </c>
    </row>
    <row r="23" spans="1:20" x14ac:dyDescent="0.35">
      <c r="A23" s="15" t="s">
        <v>180</v>
      </c>
      <c r="B23" s="4" t="s">
        <v>54</v>
      </c>
      <c r="C23" s="4">
        <v>2</v>
      </c>
      <c r="D23" s="44">
        <v>10000</v>
      </c>
      <c r="E23" s="44">
        <f t="shared" si="0"/>
        <v>20000</v>
      </c>
      <c r="H23" s="15" t="s">
        <v>233</v>
      </c>
      <c r="I23" s="44">
        <v>14000</v>
      </c>
      <c r="J23" s="44" t="s">
        <v>189</v>
      </c>
      <c r="K23" s="44">
        <v>3250</v>
      </c>
      <c r="L23" s="44" t="s">
        <v>12</v>
      </c>
      <c r="M23" s="44">
        <f>I23*12*K23</f>
        <v>546000000</v>
      </c>
      <c r="N23" s="4" t="s">
        <v>212</v>
      </c>
      <c r="R23" s="12" t="s">
        <v>55</v>
      </c>
      <c r="S23" s="212">
        <v>100000</v>
      </c>
      <c r="T23" s="4" t="s">
        <v>3</v>
      </c>
    </row>
    <row r="24" spans="1:20" x14ac:dyDescent="0.35">
      <c r="A24" s="15" t="s">
        <v>181</v>
      </c>
      <c r="B24" s="4" t="s">
        <v>54</v>
      </c>
      <c r="C24" s="4">
        <v>1</v>
      </c>
      <c r="D24" s="44">
        <v>35000</v>
      </c>
      <c r="E24" s="44">
        <f t="shared" si="0"/>
        <v>35000</v>
      </c>
      <c r="H24" s="15" t="s">
        <v>234</v>
      </c>
      <c r="I24" s="44">
        <v>4000</v>
      </c>
      <c r="J24" s="44" t="s">
        <v>189</v>
      </c>
      <c r="K24" s="44">
        <v>2000</v>
      </c>
      <c r="L24" s="44" t="s">
        <v>12</v>
      </c>
      <c r="M24" s="44">
        <f t="shared" ref="M24:M27" si="1">I24*12*K24</f>
        <v>96000000</v>
      </c>
      <c r="N24" s="4" t="s">
        <v>212</v>
      </c>
      <c r="R24" s="12" t="s">
        <v>14</v>
      </c>
      <c r="S24" s="212">
        <v>600</v>
      </c>
      <c r="T24" s="4" t="s">
        <v>54</v>
      </c>
    </row>
    <row r="25" spans="1:20" x14ac:dyDescent="0.35">
      <c r="A25" s="11" t="s">
        <v>183</v>
      </c>
      <c r="D25" s="44"/>
      <c r="E25" s="44"/>
      <c r="H25" s="15" t="s">
        <v>235</v>
      </c>
      <c r="I25" s="44">
        <v>80</v>
      </c>
      <c r="J25" s="44" t="s">
        <v>197</v>
      </c>
      <c r="K25" s="44">
        <v>3000</v>
      </c>
      <c r="L25" s="44" t="s">
        <v>224</v>
      </c>
      <c r="M25" s="44">
        <f t="shared" si="1"/>
        <v>2880000</v>
      </c>
      <c r="N25" s="4" t="s">
        <v>212</v>
      </c>
      <c r="R25" s="11" t="s">
        <v>48</v>
      </c>
    </row>
    <row r="26" spans="1:20" x14ac:dyDescent="0.35">
      <c r="A26" s="15" t="s">
        <v>184</v>
      </c>
      <c r="B26" s="4" t="s">
        <v>3</v>
      </c>
      <c r="C26" s="4">
        <v>100</v>
      </c>
      <c r="D26" s="44">
        <v>52000</v>
      </c>
      <c r="E26" s="44">
        <f>C26*D26</f>
        <v>5200000</v>
      </c>
      <c r="H26" s="4" t="s">
        <v>236</v>
      </c>
      <c r="I26" s="44">
        <v>14000</v>
      </c>
      <c r="J26" s="44" t="s">
        <v>189</v>
      </c>
      <c r="K26" s="44">
        <v>5000</v>
      </c>
      <c r="L26" s="44" t="s">
        <v>12</v>
      </c>
      <c r="M26" s="44">
        <f t="shared" si="1"/>
        <v>840000000</v>
      </c>
      <c r="N26" s="4" t="s">
        <v>212</v>
      </c>
      <c r="R26" s="12" t="s">
        <v>19</v>
      </c>
      <c r="S26" s="212">
        <v>7</v>
      </c>
      <c r="T26" s="4" t="s">
        <v>56</v>
      </c>
    </row>
    <row r="27" spans="1:20" x14ac:dyDescent="0.35">
      <c r="A27" s="15" t="s">
        <v>49</v>
      </c>
      <c r="B27" s="4" t="s">
        <v>189</v>
      </c>
      <c r="C27" s="4">
        <v>360</v>
      </c>
      <c r="D27" s="44">
        <v>6000</v>
      </c>
      <c r="E27" s="44">
        <f>C27*D27</f>
        <v>2160000</v>
      </c>
      <c r="H27" s="4" t="s">
        <v>237</v>
      </c>
      <c r="I27" s="44">
        <v>3000</v>
      </c>
      <c r="J27" s="44" t="s">
        <v>189</v>
      </c>
      <c r="K27" s="44">
        <v>2500</v>
      </c>
      <c r="L27" s="44" t="s">
        <v>12</v>
      </c>
      <c r="M27" s="44">
        <f t="shared" si="1"/>
        <v>90000000</v>
      </c>
      <c r="N27" s="4" t="s">
        <v>212</v>
      </c>
      <c r="R27" s="12" t="s">
        <v>55</v>
      </c>
      <c r="S27" s="212">
        <v>100000</v>
      </c>
      <c r="T27" s="4" t="s">
        <v>3</v>
      </c>
    </row>
    <row r="28" spans="1:20" x14ac:dyDescent="0.35">
      <c r="A28" s="15" t="s">
        <v>198</v>
      </c>
      <c r="B28" s="4" t="s">
        <v>187</v>
      </c>
      <c r="C28" s="4">
        <v>1</v>
      </c>
      <c r="D28" s="44">
        <v>350000</v>
      </c>
      <c r="E28" s="44">
        <f t="shared" ref="E28:E32" si="2">C28*D28</f>
        <v>350000</v>
      </c>
      <c r="F28" s="4" t="s">
        <v>199</v>
      </c>
      <c r="H28" s="15" t="s">
        <v>240</v>
      </c>
      <c r="I28" s="44">
        <v>360</v>
      </c>
      <c r="J28" s="44" t="s">
        <v>196</v>
      </c>
      <c r="K28" s="44">
        <v>1200</v>
      </c>
      <c r="L28" s="44" t="s">
        <v>224</v>
      </c>
      <c r="M28" s="44">
        <f>I28*K28</f>
        <v>432000</v>
      </c>
      <c r="N28" s="4" t="s">
        <v>212</v>
      </c>
      <c r="R28" s="12" t="s">
        <v>14</v>
      </c>
      <c r="S28" s="212">
        <v>400</v>
      </c>
      <c r="T28" s="4" t="s">
        <v>54</v>
      </c>
    </row>
    <row r="29" spans="1:20" x14ac:dyDescent="0.35">
      <c r="A29" s="15" t="s">
        <v>201</v>
      </c>
      <c r="B29" s="4" t="s">
        <v>190</v>
      </c>
      <c r="C29" s="4">
        <v>1</v>
      </c>
      <c r="D29" s="44">
        <v>26000</v>
      </c>
      <c r="E29" s="44">
        <f t="shared" si="2"/>
        <v>26000</v>
      </c>
      <c r="F29" s="4" t="s">
        <v>200</v>
      </c>
      <c r="H29" s="15" t="s">
        <v>241</v>
      </c>
      <c r="I29" s="44">
        <v>20000</v>
      </c>
      <c r="J29" s="44" t="s">
        <v>249</v>
      </c>
      <c r="K29" s="44">
        <v>1000</v>
      </c>
      <c r="L29" s="44" t="s">
        <v>250</v>
      </c>
      <c r="M29" s="44">
        <f>I29*K29</f>
        <v>20000000</v>
      </c>
      <c r="N29" s="4" t="s">
        <v>212</v>
      </c>
      <c r="R29" s="11" t="s">
        <v>57</v>
      </c>
    </row>
    <row r="30" spans="1:20" x14ac:dyDescent="0.35">
      <c r="A30" s="15" t="s">
        <v>33</v>
      </c>
      <c r="B30" s="4" t="s">
        <v>187</v>
      </c>
      <c r="C30" s="4">
        <v>1</v>
      </c>
      <c r="D30" s="44">
        <v>833000</v>
      </c>
      <c r="E30" s="44">
        <f t="shared" si="2"/>
        <v>833000</v>
      </c>
      <c r="H30" s="15" t="s">
        <v>242</v>
      </c>
      <c r="I30" s="44">
        <v>120</v>
      </c>
      <c r="J30" s="44" t="s">
        <v>189</v>
      </c>
      <c r="K30" s="44">
        <v>1000</v>
      </c>
      <c r="L30" s="44" t="s">
        <v>12</v>
      </c>
      <c r="M30" s="44">
        <f>I30*K30*12</f>
        <v>1440000</v>
      </c>
      <c r="N30" s="4" t="s">
        <v>212</v>
      </c>
      <c r="R30" s="12" t="s">
        <v>19</v>
      </c>
      <c r="S30" s="212">
        <v>450</v>
      </c>
      <c r="T30" s="4" t="s">
        <v>56</v>
      </c>
    </row>
    <row r="31" spans="1:20" x14ac:dyDescent="0.35">
      <c r="A31" s="15" t="s">
        <v>185</v>
      </c>
      <c r="B31" s="4" t="s">
        <v>187</v>
      </c>
      <c r="C31" s="4">
        <v>1</v>
      </c>
      <c r="D31" s="44">
        <v>550000</v>
      </c>
      <c r="E31" s="44">
        <f t="shared" si="2"/>
        <v>550000</v>
      </c>
      <c r="F31" s="4" t="s">
        <v>193</v>
      </c>
      <c r="H31" s="15" t="s">
        <v>243</v>
      </c>
      <c r="I31" s="44">
        <v>2</v>
      </c>
      <c r="J31" s="44" t="s">
        <v>257</v>
      </c>
      <c r="K31" s="44">
        <v>5000</v>
      </c>
      <c r="L31" s="44" t="s">
        <v>250</v>
      </c>
      <c r="M31" s="44">
        <f>I31*K31*12</f>
        <v>120000</v>
      </c>
      <c r="N31" s="4" t="s">
        <v>212</v>
      </c>
      <c r="R31" s="12" t="s">
        <v>55</v>
      </c>
      <c r="S31" s="212">
        <v>100000</v>
      </c>
      <c r="T31" s="4" t="s">
        <v>3</v>
      </c>
    </row>
    <row r="32" spans="1:20" x14ac:dyDescent="0.35">
      <c r="A32" s="15" t="s">
        <v>191</v>
      </c>
      <c r="B32" s="4" t="s">
        <v>24</v>
      </c>
      <c r="C32" s="4">
        <v>1</v>
      </c>
      <c r="D32" s="44">
        <v>750000</v>
      </c>
      <c r="E32" s="44">
        <f t="shared" si="2"/>
        <v>750000</v>
      </c>
      <c r="H32" s="15" t="s">
        <v>244</v>
      </c>
      <c r="I32" s="44">
        <v>17</v>
      </c>
      <c r="J32" s="44" t="s">
        <v>251</v>
      </c>
      <c r="K32" s="44">
        <v>50000</v>
      </c>
      <c r="L32" s="44" t="s">
        <v>256</v>
      </c>
      <c r="M32" s="44">
        <f>I32*K32*12</f>
        <v>10200000</v>
      </c>
      <c r="N32" s="4" t="s">
        <v>212</v>
      </c>
      <c r="R32" s="12" t="s">
        <v>14</v>
      </c>
      <c r="S32" s="212">
        <v>1500</v>
      </c>
      <c r="T32" s="4" t="s">
        <v>54</v>
      </c>
    </row>
    <row r="33" spans="1:20" x14ac:dyDescent="0.35">
      <c r="A33" s="11" t="s">
        <v>194</v>
      </c>
      <c r="D33" s="44"/>
      <c r="E33" s="44"/>
      <c r="H33" s="15" t="s">
        <v>245</v>
      </c>
      <c r="I33" s="44">
        <v>20</v>
      </c>
      <c r="J33" s="44" t="s">
        <v>188</v>
      </c>
      <c r="K33" s="44">
        <v>20000</v>
      </c>
      <c r="L33" s="44" t="s">
        <v>17</v>
      </c>
      <c r="M33" s="44">
        <f t="shared" ref="M33:M36" si="3">I33*K33</f>
        <v>400000</v>
      </c>
      <c r="N33" s="4" t="s">
        <v>212</v>
      </c>
    </row>
    <row r="34" spans="1:20" x14ac:dyDescent="0.35">
      <c r="A34" s="15" t="s">
        <v>27</v>
      </c>
      <c r="B34" s="4" t="s">
        <v>189</v>
      </c>
      <c r="C34" s="4">
        <f>6*30</f>
        <v>180</v>
      </c>
      <c r="D34" s="44">
        <v>13000</v>
      </c>
      <c r="E34" s="44">
        <f>C34*30*D34</f>
        <v>70200000</v>
      </c>
      <c r="H34" s="15" t="s">
        <v>246</v>
      </c>
      <c r="I34" s="44">
        <v>100</v>
      </c>
      <c r="J34" s="44" t="s">
        <v>252</v>
      </c>
      <c r="K34" s="44">
        <v>17500</v>
      </c>
      <c r="L34" s="44" t="s">
        <v>254</v>
      </c>
      <c r="M34" s="44">
        <f t="shared" si="3"/>
        <v>1750000</v>
      </c>
      <c r="N34" s="4" t="s">
        <v>212</v>
      </c>
    </row>
    <row r="35" spans="1:20" x14ac:dyDescent="0.35">
      <c r="A35" s="15" t="s">
        <v>28</v>
      </c>
      <c r="B35" s="4" t="s">
        <v>186</v>
      </c>
      <c r="C35" s="4">
        <v>5</v>
      </c>
      <c r="D35" s="44">
        <v>25000</v>
      </c>
      <c r="E35" s="44">
        <f>C35*D35</f>
        <v>125000</v>
      </c>
      <c r="H35" s="15" t="s">
        <v>247</v>
      </c>
      <c r="I35" s="4">
        <v>50</v>
      </c>
      <c r="J35" s="4" t="s">
        <v>188</v>
      </c>
      <c r="K35" s="4">
        <v>35000</v>
      </c>
      <c r="L35" s="4" t="s">
        <v>17</v>
      </c>
      <c r="M35" s="44">
        <f t="shared" si="3"/>
        <v>1750000</v>
      </c>
      <c r="N35" s="4" t="s">
        <v>212</v>
      </c>
    </row>
    <row r="36" spans="1:20" x14ac:dyDescent="0.35">
      <c r="A36" s="15" t="s">
        <v>192</v>
      </c>
      <c r="B36" s="4" t="s">
        <v>197</v>
      </c>
      <c r="C36" s="4">
        <f>5*30</f>
        <v>150</v>
      </c>
      <c r="D36" s="44">
        <v>5000</v>
      </c>
      <c r="E36" s="44">
        <f>C36*30*D36</f>
        <v>22500000</v>
      </c>
      <c r="H36" s="15" t="s">
        <v>248</v>
      </c>
      <c r="I36" s="4">
        <v>540</v>
      </c>
      <c r="J36" s="4" t="s">
        <v>253</v>
      </c>
      <c r="K36" s="4">
        <v>15000</v>
      </c>
      <c r="L36" s="4" t="s">
        <v>255</v>
      </c>
      <c r="M36" s="44">
        <f t="shared" si="3"/>
        <v>8100000</v>
      </c>
      <c r="N36" s="4" t="s">
        <v>212</v>
      </c>
      <c r="R36" s="12"/>
      <c r="S36" s="213"/>
      <c r="T36" s="3"/>
    </row>
    <row r="37" spans="1:20" x14ac:dyDescent="0.35">
      <c r="D37" s="44"/>
      <c r="E37" s="44"/>
      <c r="H37" s="4" t="s">
        <v>259</v>
      </c>
    </row>
    <row r="38" spans="1:20" x14ac:dyDescent="0.35">
      <c r="H38" s="4" t="s">
        <v>260</v>
      </c>
    </row>
    <row r="39" spans="1:20" x14ac:dyDescent="0.35">
      <c r="H39" s="12" t="s">
        <v>261</v>
      </c>
      <c r="I39" s="4" t="s">
        <v>262</v>
      </c>
    </row>
    <row r="40" spans="1:20" x14ac:dyDescent="0.35">
      <c r="H40" s="12" t="s">
        <v>263</v>
      </c>
      <c r="I40" s="4" t="s">
        <v>264</v>
      </c>
    </row>
    <row r="41" spans="1:20" x14ac:dyDescent="0.35">
      <c r="H41" s="12" t="s">
        <v>265</v>
      </c>
      <c r="I41" s="12" t="s">
        <v>266</v>
      </c>
    </row>
    <row r="42" spans="1:20" x14ac:dyDescent="0.35">
      <c r="H42" s="11" t="s">
        <v>225</v>
      </c>
    </row>
    <row r="43" spans="1:20" x14ac:dyDescent="0.35">
      <c r="H43" s="15" t="s">
        <v>27</v>
      </c>
    </row>
    <row r="44" spans="1:20" x14ac:dyDescent="0.35">
      <c r="H44" s="82" t="s">
        <v>204</v>
      </c>
      <c r="I44" s="44">
        <v>90</v>
      </c>
      <c r="J44" s="4" t="s">
        <v>205</v>
      </c>
    </row>
    <row r="45" spans="1:20" x14ac:dyDescent="0.35">
      <c r="H45" s="82" t="s">
        <v>207</v>
      </c>
      <c r="I45" s="44">
        <f>I44%*I12</f>
        <v>11700</v>
      </c>
      <c r="J45" s="4" t="s">
        <v>209</v>
      </c>
    </row>
    <row r="46" spans="1:20" x14ac:dyDescent="0.35">
      <c r="H46" s="82" t="s">
        <v>208</v>
      </c>
      <c r="I46" s="44">
        <v>60</v>
      </c>
      <c r="J46" s="4" t="s">
        <v>210</v>
      </c>
    </row>
    <row r="47" spans="1:20" x14ac:dyDescent="0.35">
      <c r="H47" s="15"/>
      <c r="I47" s="84">
        <f>I45*60/1000</f>
        <v>702</v>
      </c>
      <c r="J47" s="4" t="s">
        <v>195</v>
      </c>
      <c r="K47" s="44">
        <f>I47*365</f>
        <v>256230</v>
      </c>
      <c r="L47" s="4" t="s">
        <v>211</v>
      </c>
    </row>
    <row r="48" spans="1:20" x14ac:dyDescent="0.35">
      <c r="H48" s="82" t="s">
        <v>206</v>
      </c>
      <c r="I48" s="44">
        <v>13200</v>
      </c>
      <c r="J48" s="4" t="s">
        <v>12</v>
      </c>
    </row>
    <row r="49" spans="8:10" x14ac:dyDescent="0.35">
      <c r="H49" s="82" t="s">
        <v>218</v>
      </c>
      <c r="I49" s="44">
        <f>K47*I48</f>
        <v>3382236000</v>
      </c>
      <c r="J49" s="4" t="s">
        <v>212</v>
      </c>
    </row>
    <row r="50" spans="8:10" x14ac:dyDescent="0.35">
      <c r="H50" s="15" t="s">
        <v>28</v>
      </c>
      <c r="I50" s="44"/>
    </row>
    <row r="51" spans="8:10" x14ac:dyDescent="0.35">
      <c r="H51" s="82" t="s">
        <v>213</v>
      </c>
      <c r="I51" s="44"/>
    </row>
    <row r="52" spans="8:10" x14ac:dyDescent="0.35">
      <c r="H52" s="82" t="s">
        <v>214</v>
      </c>
      <c r="I52" s="44">
        <v>80</v>
      </c>
      <c r="J52" s="4" t="s">
        <v>205</v>
      </c>
    </row>
    <row r="53" spans="8:10" x14ac:dyDescent="0.35">
      <c r="H53" s="82" t="s">
        <v>215</v>
      </c>
      <c r="I53" s="44">
        <f>I52%*I12</f>
        <v>10400</v>
      </c>
      <c r="J53" s="4" t="s">
        <v>3</v>
      </c>
    </row>
    <row r="54" spans="8:10" x14ac:dyDescent="0.35">
      <c r="H54" s="82" t="s">
        <v>216</v>
      </c>
      <c r="I54" s="44">
        <v>30000</v>
      </c>
      <c r="J54" s="4" t="s">
        <v>7</v>
      </c>
    </row>
    <row r="55" spans="8:10" x14ac:dyDescent="0.35">
      <c r="H55" s="82" t="s">
        <v>217</v>
      </c>
      <c r="I55" s="44">
        <f>I53*I54</f>
        <v>312000000</v>
      </c>
      <c r="J55" s="4" t="s">
        <v>24</v>
      </c>
    </row>
    <row r="56" spans="8:10" x14ac:dyDescent="0.35">
      <c r="H56" s="4" t="s">
        <v>219</v>
      </c>
      <c r="I56" s="44"/>
    </row>
    <row r="57" spans="8:10" x14ac:dyDescent="0.35">
      <c r="H57" s="82" t="s">
        <v>220</v>
      </c>
      <c r="I57" s="44">
        <v>1000</v>
      </c>
      <c r="J57" s="4" t="s">
        <v>197</v>
      </c>
    </row>
    <row r="58" spans="8:10" x14ac:dyDescent="0.35">
      <c r="H58" s="15"/>
      <c r="I58" s="44">
        <f>I57*12</f>
        <v>12000</v>
      </c>
      <c r="J58" s="4" t="s">
        <v>221</v>
      </c>
    </row>
    <row r="59" spans="8:10" x14ac:dyDescent="0.35">
      <c r="H59" s="82" t="s">
        <v>223</v>
      </c>
      <c r="I59" s="44">
        <v>4500</v>
      </c>
      <c r="J59" s="4" t="s">
        <v>224</v>
      </c>
    </row>
    <row r="60" spans="8:10" x14ac:dyDescent="0.35">
      <c r="H60" s="82" t="s">
        <v>222</v>
      </c>
      <c r="I60" s="44">
        <f>I58*I59</f>
        <v>54000000</v>
      </c>
      <c r="J60" s="4" t="s">
        <v>212</v>
      </c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8282-08EB-4E3E-9B90-1C24C0CE9226}">
  <dimension ref="A1:X78"/>
  <sheetViews>
    <sheetView showGridLines="0" zoomScale="120" zoomScaleNormal="120" workbookViewId="0">
      <pane xSplit="5" ySplit="7" topLeftCell="I8" activePane="bottomRight" state="frozen"/>
      <selection activeCell="I1" sqref="I1"/>
      <selection pane="topRight" activeCell="I1" sqref="I1"/>
      <selection pane="bottomLeft" activeCell="I1" sqref="I1"/>
      <selection pane="bottomRight" activeCell="M11" sqref="M11"/>
    </sheetView>
  </sheetViews>
  <sheetFormatPr defaultColWidth="13.08984375" defaultRowHeight="10.5" x14ac:dyDescent="0.5"/>
  <cols>
    <col min="1" max="1" width="4" style="663" customWidth="1"/>
    <col min="2" max="2" width="18.54296875" style="663" customWidth="1"/>
    <col min="3" max="3" width="11.6328125" style="663" customWidth="1"/>
    <col min="4" max="4" width="14.90625" style="663" bestFit="1" customWidth="1"/>
    <col min="5" max="5" width="37.81640625" style="663" customWidth="1"/>
    <col min="6" max="6" width="13.08984375" style="663"/>
    <col min="7" max="8" width="12.7265625" style="663" customWidth="1"/>
    <col min="9" max="9" width="16.54296875" style="663" bestFit="1" customWidth="1"/>
    <col min="10" max="10" width="15.6328125" style="663" customWidth="1"/>
    <col min="11" max="11" width="14.7265625" style="663" bestFit="1" customWidth="1"/>
    <col min="12" max="12" width="18.90625" style="663" bestFit="1" customWidth="1"/>
    <col min="13" max="13" width="19.453125" style="663" bestFit="1" customWidth="1"/>
    <col min="14" max="14" width="23.08984375" style="663" bestFit="1" customWidth="1"/>
    <col min="15" max="15" width="8.1796875" style="663" customWidth="1"/>
    <col min="16" max="16" width="14.90625" style="663" bestFit="1" customWidth="1"/>
    <col min="17" max="17" width="13.81640625" style="663" bestFit="1" customWidth="1"/>
    <col min="18" max="18" width="15.08984375" style="663" bestFit="1" customWidth="1"/>
    <col min="19" max="20" width="16" style="663" bestFit="1" customWidth="1"/>
    <col min="21" max="21" width="14.1796875" style="663" bestFit="1" customWidth="1"/>
    <col min="22" max="22" width="13.08984375" style="663"/>
    <col min="23" max="23" width="13.81640625" style="663" bestFit="1" customWidth="1"/>
    <col min="24" max="16384" width="13.08984375" style="663"/>
  </cols>
  <sheetData>
    <row r="1" spans="1:24" x14ac:dyDescent="0.35">
      <c r="A1" s="372" t="str">
        <f>[3]Assumption!A1</f>
        <v>Bisnis Truk Thermoking</v>
      </c>
      <c r="J1" s="664"/>
      <c r="K1" s="664"/>
      <c r="L1" s="664"/>
    </row>
    <row r="2" spans="1:24" x14ac:dyDescent="0.35">
      <c r="A2" s="372" t="str">
        <f>[3]Assumption!A2</f>
        <v>Financial Pre-Feasibility Study</v>
      </c>
      <c r="I2" s="665"/>
      <c r="J2" s="664"/>
      <c r="K2" s="664"/>
      <c r="L2" s="664"/>
      <c r="M2" s="665"/>
    </row>
    <row r="3" spans="1:24" x14ac:dyDescent="0.5">
      <c r="A3" s="666" t="s">
        <v>1285</v>
      </c>
    </row>
    <row r="5" spans="1:24" x14ac:dyDescent="0.5">
      <c r="G5" s="664"/>
      <c r="H5" s="664"/>
      <c r="I5" s="664"/>
      <c r="J5" s="667"/>
      <c r="K5" s="668"/>
      <c r="L5" s="667"/>
      <c r="M5" s="669"/>
      <c r="N5" s="716" t="s">
        <v>910</v>
      </c>
    </row>
    <row r="6" spans="1:24" ht="43.5" customHeight="1" x14ac:dyDescent="0.5">
      <c r="A6" s="419" t="s">
        <v>95</v>
      </c>
      <c r="B6" s="420"/>
      <c r="C6" s="420"/>
      <c r="D6" s="420"/>
      <c r="E6" s="420"/>
      <c r="G6" s="671" t="s">
        <v>269</v>
      </c>
      <c r="H6" s="671"/>
      <c r="I6" s="672" t="s">
        <v>1286</v>
      </c>
      <c r="J6" s="671" t="s">
        <v>1320</v>
      </c>
      <c r="K6" s="671" t="s">
        <v>1287</v>
      </c>
      <c r="L6" s="671" t="s">
        <v>1288</v>
      </c>
      <c r="M6" s="671" t="s">
        <v>1289</v>
      </c>
      <c r="N6" s="671" t="s">
        <v>1290</v>
      </c>
      <c r="P6" s="671"/>
      <c r="Q6" s="672"/>
      <c r="R6" s="671"/>
      <c r="S6" s="671"/>
      <c r="T6" s="671"/>
      <c r="U6" s="671"/>
      <c r="V6" s="671"/>
      <c r="W6" s="671"/>
    </row>
    <row r="7" spans="1:24" ht="11.25" customHeight="1" x14ac:dyDescent="0.5">
      <c r="A7" s="419"/>
      <c r="B7" s="420"/>
      <c r="C7" s="420"/>
      <c r="D7" s="420"/>
      <c r="E7" s="420"/>
      <c r="G7" s="671"/>
      <c r="H7" s="671"/>
      <c r="I7" s="672"/>
      <c r="J7" s="671"/>
      <c r="K7" s="671"/>
      <c r="L7" s="671"/>
      <c r="M7" s="671"/>
      <c r="N7" s="671"/>
      <c r="P7" s="671"/>
      <c r="Q7" s="672"/>
      <c r="R7" s="671"/>
      <c r="S7" s="671"/>
      <c r="T7" s="671"/>
      <c r="U7" s="671"/>
      <c r="V7" s="671"/>
      <c r="W7" s="671"/>
    </row>
    <row r="8" spans="1:24" x14ac:dyDescent="0.5">
      <c r="A8" s="663" t="s">
        <v>67</v>
      </c>
      <c r="B8" s="663" t="s">
        <v>1291</v>
      </c>
      <c r="G8" s="667">
        <v>1</v>
      </c>
      <c r="H8" s="667" t="s">
        <v>1317</v>
      </c>
      <c r="I8" s="673"/>
      <c r="J8" s="673"/>
      <c r="K8" s="670"/>
      <c r="L8" s="673"/>
      <c r="M8" s="673"/>
      <c r="N8" s="674"/>
      <c r="P8" s="675" t="s">
        <v>443</v>
      </c>
      <c r="Q8" s="676" t="s">
        <v>1292</v>
      </c>
      <c r="R8" s="676" t="s">
        <v>1293</v>
      </c>
      <c r="S8" s="677" t="s">
        <v>1294</v>
      </c>
      <c r="T8" s="676" t="s">
        <v>1295</v>
      </c>
      <c r="U8" s="676" t="s">
        <v>1296</v>
      </c>
      <c r="V8" s="678"/>
      <c r="W8" s="679"/>
    </row>
    <row r="9" spans="1:24" x14ac:dyDescent="0.5">
      <c r="B9" s="663" t="s">
        <v>1316</v>
      </c>
      <c r="C9" s="663" t="s">
        <v>1297</v>
      </c>
      <c r="D9" s="680">
        <f>CapitalInvestment!AB12/10^3</f>
        <v>2170000</v>
      </c>
      <c r="E9" s="663" t="s">
        <v>1298</v>
      </c>
      <c r="H9" s="663" t="s">
        <v>1318</v>
      </c>
      <c r="J9" s="670">
        <f>D9</f>
        <v>2170000</v>
      </c>
      <c r="K9" s="670">
        <v>0</v>
      </c>
      <c r="L9" s="673">
        <f>J9-K9</f>
        <v>2170000</v>
      </c>
      <c r="M9" s="673">
        <f>(J9+L9)*0.5*(D11%*1/2)</f>
        <v>86800</v>
      </c>
      <c r="N9" s="681">
        <v>0</v>
      </c>
      <c r="P9" s="675">
        <v>1</v>
      </c>
      <c r="Q9" s="676">
        <v>2700000000</v>
      </c>
      <c r="R9" s="676">
        <v>18000000</v>
      </c>
      <c r="S9" s="677">
        <v>56250000</v>
      </c>
      <c r="T9" s="676">
        <v>74250000</v>
      </c>
      <c r="U9" s="676">
        <v>2643750000</v>
      </c>
      <c r="V9" s="678"/>
      <c r="W9" s="679"/>
    </row>
    <row r="10" spans="1:24" x14ac:dyDescent="0.5">
      <c r="A10" s="682" t="s">
        <v>68</v>
      </c>
      <c r="B10" s="663" t="s">
        <v>1299</v>
      </c>
      <c r="G10" s="667">
        <v>2</v>
      </c>
      <c r="H10" s="667"/>
      <c r="J10" s="673">
        <f>L9+M9-N9</f>
        <v>2256800</v>
      </c>
      <c r="K10" s="670">
        <f>$D$21</f>
        <v>542500</v>
      </c>
      <c r="L10" s="673">
        <f>J10-K10</f>
        <v>1714300</v>
      </c>
      <c r="M10" s="673">
        <f>(J10+L10)*($D$11%)</f>
        <v>317688</v>
      </c>
      <c r="N10" s="681">
        <f>M10</f>
        <v>317688</v>
      </c>
      <c r="P10" s="675">
        <v>2</v>
      </c>
      <c r="Q10" s="676">
        <v>2643750000</v>
      </c>
      <c r="R10" s="676">
        <v>18000000</v>
      </c>
      <c r="S10" s="677">
        <v>56250000</v>
      </c>
      <c r="T10" s="676">
        <v>74250000</v>
      </c>
      <c r="U10" s="676">
        <v>2587500000</v>
      </c>
      <c r="V10" s="678"/>
      <c r="W10" s="679"/>
      <c r="X10" s="683"/>
    </row>
    <row r="11" spans="1:24" x14ac:dyDescent="0.5">
      <c r="B11" s="663" t="s">
        <v>1300</v>
      </c>
      <c r="D11" s="684">
        <f>Asumsi!D35</f>
        <v>8</v>
      </c>
      <c r="E11" s="663" t="s">
        <v>148</v>
      </c>
      <c r="G11" s="667">
        <f>G10+1</f>
        <v>3</v>
      </c>
      <c r="H11" s="667"/>
      <c r="I11" s="670"/>
      <c r="J11" s="673">
        <f>L10+M10-N10</f>
        <v>1714300</v>
      </c>
      <c r="K11" s="670">
        <f t="shared" ref="K11:K13" si="0">$D$21</f>
        <v>542500</v>
      </c>
      <c r="L11" s="673">
        <f>J11-K11</f>
        <v>1171800</v>
      </c>
      <c r="M11" s="673">
        <f>(J11+L11)*($D$11%)</f>
        <v>230888</v>
      </c>
      <c r="N11" s="681">
        <f>M11</f>
        <v>230888</v>
      </c>
      <c r="P11" s="675">
        <v>3</v>
      </c>
      <c r="Q11" s="676">
        <v>2587500000</v>
      </c>
      <c r="R11" s="676">
        <v>18000000</v>
      </c>
      <c r="S11" s="677">
        <v>56250000</v>
      </c>
      <c r="T11" s="676">
        <v>74250000</v>
      </c>
      <c r="U11" s="676">
        <v>2531250000</v>
      </c>
      <c r="V11" s="678"/>
      <c r="W11" s="679"/>
      <c r="X11" s="683"/>
    </row>
    <row r="12" spans="1:24" x14ac:dyDescent="0.5">
      <c r="B12" s="663" t="s">
        <v>1301</v>
      </c>
      <c r="D12" s="684">
        <f>Asumsi!D36</f>
        <v>4</v>
      </c>
      <c r="E12" s="663" t="s">
        <v>227</v>
      </c>
      <c r="G12" s="667">
        <f t="shared" ref="G12:G18" si="1">G11+1</f>
        <v>4</v>
      </c>
      <c r="H12" s="667"/>
      <c r="I12" s="670"/>
      <c r="J12" s="673">
        <f>L11+M11-N11</f>
        <v>1171800</v>
      </c>
      <c r="K12" s="670">
        <f t="shared" si="0"/>
        <v>542500</v>
      </c>
      <c r="L12" s="673">
        <f t="shared" ref="L11:L12" si="2">J12-K12</f>
        <v>629300</v>
      </c>
      <c r="M12" s="673">
        <f>(J12+L12)*($D$11%)</f>
        <v>144088</v>
      </c>
      <c r="N12" s="681">
        <f>M12</f>
        <v>144088</v>
      </c>
      <c r="P12" s="675">
        <v>4</v>
      </c>
      <c r="Q12" s="676">
        <v>2531250000</v>
      </c>
      <c r="R12" s="676">
        <v>18000000</v>
      </c>
      <c r="S12" s="677">
        <v>56250000</v>
      </c>
      <c r="T12" s="676">
        <v>74250000</v>
      </c>
      <c r="U12" s="676">
        <v>2475000000</v>
      </c>
      <c r="V12" s="678"/>
      <c r="W12" s="679"/>
    </row>
    <row r="13" spans="1:24" x14ac:dyDescent="0.5">
      <c r="B13" s="663" t="s">
        <v>1302</v>
      </c>
      <c r="D13" s="685">
        <f>Asumsi!D37</f>
        <v>18</v>
      </c>
      <c r="E13" s="663" t="s">
        <v>1319</v>
      </c>
      <c r="G13" s="667">
        <f t="shared" si="1"/>
        <v>5</v>
      </c>
      <c r="H13" s="667"/>
      <c r="I13" s="670"/>
      <c r="J13" s="673">
        <f>L12+M12-N12</f>
        <v>629300</v>
      </c>
      <c r="K13" s="670">
        <f t="shared" si="0"/>
        <v>542500</v>
      </c>
      <c r="L13" s="673">
        <f>J13-K13</f>
        <v>86800</v>
      </c>
      <c r="M13" s="673">
        <f>(J13+L13)*($D$11%)</f>
        <v>57288</v>
      </c>
      <c r="N13" s="681">
        <f>M13</f>
        <v>57288</v>
      </c>
      <c r="P13" s="675">
        <v>5</v>
      </c>
      <c r="Q13" s="676">
        <v>2475000000</v>
      </c>
      <c r="R13" s="676">
        <v>18000000</v>
      </c>
      <c r="S13" s="677">
        <v>56250000</v>
      </c>
      <c r="T13" s="676">
        <v>74250000</v>
      </c>
      <c r="U13" s="676">
        <v>2418750000</v>
      </c>
      <c r="V13" s="678"/>
      <c r="W13" s="679"/>
    </row>
    <row r="14" spans="1:24" x14ac:dyDescent="0.5">
      <c r="B14" s="663" t="s">
        <v>1303</v>
      </c>
      <c r="D14" s="686">
        <f>[3]Assumption!E20</f>
        <v>15000</v>
      </c>
      <c r="E14" s="663" t="s">
        <v>1304</v>
      </c>
      <c r="G14" s="667">
        <f t="shared" si="1"/>
        <v>6</v>
      </c>
      <c r="H14" s="667"/>
      <c r="I14" s="670"/>
      <c r="J14" s="673">
        <f>L13+M13-N13</f>
        <v>86800</v>
      </c>
      <c r="K14" s="673">
        <v>0</v>
      </c>
      <c r="L14" s="673">
        <f>J14-K14</f>
        <v>86800</v>
      </c>
      <c r="M14" s="673">
        <f>(J14+L14)*($D$11%)</f>
        <v>13888</v>
      </c>
      <c r="N14" s="681">
        <f t="shared" ref="N14:N19" si="3">M14</f>
        <v>13888</v>
      </c>
      <c r="P14" s="675">
        <v>6</v>
      </c>
      <c r="Q14" s="676">
        <v>2418750000</v>
      </c>
      <c r="R14" s="676">
        <v>18000000</v>
      </c>
      <c r="S14" s="677">
        <v>56250000</v>
      </c>
      <c r="T14" s="676">
        <v>74250000</v>
      </c>
      <c r="U14" s="676">
        <v>2362500000</v>
      </c>
      <c r="V14" s="678"/>
      <c r="W14" s="679"/>
    </row>
    <row r="15" spans="1:24" x14ac:dyDescent="0.5">
      <c r="A15" s="682" t="s">
        <v>69</v>
      </c>
      <c r="B15" s="663" t="s">
        <v>1305</v>
      </c>
      <c r="D15" s="687"/>
      <c r="G15" s="667">
        <f t="shared" si="1"/>
        <v>7</v>
      </c>
      <c r="H15" s="667"/>
      <c r="I15" s="670"/>
      <c r="J15" s="673">
        <v>0</v>
      </c>
      <c r="K15" s="673">
        <v>0</v>
      </c>
      <c r="L15" s="673">
        <f t="shared" ref="L15:L18" si="4">J15-K15</f>
        <v>0</v>
      </c>
      <c r="M15" s="673">
        <f>(J15+L15)*($D$11%)</f>
        <v>0</v>
      </c>
      <c r="N15" s="681">
        <f t="shared" si="3"/>
        <v>0</v>
      </c>
      <c r="P15" s="675">
        <v>7</v>
      </c>
      <c r="Q15" s="676">
        <v>2362500000</v>
      </c>
      <c r="R15" s="676">
        <v>18000000</v>
      </c>
      <c r="S15" s="677">
        <v>56250000</v>
      </c>
      <c r="T15" s="676">
        <v>74250000</v>
      </c>
      <c r="U15" s="676">
        <v>2306250000</v>
      </c>
      <c r="V15" s="678"/>
      <c r="W15" s="679"/>
    </row>
    <row r="16" spans="1:24" x14ac:dyDescent="0.5">
      <c r="A16" s="682" t="s">
        <v>971</v>
      </c>
      <c r="B16" s="663" t="s">
        <v>1306</v>
      </c>
      <c r="G16" s="667">
        <f t="shared" si="1"/>
        <v>8</v>
      </c>
      <c r="H16" s="667"/>
      <c r="I16" s="670"/>
      <c r="J16" s="673">
        <v>0</v>
      </c>
      <c r="K16" s="673">
        <f>K15</f>
        <v>0</v>
      </c>
      <c r="L16" s="673">
        <f t="shared" si="4"/>
        <v>0</v>
      </c>
      <c r="M16" s="673">
        <f t="shared" ref="M14:M18" si="5">((J16+L16)/2)*$D$11%</f>
        <v>0</v>
      </c>
      <c r="N16" s="681">
        <f t="shared" si="3"/>
        <v>0</v>
      </c>
      <c r="P16" s="675">
        <v>8</v>
      </c>
      <c r="Q16" s="676">
        <v>2306250000</v>
      </c>
      <c r="R16" s="676">
        <v>18000000</v>
      </c>
      <c r="S16" s="677">
        <v>56250000</v>
      </c>
      <c r="T16" s="676">
        <v>74250000</v>
      </c>
      <c r="U16" s="676">
        <v>2250000000</v>
      </c>
      <c r="V16" s="678"/>
      <c r="W16" s="679"/>
    </row>
    <row r="17" spans="1:23" x14ac:dyDescent="0.5">
      <c r="B17" s="663" t="s">
        <v>1307</v>
      </c>
      <c r="G17" s="667">
        <f t="shared" si="1"/>
        <v>9</v>
      </c>
      <c r="H17" s="667"/>
      <c r="I17" s="670"/>
      <c r="J17" s="673">
        <v>0</v>
      </c>
      <c r="K17" s="673">
        <f t="shared" ref="K17:K18" si="6">K16</f>
        <v>0</v>
      </c>
      <c r="L17" s="673">
        <f t="shared" si="4"/>
        <v>0</v>
      </c>
      <c r="M17" s="673">
        <f t="shared" si="5"/>
        <v>0</v>
      </c>
      <c r="N17" s="681">
        <f t="shared" si="3"/>
        <v>0</v>
      </c>
      <c r="P17" s="675">
        <v>9</v>
      </c>
      <c r="Q17" s="676">
        <v>2250000000</v>
      </c>
      <c r="R17" s="676">
        <v>18000000</v>
      </c>
      <c r="S17" s="677">
        <v>56250000</v>
      </c>
      <c r="T17" s="676">
        <v>74250000</v>
      </c>
      <c r="U17" s="676">
        <v>2193750000</v>
      </c>
      <c r="V17" s="678"/>
      <c r="W17" s="679"/>
    </row>
    <row r="18" spans="1:23" x14ac:dyDescent="0.5">
      <c r="A18" s="682" t="s">
        <v>1308</v>
      </c>
      <c r="B18" s="663" t="s">
        <v>1309</v>
      </c>
      <c r="G18" s="667">
        <f t="shared" si="1"/>
        <v>10</v>
      </c>
      <c r="H18" s="667"/>
      <c r="I18" s="670"/>
      <c r="J18" s="673">
        <v>0</v>
      </c>
      <c r="K18" s="673">
        <f t="shared" si="6"/>
        <v>0</v>
      </c>
      <c r="L18" s="673">
        <f t="shared" si="4"/>
        <v>0</v>
      </c>
      <c r="M18" s="673">
        <f t="shared" si="5"/>
        <v>0</v>
      </c>
      <c r="N18" s="681">
        <f t="shared" si="3"/>
        <v>0</v>
      </c>
      <c r="P18" s="675">
        <v>10</v>
      </c>
      <c r="Q18" s="676">
        <v>2193750000</v>
      </c>
      <c r="R18" s="676">
        <v>18000000</v>
      </c>
      <c r="S18" s="677">
        <v>56250000</v>
      </c>
      <c r="T18" s="676">
        <v>74250000</v>
      </c>
      <c r="U18" s="676">
        <v>2137500000</v>
      </c>
      <c r="V18" s="678"/>
      <c r="W18" s="679"/>
    </row>
    <row r="19" spans="1:23" x14ac:dyDescent="0.5">
      <c r="A19" s="682" t="s">
        <v>1310</v>
      </c>
      <c r="B19" s="663" t="s">
        <v>1311</v>
      </c>
      <c r="G19" s="688"/>
      <c r="H19" s="688"/>
      <c r="I19" s="688"/>
      <c r="J19" s="688"/>
      <c r="K19" s="688"/>
      <c r="L19" s="688"/>
      <c r="M19" s="689">
        <f>SUM(M8:M18)</f>
        <v>850640</v>
      </c>
      <c r="N19" s="689">
        <f t="shared" si="3"/>
        <v>850640</v>
      </c>
      <c r="P19" s="675">
        <v>11</v>
      </c>
      <c r="Q19" s="676">
        <v>2137500000</v>
      </c>
      <c r="R19" s="676">
        <v>18000000</v>
      </c>
      <c r="S19" s="677">
        <v>56250000</v>
      </c>
      <c r="T19" s="676">
        <v>74250000</v>
      </c>
      <c r="U19" s="676">
        <v>2081250000</v>
      </c>
      <c r="V19" s="678"/>
      <c r="W19" s="679"/>
    </row>
    <row r="20" spans="1:23" x14ac:dyDescent="0.5">
      <c r="B20" s="663" t="s">
        <v>1312</v>
      </c>
      <c r="D20" s="680"/>
      <c r="E20" s="663" t="s">
        <v>24</v>
      </c>
      <c r="I20" s="690">
        <f>J10</f>
        <v>2256800</v>
      </c>
      <c r="K20" s="690">
        <f>SUM(K10:K18)</f>
        <v>2170000</v>
      </c>
      <c r="L20" s="691" t="s">
        <v>1313</v>
      </c>
      <c r="M20" s="692"/>
      <c r="P20" s="675">
        <v>12</v>
      </c>
      <c r="Q20" s="676">
        <v>2081250000</v>
      </c>
      <c r="R20" s="676">
        <v>18000000</v>
      </c>
      <c r="S20" s="693">
        <v>56250000</v>
      </c>
      <c r="T20" s="693">
        <v>74250000</v>
      </c>
      <c r="U20" s="693">
        <v>2025000000</v>
      </c>
      <c r="V20" s="678"/>
      <c r="W20" s="679"/>
    </row>
    <row r="21" spans="1:23" s="664" customFormat="1" x14ac:dyDescent="0.5">
      <c r="A21" s="664" t="s">
        <v>1323</v>
      </c>
      <c r="B21" s="664" t="s">
        <v>1324</v>
      </c>
      <c r="D21" s="717">
        <f>D9/D12</f>
        <v>542500</v>
      </c>
      <c r="M21" s="694"/>
      <c r="P21" s="695"/>
      <c r="Q21" s="696"/>
      <c r="R21" s="697">
        <v>216000000</v>
      </c>
      <c r="S21" s="693">
        <v>675000000</v>
      </c>
      <c r="T21" s="697">
        <v>891000000</v>
      </c>
      <c r="U21" s="697"/>
      <c r="V21" s="698"/>
      <c r="W21" s="696"/>
    </row>
    <row r="22" spans="1:23" x14ac:dyDescent="0.5">
      <c r="M22" s="665"/>
      <c r="P22" s="675">
        <v>13</v>
      </c>
      <c r="Q22" s="679">
        <v>2025000000</v>
      </c>
      <c r="R22" s="676">
        <v>18000000</v>
      </c>
      <c r="S22" s="677">
        <v>56250000</v>
      </c>
      <c r="T22" s="676">
        <v>74250000</v>
      </c>
      <c r="U22" s="676">
        <v>1968750000</v>
      </c>
      <c r="V22" s="678"/>
      <c r="W22" s="679"/>
    </row>
    <row r="23" spans="1:23" x14ac:dyDescent="0.5">
      <c r="K23" s="665"/>
      <c r="L23" s="699"/>
      <c r="P23" s="675">
        <v>14</v>
      </c>
      <c r="Q23" s="679">
        <v>1968750000</v>
      </c>
      <c r="R23" s="676">
        <v>18000000</v>
      </c>
      <c r="S23" s="677">
        <v>56250000</v>
      </c>
      <c r="T23" s="676">
        <v>74250000</v>
      </c>
      <c r="U23" s="676">
        <v>1912500000</v>
      </c>
      <c r="V23" s="678"/>
      <c r="W23" s="679"/>
    </row>
    <row r="24" spans="1:23" x14ac:dyDescent="0.5">
      <c r="P24" s="675">
        <v>15</v>
      </c>
      <c r="Q24" s="679">
        <v>1912500000</v>
      </c>
      <c r="R24" s="676">
        <v>18000000</v>
      </c>
      <c r="S24" s="677">
        <v>56250000</v>
      </c>
      <c r="T24" s="676">
        <v>74250000</v>
      </c>
      <c r="U24" s="676">
        <v>1856250000</v>
      </c>
      <c r="V24" s="678"/>
      <c r="W24" s="679"/>
    </row>
    <row r="25" spans="1:23" x14ac:dyDescent="0.5">
      <c r="J25" s="700"/>
      <c r="L25" s="691"/>
      <c r="P25" s="675">
        <v>16</v>
      </c>
      <c r="Q25" s="679">
        <v>1856250000</v>
      </c>
      <c r="R25" s="676">
        <v>18000000</v>
      </c>
      <c r="S25" s="677">
        <v>56250000</v>
      </c>
      <c r="T25" s="676">
        <v>74250000</v>
      </c>
      <c r="U25" s="676">
        <v>1800000000</v>
      </c>
      <c r="V25" s="678"/>
      <c r="W25" s="679"/>
    </row>
    <row r="26" spans="1:23" x14ac:dyDescent="0.5">
      <c r="P26" s="675">
        <v>17</v>
      </c>
      <c r="Q26" s="679">
        <v>1800000000</v>
      </c>
      <c r="R26" s="676">
        <v>18000000</v>
      </c>
      <c r="S26" s="677">
        <v>56250000</v>
      </c>
      <c r="T26" s="676">
        <v>74250000</v>
      </c>
      <c r="U26" s="676">
        <v>1743750000</v>
      </c>
      <c r="V26" s="678"/>
      <c r="W26" s="679"/>
    </row>
    <row r="27" spans="1:23" x14ac:dyDescent="0.5">
      <c r="P27" s="675">
        <v>18</v>
      </c>
      <c r="Q27" s="679">
        <v>1743750000</v>
      </c>
      <c r="R27" s="676">
        <v>18000000</v>
      </c>
      <c r="S27" s="677">
        <v>56250000</v>
      </c>
      <c r="T27" s="676">
        <v>74250000</v>
      </c>
      <c r="U27" s="676">
        <v>1687500000</v>
      </c>
      <c r="V27" s="678"/>
      <c r="W27" s="679">
        <v>2300000000</v>
      </c>
    </row>
    <row r="28" spans="1:23" x14ac:dyDescent="0.5">
      <c r="I28" s="701"/>
      <c r="L28" s="699"/>
      <c r="M28" s="665"/>
      <c r="P28" s="675">
        <v>19</v>
      </c>
      <c r="Q28" s="679">
        <v>1687500000</v>
      </c>
      <c r="R28" s="676">
        <v>18000000</v>
      </c>
      <c r="S28" s="677">
        <v>56250000</v>
      </c>
      <c r="T28" s="676">
        <v>74250000</v>
      </c>
      <c r="U28" s="676">
        <v>1631250000</v>
      </c>
      <c r="V28" s="678"/>
      <c r="W28" s="679"/>
    </row>
    <row r="29" spans="1:23" x14ac:dyDescent="0.5">
      <c r="I29" s="701"/>
      <c r="L29" s="699"/>
      <c r="M29" s="665"/>
      <c r="P29" s="675">
        <v>20</v>
      </c>
      <c r="Q29" s="679">
        <v>1631250000</v>
      </c>
      <c r="R29" s="676">
        <v>18000000</v>
      </c>
      <c r="S29" s="677">
        <v>56250000</v>
      </c>
      <c r="T29" s="676">
        <v>74250000</v>
      </c>
      <c r="U29" s="676">
        <v>1575000000</v>
      </c>
      <c r="V29" s="678"/>
      <c r="W29" s="679"/>
    </row>
    <row r="30" spans="1:23" x14ac:dyDescent="0.5">
      <c r="L30" s="699"/>
      <c r="M30" s="665"/>
      <c r="P30" s="675">
        <v>21</v>
      </c>
      <c r="Q30" s="679">
        <v>1575000000</v>
      </c>
      <c r="R30" s="676">
        <v>18000000</v>
      </c>
      <c r="S30" s="677">
        <v>56250000</v>
      </c>
      <c r="T30" s="676">
        <v>74250000</v>
      </c>
      <c r="U30" s="676">
        <v>1518750000</v>
      </c>
      <c r="V30" s="678"/>
      <c r="W30" s="679"/>
    </row>
    <row r="31" spans="1:23" x14ac:dyDescent="0.5">
      <c r="L31" s="699"/>
      <c r="M31" s="665"/>
      <c r="P31" s="675">
        <v>22</v>
      </c>
      <c r="Q31" s="679">
        <v>1518750000</v>
      </c>
      <c r="R31" s="676">
        <v>18000000</v>
      </c>
      <c r="S31" s="677">
        <v>56250000</v>
      </c>
      <c r="T31" s="676">
        <v>74250000</v>
      </c>
      <c r="U31" s="676">
        <v>1462500000</v>
      </c>
      <c r="V31" s="678"/>
      <c r="W31" s="679"/>
    </row>
    <row r="32" spans="1:23" x14ac:dyDescent="0.5">
      <c r="L32" s="699"/>
      <c r="M32" s="665"/>
      <c r="P32" s="675">
        <v>23</v>
      </c>
      <c r="Q32" s="676">
        <v>1462500000</v>
      </c>
      <c r="R32" s="676">
        <v>18000000</v>
      </c>
      <c r="S32" s="677">
        <v>56250000</v>
      </c>
      <c r="T32" s="676">
        <v>74250000</v>
      </c>
      <c r="U32" s="676">
        <v>1406250000</v>
      </c>
      <c r="V32" s="678"/>
      <c r="W32" s="679"/>
    </row>
    <row r="33" spans="9:23" x14ac:dyDescent="0.5">
      <c r="I33" s="701"/>
      <c r="L33" s="699"/>
      <c r="P33" s="675">
        <v>24</v>
      </c>
      <c r="Q33" s="676">
        <v>1406250000</v>
      </c>
      <c r="R33" s="676">
        <v>18000000</v>
      </c>
      <c r="S33" s="677">
        <v>56250000</v>
      </c>
      <c r="T33" s="677">
        <v>74250000</v>
      </c>
      <c r="U33" s="693">
        <v>1350000000</v>
      </c>
      <c r="V33" s="678"/>
      <c r="W33" s="679"/>
    </row>
    <row r="34" spans="9:23" s="664" customFormat="1" x14ac:dyDescent="0.5">
      <c r="L34" s="702"/>
      <c r="P34" s="695"/>
      <c r="Q34" s="696"/>
      <c r="R34" s="697">
        <v>216000000</v>
      </c>
      <c r="S34" s="693">
        <v>675000000</v>
      </c>
      <c r="T34" s="697">
        <v>891000000</v>
      </c>
      <c r="U34" s="697"/>
      <c r="V34" s="698"/>
      <c r="W34" s="696"/>
    </row>
    <row r="35" spans="9:23" x14ac:dyDescent="0.5">
      <c r="L35" s="699"/>
      <c r="P35" s="675">
        <v>25</v>
      </c>
      <c r="Q35" s="679">
        <v>1350000000</v>
      </c>
      <c r="R35" s="676">
        <v>18000000</v>
      </c>
      <c r="S35" s="677">
        <v>56250000</v>
      </c>
      <c r="T35" s="676">
        <v>74250000</v>
      </c>
      <c r="U35" s="676">
        <v>1293750000</v>
      </c>
      <c r="V35" s="678"/>
      <c r="W35" s="679"/>
    </row>
    <row r="36" spans="9:23" x14ac:dyDescent="0.5">
      <c r="P36" s="675">
        <v>26</v>
      </c>
      <c r="Q36" s="679">
        <v>1293750000</v>
      </c>
      <c r="R36" s="676">
        <v>18000000</v>
      </c>
      <c r="S36" s="677">
        <v>56250000</v>
      </c>
      <c r="T36" s="676">
        <v>74250000</v>
      </c>
      <c r="U36" s="676">
        <v>1237500000</v>
      </c>
      <c r="V36" s="678"/>
      <c r="W36" s="679"/>
    </row>
    <row r="37" spans="9:23" x14ac:dyDescent="0.5">
      <c r="P37" s="675">
        <v>27</v>
      </c>
      <c r="Q37" s="679">
        <v>1237500000</v>
      </c>
      <c r="R37" s="676">
        <v>18000000</v>
      </c>
      <c r="S37" s="677">
        <v>56250000</v>
      </c>
      <c r="T37" s="676">
        <v>74250000</v>
      </c>
      <c r="U37" s="676">
        <v>1181250000</v>
      </c>
      <c r="V37" s="678"/>
      <c r="W37" s="679"/>
    </row>
    <row r="38" spans="9:23" x14ac:dyDescent="0.5">
      <c r="P38" s="675">
        <v>28</v>
      </c>
      <c r="Q38" s="679">
        <v>1181250000</v>
      </c>
      <c r="R38" s="676">
        <v>18000000</v>
      </c>
      <c r="S38" s="677">
        <v>56250000</v>
      </c>
      <c r="T38" s="676">
        <v>74250000</v>
      </c>
      <c r="U38" s="676">
        <v>1125000000</v>
      </c>
      <c r="V38" s="678"/>
      <c r="W38" s="679"/>
    </row>
    <row r="39" spans="9:23" x14ac:dyDescent="0.5">
      <c r="M39" s="673"/>
      <c r="P39" s="675">
        <v>29</v>
      </c>
      <c r="Q39" s="679">
        <v>1125000000</v>
      </c>
      <c r="R39" s="676">
        <v>18000000</v>
      </c>
      <c r="S39" s="677">
        <v>56250000</v>
      </c>
      <c r="T39" s="676">
        <v>74250000</v>
      </c>
      <c r="U39" s="676">
        <v>1068750000</v>
      </c>
      <c r="V39" s="678"/>
      <c r="W39" s="679"/>
    </row>
    <row r="40" spans="9:23" x14ac:dyDescent="0.5">
      <c r="P40" s="675">
        <v>30</v>
      </c>
      <c r="Q40" s="679">
        <v>1068750000</v>
      </c>
      <c r="R40" s="676">
        <v>18000000</v>
      </c>
      <c r="S40" s="677">
        <v>56250000</v>
      </c>
      <c r="T40" s="676">
        <v>74250000</v>
      </c>
      <c r="U40" s="676">
        <v>1012500000</v>
      </c>
      <c r="V40" s="678"/>
      <c r="W40" s="679"/>
    </row>
    <row r="41" spans="9:23" x14ac:dyDescent="0.5">
      <c r="P41" s="675">
        <v>31</v>
      </c>
      <c r="Q41" s="679">
        <v>1012500000</v>
      </c>
      <c r="R41" s="676">
        <v>18000000</v>
      </c>
      <c r="S41" s="677">
        <v>56250000</v>
      </c>
      <c r="T41" s="676">
        <v>74250000</v>
      </c>
      <c r="U41" s="676">
        <v>956250000</v>
      </c>
      <c r="V41" s="678"/>
      <c r="W41" s="679"/>
    </row>
    <row r="42" spans="9:23" x14ac:dyDescent="0.5">
      <c r="P42" s="675">
        <v>32</v>
      </c>
      <c r="Q42" s="679">
        <v>956250000</v>
      </c>
      <c r="R42" s="676">
        <v>18000000</v>
      </c>
      <c r="S42" s="677">
        <v>56250000</v>
      </c>
      <c r="T42" s="676">
        <v>74250000</v>
      </c>
      <c r="U42" s="676">
        <v>900000000</v>
      </c>
      <c r="V42" s="678"/>
      <c r="W42" s="679"/>
    </row>
    <row r="43" spans="9:23" x14ac:dyDescent="0.5">
      <c r="P43" s="675">
        <v>33</v>
      </c>
      <c r="Q43" s="679">
        <v>900000000</v>
      </c>
      <c r="R43" s="676">
        <v>18000000</v>
      </c>
      <c r="S43" s="677">
        <v>56250000</v>
      </c>
      <c r="T43" s="676">
        <v>74250000</v>
      </c>
      <c r="U43" s="676">
        <v>843750000</v>
      </c>
      <c r="V43" s="678"/>
      <c r="W43" s="679"/>
    </row>
    <row r="44" spans="9:23" x14ac:dyDescent="0.5">
      <c r="P44" s="675">
        <v>34</v>
      </c>
      <c r="Q44" s="679">
        <v>843750000</v>
      </c>
      <c r="R44" s="676">
        <v>18000000</v>
      </c>
      <c r="S44" s="677">
        <v>56250000</v>
      </c>
      <c r="T44" s="676">
        <v>74250000</v>
      </c>
      <c r="U44" s="676">
        <v>787500000</v>
      </c>
      <c r="V44" s="678"/>
      <c r="W44" s="679"/>
    </row>
    <row r="45" spans="9:23" x14ac:dyDescent="0.5">
      <c r="P45" s="675">
        <v>35</v>
      </c>
      <c r="Q45" s="676">
        <v>787500000</v>
      </c>
      <c r="R45" s="676">
        <v>18000000</v>
      </c>
      <c r="S45" s="677">
        <v>56250000</v>
      </c>
      <c r="T45" s="676">
        <v>74250000</v>
      </c>
      <c r="U45" s="676">
        <v>731250000</v>
      </c>
      <c r="V45" s="678"/>
      <c r="W45" s="679"/>
    </row>
    <row r="46" spans="9:23" x14ac:dyDescent="0.5">
      <c r="P46" s="675">
        <v>36</v>
      </c>
      <c r="Q46" s="676">
        <v>731250000</v>
      </c>
      <c r="R46" s="676">
        <v>18000000</v>
      </c>
      <c r="S46" s="677">
        <v>56250000</v>
      </c>
      <c r="T46" s="677">
        <v>74250000</v>
      </c>
      <c r="U46" s="677">
        <v>675000000</v>
      </c>
      <c r="V46" s="678"/>
      <c r="W46" s="679"/>
    </row>
    <row r="47" spans="9:23" s="664" customFormat="1" x14ac:dyDescent="0.5">
      <c r="P47" s="695"/>
      <c r="Q47" s="696"/>
      <c r="R47" s="697">
        <v>216000000</v>
      </c>
      <c r="S47" s="693">
        <v>675000000</v>
      </c>
      <c r="T47" s="697">
        <v>891000000</v>
      </c>
      <c r="U47" s="697"/>
      <c r="V47" s="698"/>
      <c r="W47" s="696"/>
    </row>
    <row r="48" spans="9:23" x14ac:dyDescent="0.5">
      <c r="P48" s="675">
        <v>37</v>
      </c>
      <c r="Q48" s="679">
        <v>675000000</v>
      </c>
      <c r="R48" s="676">
        <v>18000000</v>
      </c>
      <c r="S48" s="677">
        <v>56250000</v>
      </c>
      <c r="T48" s="676">
        <v>74250000</v>
      </c>
      <c r="U48" s="676">
        <v>618750000</v>
      </c>
      <c r="V48" s="678"/>
      <c r="W48" s="679"/>
    </row>
    <row r="49" spans="16:23" x14ac:dyDescent="0.5">
      <c r="P49" s="675">
        <v>38</v>
      </c>
      <c r="Q49" s="679">
        <v>618750000</v>
      </c>
      <c r="R49" s="676">
        <v>18000000</v>
      </c>
      <c r="S49" s="677">
        <v>56250000</v>
      </c>
      <c r="T49" s="676">
        <v>74250000</v>
      </c>
      <c r="U49" s="676">
        <v>562500000</v>
      </c>
      <c r="V49" s="678"/>
      <c r="W49" s="679"/>
    </row>
    <row r="50" spans="16:23" x14ac:dyDescent="0.5">
      <c r="P50" s="675">
        <v>39</v>
      </c>
      <c r="Q50" s="679">
        <v>562500000</v>
      </c>
      <c r="R50" s="676">
        <v>18000000</v>
      </c>
      <c r="S50" s="677">
        <v>56250000</v>
      </c>
      <c r="T50" s="676">
        <v>74250000</v>
      </c>
      <c r="U50" s="676">
        <v>506250000</v>
      </c>
      <c r="V50" s="678"/>
      <c r="W50" s="679"/>
    </row>
    <row r="51" spans="16:23" x14ac:dyDescent="0.5">
      <c r="P51" s="675">
        <v>40</v>
      </c>
      <c r="Q51" s="679">
        <v>506250000</v>
      </c>
      <c r="R51" s="676">
        <v>18000000</v>
      </c>
      <c r="S51" s="677">
        <v>56250000</v>
      </c>
      <c r="T51" s="676">
        <v>74250000</v>
      </c>
      <c r="U51" s="676">
        <v>450000000</v>
      </c>
      <c r="V51" s="678"/>
      <c r="W51" s="679"/>
    </row>
    <row r="52" spans="16:23" x14ac:dyDescent="0.5">
      <c r="P52" s="675">
        <v>41</v>
      </c>
      <c r="Q52" s="679">
        <v>450000000</v>
      </c>
      <c r="R52" s="676">
        <v>18000000</v>
      </c>
      <c r="S52" s="677">
        <v>56250000</v>
      </c>
      <c r="T52" s="676">
        <v>74250000</v>
      </c>
      <c r="U52" s="676">
        <v>393750000</v>
      </c>
      <c r="V52" s="678"/>
      <c r="W52" s="679"/>
    </row>
    <row r="53" spans="16:23" x14ac:dyDescent="0.5">
      <c r="P53" s="675">
        <v>42</v>
      </c>
      <c r="Q53" s="679">
        <v>393750000</v>
      </c>
      <c r="R53" s="676">
        <v>18000000</v>
      </c>
      <c r="S53" s="677">
        <v>56250000</v>
      </c>
      <c r="T53" s="676">
        <v>74250000</v>
      </c>
      <c r="U53" s="676">
        <v>337500000</v>
      </c>
      <c r="V53" s="678"/>
      <c r="W53" s="679"/>
    </row>
    <row r="54" spans="16:23" x14ac:dyDescent="0.5">
      <c r="P54" s="675">
        <v>43</v>
      </c>
      <c r="Q54" s="679">
        <v>337500000</v>
      </c>
      <c r="R54" s="676">
        <v>18000000</v>
      </c>
      <c r="S54" s="677">
        <v>56250000</v>
      </c>
      <c r="T54" s="676">
        <v>74250000</v>
      </c>
      <c r="U54" s="676">
        <v>281250000</v>
      </c>
      <c r="V54" s="678"/>
      <c r="W54" s="679"/>
    </row>
    <row r="55" spans="16:23" x14ac:dyDescent="0.5">
      <c r="P55" s="675">
        <v>44</v>
      </c>
      <c r="Q55" s="679">
        <v>281250000</v>
      </c>
      <c r="R55" s="676">
        <v>18000000</v>
      </c>
      <c r="S55" s="677">
        <v>56250000</v>
      </c>
      <c r="T55" s="676">
        <v>74250000</v>
      </c>
      <c r="U55" s="676">
        <v>225000000</v>
      </c>
      <c r="V55" s="678"/>
      <c r="W55" s="679"/>
    </row>
    <row r="56" spans="16:23" x14ac:dyDescent="0.5">
      <c r="P56" s="675">
        <v>45</v>
      </c>
      <c r="Q56" s="679">
        <v>225000000</v>
      </c>
      <c r="R56" s="676">
        <v>18000000</v>
      </c>
      <c r="S56" s="677">
        <v>56250000</v>
      </c>
      <c r="T56" s="676">
        <v>74250000</v>
      </c>
      <c r="U56" s="676">
        <v>168750000</v>
      </c>
      <c r="V56" s="678"/>
      <c r="W56" s="679"/>
    </row>
    <row r="57" spans="16:23" x14ac:dyDescent="0.5">
      <c r="P57" s="675">
        <v>46</v>
      </c>
      <c r="Q57" s="679">
        <v>168750000</v>
      </c>
      <c r="R57" s="676">
        <v>18000000</v>
      </c>
      <c r="S57" s="677">
        <v>56250000</v>
      </c>
      <c r="T57" s="676">
        <v>74250000</v>
      </c>
      <c r="U57" s="676">
        <v>112500000</v>
      </c>
      <c r="V57" s="678"/>
      <c r="W57" s="679"/>
    </row>
    <row r="58" spans="16:23" x14ac:dyDescent="0.5">
      <c r="P58" s="675">
        <v>47</v>
      </c>
      <c r="Q58" s="676">
        <v>112500000</v>
      </c>
      <c r="R58" s="676">
        <v>18000000</v>
      </c>
      <c r="S58" s="677">
        <v>56250000</v>
      </c>
      <c r="T58" s="676">
        <v>74250000</v>
      </c>
      <c r="U58" s="676">
        <v>56250000</v>
      </c>
      <c r="V58" s="678"/>
      <c r="W58" s="679"/>
    </row>
    <row r="59" spans="16:23" x14ac:dyDescent="0.5">
      <c r="P59" s="675">
        <v>48</v>
      </c>
      <c r="Q59" s="676">
        <v>56250000</v>
      </c>
      <c r="R59" s="676">
        <v>18000000</v>
      </c>
      <c r="S59" s="677">
        <v>56250000</v>
      </c>
      <c r="T59" s="677">
        <v>74250000</v>
      </c>
      <c r="U59" s="677">
        <v>0</v>
      </c>
      <c r="V59" s="678"/>
      <c r="W59" s="679"/>
    </row>
    <row r="60" spans="16:23" s="664" customFormat="1" x14ac:dyDescent="0.5">
      <c r="P60" s="695"/>
      <c r="Q60" s="696"/>
      <c r="R60" s="697">
        <v>216000000</v>
      </c>
      <c r="S60" s="693">
        <v>675000000</v>
      </c>
      <c r="T60" s="697">
        <v>891000000</v>
      </c>
      <c r="U60" s="697"/>
      <c r="V60" s="698"/>
      <c r="W60" s="696"/>
    </row>
    <row r="61" spans="16:23" x14ac:dyDescent="0.5">
      <c r="P61" s="675">
        <v>49</v>
      </c>
      <c r="Q61" s="679">
        <v>549292987.92766201</v>
      </c>
      <c r="R61" s="676">
        <v>4348569.4877606584</v>
      </c>
      <c r="S61" s="677">
        <v>43815368.686568968</v>
      </c>
      <c r="T61" s="676">
        <v>48163938.174329624</v>
      </c>
      <c r="U61" s="676">
        <v>505477619.24109304</v>
      </c>
      <c r="V61" s="678"/>
      <c r="W61" s="679"/>
    </row>
    <row r="62" spans="16:23" x14ac:dyDescent="0.5">
      <c r="P62" s="675">
        <v>50</v>
      </c>
      <c r="Q62" s="679">
        <v>505477619.24109304</v>
      </c>
      <c r="R62" s="676">
        <v>4001697.818991987</v>
      </c>
      <c r="S62" s="677">
        <v>44162240.355337642</v>
      </c>
      <c r="T62" s="676">
        <v>48163938.174329631</v>
      </c>
      <c r="U62" s="676">
        <v>461315378.88575542</v>
      </c>
      <c r="V62" s="678"/>
      <c r="W62" s="679"/>
    </row>
    <row r="63" spans="16:23" x14ac:dyDescent="0.5">
      <c r="P63" s="675">
        <v>51</v>
      </c>
      <c r="Q63" s="679">
        <v>461315378.88575542</v>
      </c>
      <c r="R63" s="676">
        <v>3652080.082845564</v>
      </c>
      <c r="S63" s="677">
        <v>44511858.091484062</v>
      </c>
      <c r="T63" s="676">
        <v>48163938.174329624</v>
      </c>
      <c r="U63" s="676">
        <v>416803520.79427135</v>
      </c>
      <c r="V63" s="678"/>
      <c r="W63" s="679"/>
    </row>
    <row r="64" spans="16:23" x14ac:dyDescent="0.5">
      <c r="P64" s="675">
        <v>52</v>
      </c>
      <c r="Q64" s="679">
        <v>416803520.79427135</v>
      </c>
      <c r="R64" s="676">
        <v>3299694.539621315</v>
      </c>
      <c r="S64" s="677">
        <v>44864243.634708315</v>
      </c>
      <c r="T64" s="676">
        <v>48163938.174329631</v>
      </c>
      <c r="U64" s="676">
        <v>371939277.15956306</v>
      </c>
      <c r="V64" s="678"/>
      <c r="W64" s="679"/>
    </row>
    <row r="65" spans="16:23" x14ac:dyDescent="0.5">
      <c r="P65" s="675">
        <v>53</v>
      </c>
      <c r="Q65" s="679">
        <v>371939277.15956306</v>
      </c>
      <c r="R65" s="676">
        <v>2944519.2775132079</v>
      </c>
      <c r="S65" s="677">
        <v>45219418.896816418</v>
      </c>
      <c r="T65" s="676">
        <v>48163938.174329624</v>
      </c>
      <c r="U65" s="676">
        <v>326719858.26274663</v>
      </c>
      <c r="V65" s="678"/>
      <c r="W65" s="679"/>
    </row>
    <row r="66" spans="16:23" x14ac:dyDescent="0.5">
      <c r="P66" s="675">
        <v>54</v>
      </c>
      <c r="Q66" s="679">
        <v>326719858.26274663</v>
      </c>
      <c r="R66" s="676">
        <v>2586532.2112467443</v>
      </c>
      <c r="S66" s="677">
        <v>45577405.96308288</v>
      </c>
      <c r="T66" s="676">
        <v>48163938.174329624</v>
      </c>
      <c r="U66" s="676">
        <v>281142452.29966378</v>
      </c>
      <c r="V66" s="678"/>
      <c r="W66" s="679"/>
    </row>
    <row r="67" spans="16:23" x14ac:dyDescent="0.5">
      <c r="P67" s="675">
        <v>55</v>
      </c>
      <c r="Q67" s="679">
        <v>281142452.29966378</v>
      </c>
      <c r="R67" s="676">
        <v>2225711.0807056716</v>
      </c>
      <c r="S67" s="677">
        <v>45938227.093623951</v>
      </c>
      <c r="T67" s="676">
        <v>48163938.174329624</v>
      </c>
      <c r="U67" s="676">
        <v>235204225.20603985</v>
      </c>
      <c r="V67" s="678"/>
      <c r="W67" s="679"/>
    </row>
    <row r="68" spans="16:23" x14ac:dyDescent="0.5">
      <c r="P68" s="675">
        <v>56</v>
      </c>
      <c r="Q68" s="679">
        <v>235204225.20603985</v>
      </c>
      <c r="R68" s="676">
        <v>1862033.4495478156</v>
      </c>
      <c r="S68" s="677">
        <v>46301904.724781811</v>
      </c>
      <c r="T68" s="676">
        <v>48163938.174329624</v>
      </c>
      <c r="U68" s="676">
        <v>188902320.48125803</v>
      </c>
      <c r="V68" s="678"/>
      <c r="W68" s="679"/>
    </row>
    <row r="69" spans="16:23" x14ac:dyDescent="0.5">
      <c r="P69" s="675">
        <v>57</v>
      </c>
      <c r="Q69" s="679">
        <v>188902320.48125803</v>
      </c>
      <c r="R69" s="676">
        <v>1495476.7038099596</v>
      </c>
      <c r="S69" s="677">
        <v>46668461.470519669</v>
      </c>
      <c r="T69" s="676">
        <v>48163938.174329631</v>
      </c>
      <c r="U69" s="676">
        <v>142233859.01073837</v>
      </c>
      <c r="V69" s="678"/>
      <c r="W69" s="679"/>
    </row>
    <row r="70" spans="16:23" x14ac:dyDescent="0.5">
      <c r="P70" s="675">
        <v>58</v>
      </c>
      <c r="Q70" s="679">
        <v>142233859.01073837</v>
      </c>
      <c r="R70" s="676">
        <v>1126018.0505016788</v>
      </c>
      <c r="S70" s="677">
        <v>47037920.123827942</v>
      </c>
      <c r="T70" s="676">
        <v>48163938.174329624</v>
      </c>
      <c r="U70" s="676">
        <v>95195938.886910439</v>
      </c>
      <c r="V70" s="678"/>
      <c r="W70" s="679"/>
    </row>
    <row r="71" spans="16:23" x14ac:dyDescent="0.5">
      <c r="P71" s="675">
        <v>59</v>
      </c>
      <c r="Q71" s="676">
        <v>95195938.886910439</v>
      </c>
      <c r="R71" s="676">
        <v>753634.51618804107</v>
      </c>
      <c r="S71" s="677">
        <v>47410303.658141583</v>
      </c>
      <c r="T71" s="676">
        <v>48163938.174329624</v>
      </c>
      <c r="U71" s="676">
        <v>47785635.228768855</v>
      </c>
      <c r="V71" s="678"/>
      <c r="W71" s="679"/>
    </row>
    <row r="72" spans="16:23" x14ac:dyDescent="0.5">
      <c r="P72" s="675">
        <v>60</v>
      </c>
      <c r="Q72" s="676">
        <v>47785635.228768855</v>
      </c>
      <c r="R72" s="676">
        <v>378302.94556108682</v>
      </c>
      <c r="S72" s="677">
        <v>47785635.228768542</v>
      </c>
      <c r="T72" s="677">
        <v>48163938.174329631</v>
      </c>
      <c r="U72" s="677">
        <v>3.1292438507080078E-7</v>
      </c>
      <c r="V72" s="678"/>
      <c r="W72" s="679"/>
    </row>
    <row r="73" spans="16:23" x14ac:dyDescent="0.5">
      <c r="P73" s="667"/>
      <c r="R73" s="703">
        <v>28674270.164293732</v>
      </c>
      <c r="S73" s="703">
        <v>549292987.92766178</v>
      </c>
      <c r="T73" s="703">
        <v>577967258.09195554</v>
      </c>
    </row>
    <row r="74" spans="16:23" x14ac:dyDescent="0.5">
      <c r="P74" s="667"/>
    </row>
    <row r="75" spans="16:23" x14ac:dyDescent="0.5">
      <c r="P75" s="667"/>
    </row>
    <row r="76" spans="16:23" x14ac:dyDescent="0.5">
      <c r="P76" s="667"/>
    </row>
    <row r="77" spans="16:23" x14ac:dyDescent="0.5">
      <c r="P77" s="667"/>
    </row>
    <row r="78" spans="16:23" x14ac:dyDescent="0.5">
      <c r="P78" s="667"/>
    </row>
  </sheetData>
  <mergeCells count="2">
    <mergeCell ref="I6:I7"/>
    <mergeCell ref="Q6:Q7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5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3C4E-84E2-4705-987B-6605E23CD0A3}">
  <dimension ref="A1:R75"/>
  <sheetViews>
    <sheetView zoomScale="90" zoomScaleNormal="90" workbookViewId="0">
      <selection activeCell="H11" sqref="H11"/>
    </sheetView>
  </sheetViews>
  <sheetFormatPr defaultRowHeight="15.75" x14ac:dyDescent="0.5"/>
  <cols>
    <col min="1" max="1" width="9.08984375" style="707" bestFit="1" customWidth="1"/>
    <col min="2" max="2" width="24.90625" style="707" bestFit="1" customWidth="1"/>
    <col min="3" max="3" width="33.08984375" style="707" bestFit="1" customWidth="1"/>
    <col min="4" max="5" width="22.54296875" style="707" customWidth="1"/>
    <col min="6" max="6" width="24.90625" style="707" bestFit="1" customWidth="1"/>
    <col min="7" max="7" width="8.7265625" style="707"/>
    <col min="8" max="8" width="21.26953125" style="707" bestFit="1" customWidth="1"/>
    <col min="9" max="9" width="23.453125" style="707" customWidth="1"/>
    <col min="10" max="10" width="8.7265625" style="707"/>
    <col min="11" max="12" width="19.6328125" style="707" bestFit="1" customWidth="1"/>
    <col min="13" max="14" width="8.7265625" style="707"/>
    <col min="15" max="15" width="17.6328125" style="707" customWidth="1"/>
    <col min="16" max="16" width="20.36328125" style="707" bestFit="1" customWidth="1"/>
    <col min="17" max="17" width="8.7265625" style="707"/>
    <col min="18" max="18" width="26.7265625" style="707" bestFit="1" customWidth="1"/>
    <col min="19" max="16384" width="8.7265625" style="707"/>
  </cols>
  <sheetData>
    <row r="1" spans="1:16" x14ac:dyDescent="0.5">
      <c r="A1" s="704" t="s">
        <v>443</v>
      </c>
      <c r="B1" s="704" t="s">
        <v>1292</v>
      </c>
      <c r="C1" s="704" t="s">
        <v>1293</v>
      </c>
      <c r="D1" s="704" t="s">
        <v>1294</v>
      </c>
      <c r="E1" s="704" t="s">
        <v>1295</v>
      </c>
      <c r="F1" s="704" t="s">
        <v>1296</v>
      </c>
      <c r="G1" s="704" t="s">
        <v>31</v>
      </c>
      <c r="H1" s="705" t="s">
        <v>1314</v>
      </c>
      <c r="I1" s="706">
        <v>0.08</v>
      </c>
      <c r="J1" s="706"/>
      <c r="K1" s="707">
        <v>12</v>
      </c>
    </row>
    <row r="2" spans="1:16" x14ac:dyDescent="0.5">
      <c r="A2" s="707">
        <v>1</v>
      </c>
      <c r="B2" s="709">
        <f>I2</f>
        <v>2170000000</v>
      </c>
      <c r="C2" s="709">
        <f>$B$2*($I$1/12)</f>
        <v>14466666.666666668</v>
      </c>
      <c r="D2" s="709">
        <f>$I$2/$I$3</f>
        <v>45208333.333333336</v>
      </c>
      <c r="E2" s="709">
        <f t="shared" ref="E2:E65" si="0">C2+D2</f>
        <v>59675000</v>
      </c>
      <c r="F2" s="709">
        <f t="shared" ref="F2:F13" si="1">B2-D2</f>
        <v>2124791666.6666667</v>
      </c>
      <c r="H2" s="710" t="s">
        <v>1292</v>
      </c>
      <c r="I2" s="711">
        <v>2170000000</v>
      </c>
      <c r="J2" s="706"/>
    </row>
    <row r="3" spans="1:16" x14ac:dyDescent="0.5">
      <c r="A3" s="707">
        <v>2</v>
      </c>
      <c r="B3" s="709">
        <f>F2</f>
        <v>2124791666.6666667</v>
      </c>
      <c r="C3" s="709">
        <f>$B$2*($I$1/12)</f>
        <v>14466666.666666668</v>
      </c>
      <c r="D3" s="709">
        <f t="shared" ref="D3:D13" si="2">$I$2/$I$3</f>
        <v>45208333.333333336</v>
      </c>
      <c r="E3" s="709">
        <f t="shared" si="0"/>
        <v>59675000</v>
      </c>
      <c r="F3" s="709">
        <f t="shared" si="1"/>
        <v>2079583333.3333335</v>
      </c>
      <c r="H3" s="710" t="s">
        <v>374</v>
      </c>
      <c r="I3" s="711">
        <v>48</v>
      </c>
      <c r="J3" s="710" t="s">
        <v>38</v>
      </c>
      <c r="O3" s="709"/>
      <c r="P3" s="709"/>
    </row>
    <row r="4" spans="1:16" x14ac:dyDescent="0.5">
      <c r="A4" s="707">
        <v>3</v>
      </c>
      <c r="B4" s="709">
        <f t="shared" ref="B4:B65" si="3">F3</f>
        <v>2079583333.3333335</v>
      </c>
      <c r="C4" s="709">
        <f t="shared" ref="C4:C65" si="4">$B$2*($I$1/12)</f>
        <v>14466666.666666668</v>
      </c>
      <c r="D4" s="709">
        <f t="shared" si="2"/>
        <v>45208333.333333336</v>
      </c>
      <c r="E4" s="709">
        <f t="shared" si="0"/>
        <v>59675000</v>
      </c>
      <c r="F4" s="709">
        <f t="shared" si="1"/>
        <v>2034375000.0000002</v>
      </c>
      <c r="O4" s="709"/>
      <c r="P4" s="709"/>
    </row>
    <row r="5" spans="1:16" x14ac:dyDescent="0.5">
      <c r="A5" s="707">
        <v>4</v>
      </c>
      <c r="B5" s="709">
        <f t="shared" si="3"/>
        <v>2034375000.0000002</v>
      </c>
      <c r="C5" s="709">
        <f t="shared" si="4"/>
        <v>14466666.666666668</v>
      </c>
      <c r="D5" s="709">
        <f t="shared" si="2"/>
        <v>45208333.333333336</v>
      </c>
      <c r="E5" s="709">
        <f t="shared" si="0"/>
        <v>59675000</v>
      </c>
      <c r="F5" s="709">
        <f t="shared" si="1"/>
        <v>1989166666.666667</v>
      </c>
      <c r="O5" s="709"/>
    </row>
    <row r="6" spans="1:16" x14ac:dyDescent="0.5">
      <c r="A6" s="707">
        <v>5</v>
      </c>
      <c r="B6" s="709">
        <f t="shared" si="3"/>
        <v>1989166666.666667</v>
      </c>
      <c r="C6" s="709">
        <f t="shared" si="4"/>
        <v>14466666.666666668</v>
      </c>
      <c r="D6" s="709">
        <f t="shared" si="2"/>
        <v>45208333.333333336</v>
      </c>
      <c r="E6" s="709">
        <f t="shared" si="0"/>
        <v>59675000</v>
      </c>
      <c r="F6" s="709">
        <f t="shared" si="1"/>
        <v>1943958333.3333337</v>
      </c>
      <c r="O6" s="709"/>
    </row>
    <row r="7" spans="1:16" x14ac:dyDescent="0.5">
      <c r="A7" s="707">
        <v>6</v>
      </c>
      <c r="B7" s="709">
        <f t="shared" si="3"/>
        <v>1943958333.3333337</v>
      </c>
      <c r="C7" s="709">
        <f t="shared" si="4"/>
        <v>14466666.666666668</v>
      </c>
      <c r="D7" s="709">
        <f t="shared" si="2"/>
        <v>45208333.333333336</v>
      </c>
      <c r="E7" s="709">
        <f t="shared" si="0"/>
        <v>59675000</v>
      </c>
      <c r="F7" s="709">
        <f t="shared" si="1"/>
        <v>1898750000.0000005</v>
      </c>
      <c r="O7" s="709"/>
    </row>
    <row r="8" spans="1:16" x14ac:dyDescent="0.5">
      <c r="A8" s="707">
        <v>7</v>
      </c>
      <c r="B8" s="709">
        <f t="shared" si="3"/>
        <v>1898750000.0000005</v>
      </c>
      <c r="C8" s="709">
        <f t="shared" si="4"/>
        <v>14466666.666666668</v>
      </c>
      <c r="D8" s="709">
        <f t="shared" si="2"/>
        <v>45208333.333333336</v>
      </c>
      <c r="E8" s="709">
        <f t="shared" si="0"/>
        <v>59675000</v>
      </c>
      <c r="F8" s="709">
        <f t="shared" si="1"/>
        <v>1853541666.6666672</v>
      </c>
      <c r="O8" s="709"/>
    </row>
    <row r="9" spans="1:16" x14ac:dyDescent="0.5">
      <c r="A9" s="707">
        <v>8</v>
      </c>
      <c r="B9" s="709">
        <f t="shared" si="3"/>
        <v>1853541666.6666672</v>
      </c>
      <c r="C9" s="709">
        <f t="shared" si="4"/>
        <v>14466666.666666668</v>
      </c>
      <c r="D9" s="709">
        <f t="shared" si="2"/>
        <v>45208333.333333336</v>
      </c>
      <c r="E9" s="709">
        <f t="shared" si="0"/>
        <v>59675000</v>
      </c>
      <c r="F9" s="709">
        <f t="shared" si="1"/>
        <v>1808333333.333334</v>
      </c>
      <c r="O9" s="709"/>
    </row>
    <row r="10" spans="1:16" x14ac:dyDescent="0.5">
      <c r="A10" s="707">
        <v>9</v>
      </c>
      <c r="B10" s="709">
        <f t="shared" si="3"/>
        <v>1808333333.333334</v>
      </c>
      <c r="C10" s="709">
        <f t="shared" si="4"/>
        <v>14466666.666666668</v>
      </c>
      <c r="D10" s="709">
        <f t="shared" si="2"/>
        <v>45208333.333333336</v>
      </c>
      <c r="E10" s="709">
        <f t="shared" si="0"/>
        <v>59675000</v>
      </c>
      <c r="F10" s="709">
        <f t="shared" si="1"/>
        <v>1763125000.0000007</v>
      </c>
      <c r="O10" s="709"/>
    </row>
    <row r="11" spans="1:16" x14ac:dyDescent="0.5">
      <c r="A11" s="707">
        <v>10</v>
      </c>
      <c r="B11" s="709">
        <f t="shared" si="3"/>
        <v>1763125000.0000007</v>
      </c>
      <c r="C11" s="709">
        <f t="shared" si="4"/>
        <v>14466666.666666668</v>
      </c>
      <c r="D11" s="709">
        <f t="shared" si="2"/>
        <v>45208333.333333336</v>
      </c>
      <c r="E11" s="709">
        <f t="shared" si="0"/>
        <v>59675000</v>
      </c>
      <c r="F11" s="709">
        <f t="shared" si="1"/>
        <v>1717916666.6666675</v>
      </c>
      <c r="O11" s="709"/>
    </row>
    <row r="12" spans="1:16" x14ac:dyDescent="0.5">
      <c r="A12" s="707">
        <v>11</v>
      </c>
      <c r="B12" s="709">
        <f t="shared" si="3"/>
        <v>1717916666.6666675</v>
      </c>
      <c r="C12" s="709">
        <f t="shared" si="4"/>
        <v>14466666.666666668</v>
      </c>
      <c r="D12" s="709">
        <f t="shared" si="2"/>
        <v>45208333.333333336</v>
      </c>
      <c r="E12" s="709">
        <f t="shared" si="0"/>
        <v>59675000</v>
      </c>
      <c r="F12" s="709">
        <f t="shared" si="1"/>
        <v>1672708333.3333342</v>
      </c>
      <c r="O12" s="709"/>
    </row>
    <row r="13" spans="1:16" x14ac:dyDescent="0.5">
      <c r="A13" s="707">
        <v>12</v>
      </c>
      <c r="B13" s="709">
        <f t="shared" si="3"/>
        <v>1672708333.3333342</v>
      </c>
      <c r="C13" s="709">
        <f t="shared" si="4"/>
        <v>14466666.666666668</v>
      </c>
      <c r="D13" s="709">
        <f t="shared" si="2"/>
        <v>45208333.333333336</v>
      </c>
      <c r="E13" s="709">
        <f t="shared" si="0"/>
        <v>59675000</v>
      </c>
      <c r="F13" s="709">
        <f t="shared" si="1"/>
        <v>1627500000.000001</v>
      </c>
      <c r="O13" s="709"/>
    </row>
    <row r="14" spans="1:16" x14ac:dyDescent="0.5">
      <c r="B14" s="708"/>
      <c r="C14" s="712">
        <f>SUM(C2:C13)</f>
        <v>173600000</v>
      </c>
      <c r="D14" s="712">
        <f>SUM(D2:D13)</f>
        <v>542499999.99999988</v>
      </c>
      <c r="E14" s="712">
        <f>SUM(E2:E13)</f>
        <v>716100000</v>
      </c>
      <c r="F14" s="708"/>
      <c r="O14" s="709"/>
    </row>
    <row r="15" spans="1:16" x14ac:dyDescent="0.5">
      <c r="A15" s="707">
        <v>13</v>
      </c>
      <c r="B15" s="709">
        <f>F13</f>
        <v>1627500000.000001</v>
      </c>
      <c r="C15" s="709">
        <f t="shared" si="4"/>
        <v>14466666.666666668</v>
      </c>
      <c r="D15" s="709">
        <f>$I$2/$I$3</f>
        <v>45208333.333333336</v>
      </c>
      <c r="E15" s="709">
        <f t="shared" si="0"/>
        <v>59675000</v>
      </c>
      <c r="F15" s="709">
        <f t="shared" ref="F15:F26" si="5">B15-D15</f>
        <v>1582291666.6666677</v>
      </c>
      <c r="O15" s="709"/>
    </row>
    <row r="16" spans="1:16" x14ac:dyDescent="0.5">
      <c r="A16" s="707">
        <v>14</v>
      </c>
      <c r="B16" s="709">
        <f t="shared" si="3"/>
        <v>1582291666.6666677</v>
      </c>
      <c r="C16" s="709">
        <f t="shared" si="4"/>
        <v>14466666.666666668</v>
      </c>
      <c r="D16" s="709">
        <f t="shared" ref="D16:D26" si="6">$I$2/$I$3</f>
        <v>45208333.333333336</v>
      </c>
      <c r="E16" s="709">
        <f t="shared" si="0"/>
        <v>59675000</v>
      </c>
      <c r="F16" s="709">
        <f t="shared" si="5"/>
        <v>1537083333.3333344</v>
      </c>
    </row>
    <row r="17" spans="1:18" x14ac:dyDescent="0.5">
      <c r="A17" s="707">
        <v>15</v>
      </c>
      <c r="B17" s="709">
        <f t="shared" si="3"/>
        <v>1537083333.3333344</v>
      </c>
      <c r="C17" s="709">
        <f t="shared" si="4"/>
        <v>14466666.666666668</v>
      </c>
      <c r="D17" s="709">
        <f t="shared" si="6"/>
        <v>45208333.333333336</v>
      </c>
      <c r="E17" s="709">
        <f t="shared" si="0"/>
        <v>59675000</v>
      </c>
      <c r="F17" s="709">
        <f t="shared" si="5"/>
        <v>1491875000.0000012</v>
      </c>
    </row>
    <row r="18" spans="1:18" x14ac:dyDescent="0.5">
      <c r="A18" s="707">
        <v>16</v>
      </c>
      <c r="B18" s="709">
        <f t="shared" si="3"/>
        <v>1491875000.0000012</v>
      </c>
      <c r="C18" s="709">
        <f t="shared" si="4"/>
        <v>14466666.666666668</v>
      </c>
      <c r="D18" s="709">
        <f t="shared" si="6"/>
        <v>45208333.333333336</v>
      </c>
      <c r="E18" s="709">
        <f t="shared" si="0"/>
        <v>59675000</v>
      </c>
      <c r="F18" s="709">
        <f t="shared" si="5"/>
        <v>1446666666.6666679</v>
      </c>
    </row>
    <row r="19" spans="1:18" x14ac:dyDescent="0.5">
      <c r="A19" s="707">
        <v>17</v>
      </c>
      <c r="B19" s="709">
        <f t="shared" si="3"/>
        <v>1446666666.6666679</v>
      </c>
      <c r="C19" s="709">
        <f t="shared" si="4"/>
        <v>14466666.666666668</v>
      </c>
      <c r="D19" s="709">
        <f t="shared" si="6"/>
        <v>45208333.333333336</v>
      </c>
      <c r="E19" s="709">
        <f t="shared" si="0"/>
        <v>59675000</v>
      </c>
      <c r="F19" s="709">
        <f t="shared" si="5"/>
        <v>1401458333.3333347</v>
      </c>
    </row>
    <row r="20" spans="1:18" x14ac:dyDescent="0.5">
      <c r="A20" s="707">
        <v>18</v>
      </c>
      <c r="B20" s="709">
        <f t="shared" si="3"/>
        <v>1401458333.3333347</v>
      </c>
      <c r="C20" s="709">
        <f t="shared" si="4"/>
        <v>14466666.666666668</v>
      </c>
      <c r="D20" s="709">
        <f t="shared" si="6"/>
        <v>45208333.333333336</v>
      </c>
      <c r="E20" s="709">
        <f t="shared" si="0"/>
        <v>59675000</v>
      </c>
      <c r="F20" s="709">
        <f t="shared" si="5"/>
        <v>1356250000.0000014</v>
      </c>
    </row>
    <row r="21" spans="1:18" x14ac:dyDescent="0.5">
      <c r="A21" s="707">
        <v>19</v>
      </c>
      <c r="B21" s="709">
        <f t="shared" si="3"/>
        <v>1356250000.0000014</v>
      </c>
      <c r="C21" s="709">
        <f t="shared" si="4"/>
        <v>14466666.666666668</v>
      </c>
      <c r="D21" s="709">
        <f t="shared" si="6"/>
        <v>45208333.333333336</v>
      </c>
      <c r="E21" s="709">
        <f t="shared" si="0"/>
        <v>59675000</v>
      </c>
      <c r="F21" s="709">
        <f t="shared" si="5"/>
        <v>1311041666.6666682</v>
      </c>
      <c r="P21" s="709">
        <f>R21*0.75%</f>
        <v>17250000</v>
      </c>
      <c r="R21" s="708">
        <v>2300000000</v>
      </c>
    </row>
    <row r="22" spans="1:18" x14ac:dyDescent="0.5">
      <c r="A22" s="707">
        <v>20</v>
      </c>
      <c r="B22" s="709">
        <f t="shared" si="3"/>
        <v>1311041666.6666682</v>
      </c>
      <c r="C22" s="709">
        <f t="shared" si="4"/>
        <v>14466666.666666668</v>
      </c>
      <c r="D22" s="709">
        <f t="shared" si="6"/>
        <v>45208333.333333336</v>
      </c>
      <c r="E22" s="709">
        <f t="shared" si="0"/>
        <v>59675000</v>
      </c>
      <c r="F22" s="709">
        <f t="shared" si="5"/>
        <v>1265833333.3333349</v>
      </c>
      <c r="P22" s="709">
        <f>R21/60</f>
        <v>38333333.333333336</v>
      </c>
    </row>
    <row r="23" spans="1:18" x14ac:dyDescent="0.5">
      <c r="A23" s="707">
        <v>21</v>
      </c>
      <c r="B23" s="709">
        <f t="shared" si="3"/>
        <v>1265833333.3333349</v>
      </c>
      <c r="C23" s="709">
        <f t="shared" si="4"/>
        <v>14466666.666666668</v>
      </c>
      <c r="D23" s="709">
        <f t="shared" si="6"/>
        <v>45208333.333333336</v>
      </c>
      <c r="E23" s="709">
        <f t="shared" si="0"/>
        <v>59675000</v>
      </c>
      <c r="F23" s="709">
        <f t="shared" si="5"/>
        <v>1220625000.0000017</v>
      </c>
      <c r="P23" s="709">
        <f>SUM(P21:P22)</f>
        <v>55583333.333333336</v>
      </c>
    </row>
    <row r="24" spans="1:18" x14ac:dyDescent="0.5">
      <c r="A24" s="707">
        <v>22</v>
      </c>
      <c r="B24" s="709">
        <f t="shared" si="3"/>
        <v>1220625000.0000017</v>
      </c>
      <c r="C24" s="709">
        <f t="shared" si="4"/>
        <v>14466666.666666668</v>
      </c>
      <c r="D24" s="709">
        <f t="shared" si="6"/>
        <v>45208333.333333336</v>
      </c>
      <c r="E24" s="709">
        <f t="shared" si="0"/>
        <v>59675000</v>
      </c>
      <c r="F24" s="709">
        <f t="shared" si="5"/>
        <v>1175416666.6666684</v>
      </c>
    </row>
    <row r="25" spans="1:18" x14ac:dyDescent="0.5">
      <c r="A25" s="707">
        <v>23</v>
      </c>
      <c r="B25" s="709">
        <f t="shared" si="3"/>
        <v>1175416666.6666684</v>
      </c>
      <c r="C25" s="709">
        <f t="shared" si="4"/>
        <v>14466666.666666668</v>
      </c>
      <c r="D25" s="709">
        <f t="shared" si="6"/>
        <v>45208333.333333336</v>
      </c>
      <c r="E25" s="709">
        <f t="shared" si="0"/>
        <v>59675000</v>
      </c>
      <c r="F25" s="709">
        <f t="shared" si="5"/>
        <v>1130208333.3333352</v>
      </c>
    </row>
    <row r="26" spans="1:18" x14ac:dyDescent="0.5">
      <c r="A26" s="707">
        <v>24</v>
      </c>
      <c r="B26" s="709">
        <f t="shared" si="3"/>
        <v>1130208333.3333352</v>
      </c>
      <c r="C26" s="709">
        <f t="shared" si="4"/>
        <v>14466666.666666668</v>
      </c>
      <c r="D26" s="709">
        <f t="shared" si="6"/>
        <v>45208333.333333336</v>
      </c>
      <c r="E26" s="709">
        <f t="shared" si="0"/>
        <v>59675000</v>
      </c>
      <c r="F26" s="709">
        <f t="shared" si="5"/>
        <v>1085000000.0000019</v>
      </c>
    </row>
    <row r="27" spans="1:18" x14ac:dyDescent="0.5">
      <c r="B27" s="708"/>
      <c r="C27" s="713">
        <f>SUM(C15:C26)</f>
        <v>173600000</v>
      </c>
      <c r="D27" s="713">
        <f t="shared" ref="D27:E27" si="7">SUM(D15:D26)</f>
        <v>542499999.99999988</v>
      </c>
      <c r="E27" s="713">
        <f t="shared" si="7"/>
        <v>716100000</v>
      </c>
      <c r="F27" s="708"/>
    </row>
    <row r="28" spans="1:18" x14ac:dyDescent="0.5">
      <c r="A28" s="707">
        <v>25</v>
      </c>
      <c r="B28" s="709">
        <f>F26</f>
        <v>1085000000.0000019</v>
      </c>
      <c r="C28" s="709">
        <f t="shared" si="4"/>
        <v>14466666.666666668</v>
      </c>
      <c r="D28" s="709">
        <f>$I$2/$I$3</f>
        <v>45208333.333333336</v>
      </c>
      <c r="E28" s="709">
        <f t="shared" si="0"/>
        <v>59675000</v>
      </c>
      <c r="F28" s="709">
        <f t="shared" ref="F28:F39" si="8">B28-D28</f>
        <v>1039791666.6666685</v>
      </c>
    </row>
    <row r="29" spans="1:18" x14ac:dyDescent="0.5">
      <c r="A29" s="707">
        <v>26</v>
      </c>
      <c r="B29" s="709">
        <f t="shared" si="3"/>
        <v>1039791666.6666685</v>
      </c>
      <c r="C29" s="709">
        <f t="shared" si="4"/>
        <v>14466666.666666668</v>
      </c>
      <c r="D29" s="709">
        <f t="shared" ref="D29:D39" si="9">$I$2/$I$3</f>
        <v>45208333.333333336</v>
      </c>
      <c r="E29" s="709">
        <f t="shared" si="0"/>
        <v>59675000</v>
      </c>
      <c r="F29" s="709">
        <f t="shared" si="8"/>
        <v>994583333.33333516</v>
      </c>
    </row>
    <row r="30" spans="1:18" x14ac:dyDescent="0.5">
      <c r="A30" s="707">
        <v>27</v>
      </c>
      <c r="B30" s="709">
        <f t="shared" si="3"/>
        <v>994583333.33333516</v>
      </c>
      <c r="C30" s="709">
        <f t="shared" si="4"/>
        <v>14466666.666666668</v>
      </c>
      <c r="D30" s="709">
        <f t="shared" si="9"/>
        <v>45208333.333333336</v>
      </c>
      <c r="E30" s="709">
        <f t="shared" si="0"/>
        <v>59675000</v>
      </c>
      <c r="F30" s="709">
        <f t="shared" si="8"/>
        <v>949375000.00000179</v>
      </c>
    </row>
    <row r="31" spans="1:18" x14ac:dyDescent="0.5">
      <c r="A31" s="707">
        <v>28</v>
      </c>
      <c r="B31" s="709">
        <f t="shared" si="3"/>
        <v>949375000.00000179</v>
      </c>
      <c r="C31" s="709">
        <f t="shared" si="4"/>
        <v>14466666.666666668</v>
      </c>
      <c r="D31" s="709">
        <f t="shared" si="9"/>
        <v>45208333.333333336</v>
      </c>
      <c r="E31" s="709">
        <f t="shared" si="0"/>
        <v>59675000</v>
      </c>
      <c r="F31" s="709">
        <f t="shared" si="8"/>
        <v>904166666.66666842</v>
      </c>
    </row>
    <row r="32" spans="1:18" x14ac:dyDescent="0.5">
      <c r="A32" s="707">
        <v>29</v>
      </c>
      <c r="B32" s="709">
        <f t="shared" si="3"/>
        <v>904166666.66666842</v>
      </c>
      <c r="C32" s="709">
        <f t="shared" si="4"/>
        <v>14466666.666666668</v>
      </c>
      <c r="D32" s="709">
        <f t="shared" si="9"/>
        <v>45208333.333333336</v>
      </c>
      <c r="E32" s="709">
        <f t="shared" si="0"/>
        <v>59675000</v>
      </c>
      <c r="F32" s="709">
        <f t="shared" si="8"/>
        <v>858958333.33333504</v>
      </c>
    </row>
    <row r="33" spans="1:6" x14ac:dyDescent="0.5">
      <c r="A33" s="707">
        <v>30</v>
      </c>
      <c r="B33" s="709">
        <f t="shared" si="3"/>
        <v>858958333.33333504</v>
      </c>
      <c r="C33" s="709">
        <f t="shared" si="4"/>
        <v>14466666.666666668</v>
      </c>
      <c r="D33" s="709">
        <f t="shared" si="9"/>
        <v>45208333.333333336</v>
      </c>
      <c r="E33" s="709">
        <f t="shared" si="0"/>
        <v>59675000</v>
      </c>
      <c r="F33" s="709">
        <f t="shared" si="8"/>
        <v>813750000.00000167</v>
      </c>
    </row>
    <row r="34" spans="1:6" x14ac:dyDescent="0.5">
      <c r="A34" s="707">
        <v>31</v>
      </c>
      <c r="B34" s="709">
        <f t="shared" si="3"/>
        <v>813750000.00000167</v>
      </c>
      <c r="C34" s="709">
        <f t="shared" si="4"/>
        <v>14466666.666666668</v>
      </c>
      <c r="D34" s="709">
        <f t="shared" si="9"/>
        <v>45208333.333333336</v>
      </c>
      <c r="E34" s="709">
        <f t="shared" si="0"/>
        <v>59675000</v>
      </c>
      <c r="F34" s="709">
        <f t="shared" si="8"/>
        <v>768541666.6666683</v>
      </c>
    </row>
    <row r="35" spans="1:6" x14ac:dyDescent="0.5">
      <c r="A35" s="707">
        <v>32</v>
      </c>
      <c r="B35" s="709">
        <f t="shared" si="3"/>
        <v>768541666.6666683</v>
      </c>
      <c r="C35" s="709">
        <f t="shared" si="4"/>
        <v>14466666.666666668</v>
      </c>
      <c r="D35" s="709">
        <f t="shared" si="9"/>
        <v>45208333.333333336</v>
      </c>
      <c r="E35" s="709">
        <f t="shared" si="0"/>
        <v>59675000</v>
      </c>
      <c r="F35" s="709">
        <f t="shared" si="8"/>
        <v>723333333.33333492</v>
      </c>
    </row>
    <row r="36" spans="1:6" x14ac:dyDescent="0.5">
      <c r="A36" s="707">
        <v>33</v>
      </c>
      <c r="B36" s="709">
        <f t="shared" si="3"/>
        <v>723333333.33333492</v>
      </c>
      <c r="C36" s="709">
        <f t="shared" si="4"/>
        <v>14466666.666666668</v>
      </c>
      <c r="D36" s="709">
        <f t="shared" si="9"/>
        <v>45208333.333333336</v>
      </c>
      <c r="E36" s="709">
        <f t="shared" si="0"/>
        <v>59675000</v>
      </c>
      <c r="F36" s="709">
        <f t="shared" si="8"/>
        <v>678125000.00000155</v>
      </c>
    </row>
    <row r="37" spans="1:6" x14ac:dyDescent="0.5">
      <c r="A37" s="707">
        <v>34</v>
      </c>
      <c r="B37" s="709">
        <f t="shared" si="3"/>
        <v>678125000.00000155</v>
      </c>
      <c r="C37" s="709">
        <f t="shared" si="4"/>
        <v>14466666.666666668</v>
      </c>
      <c r="D37" s="709">
        <f t="shared" si="9"/>
        <v>45208333.333333336</v>
      </c>
      <c r="E37" s="709">
        <f t="shared" si="0"/>
        <v>59675000</v>
      </c>
      <c r="F37" s="709">
        <f t="shared" si="8"/>
        <v>632916666.66666818</v>
      </c>
    </row>
    <row r="38" spans="1:6" x14ac:dyDescent="0.5">
      <c r="A38" s="707">
        <v>35</v>
      </c>
      <c r="B38" s="709">
        <f t="shared" si="3"/>
        <v>632916666.66666818</v>
      </c>
      <c r="C38" s="709">
        <f t="shared" si="4"/>
        <v>14466666.666666668</v>
      </c>
      <c r="D38" s="709">
        <f t="shared" si="9"/>
        <v>45208333.333333336</v>
      </c>
      <c r="E38" s="709">
        <f t="shared" si="0"/>
        <v>59675000</v>
      </c>
      <c r="F38" s="709">
        <f t="shared" si="8"/>
        <v>587708333.3333348</v>
      </c>
    </row>
    <row r="39" spans="1:6" x14ac:dyDescent="0.5">
      <c r="A39" s="707">
        <v>36</v>
      </c>
      <c r="B39" s="709">
        <f t="shared" si="3"/>
        <v>587708333.3333348</v>
      </c>
      <c r="C39" s="709">
        <f t="shared" si="4"/>
        <v>14466666.666666668</v>
      </c>
      <c r="D39" s="709">
        <f t="shared" si="9"/>
        <v>45208333.333333336</v>
      </c>
      <c r="E39" s="709">
        <f t="shared" si="0"/>
        <v>59675000</v>
      </c>
      <c r="F39" s="709">
        <f t="shared" si="8"/>
        <v>542500000.00000143</v>
      </c>
    </row>
    <row r="40" spans="1:6" x14ac:dyDescent="0.5">
      <c r="B40" s="708"/>
      <c r="C40" s="713">
        <f>SUM(C28:C39)</f>
        <v>173600000</v>
      </c>
      <c r="D40" s="713">
        <f t="shared" ref="D40:E40" si="10">SUM(D28:D39)</f>
        <v>542499999.99999988</v>
      </c>
      <c r="E40" s="713">
        <f t="shared" si="10"/>
        <v>716100000</v>
      </c>
      <c r="F40" s="708"/>
    </row>
    <row r="41" spans="1:6" x14ac:dyDescent="0.5">
      <c r="A41" s="707">
        <v>37</v>
      </c>
      <c r="B41" s="709">
        <f>F39</f>
        <v>542500000.00000143</v>
      </c>
      <c r="C41" s="709">
        <f t="shared" si="4"/>
        <v>14466666.666666668</v>
      </c>
      <c r="D41" s="709">
        <f>$I$2/$I$3</f>
        <v>45208333.333333336</v>
      </c>
      <c r="E41" s="709">
        <f t="shared" si="0"/>
        <v>59675000</v>
      </c>
      <c r="F41" s="709">
        <f t="shared" ref="F41:F52" si="11">B41-D41</f>
        <v>497291666.66666812</v>
      </c>
    </row>
    <row r="42" spans="1:6" x14ac:dyDescent="0.5">
      <c r="A42" s="707">
        <v>38</v>
      </c>
      <c r="B42" s="709">
        <f t="shared" si="3"/>
        <v>497291666.66666812</v>
      </c>
      <c r="C42" s="709">
        <f t="shared" si="4"/>
        <v>14466666.666666668</v>
      </c>
      <c r="D42" s="709">
        <f t="shared" ref="D42:D52" si="12">$I$2/$I$3</f>
        <v>45208333.333333336</v>
      </c>
      <c r="E42" s="709">
        <f t="shared" si="0"/>
        <v>59675000</v>
      </c>
      <c r="F42" s="709">
        <f t="shared" si="11"/>
        <v>452083333.3333348</v>
      </c>
    </row>
    <row r="43" spans="1:6" x14ac:dyDescent="0.5">
      <c r="A43" s="707">
        <v>39</v>
      </c>
      <c r="B43" s="709">
        <f t="shared" si="3"/>
        <v>452083333.3333348</v>
      </c>
      <c r="C43" s="709">
        <f t="shared" si="4"/>
        <v>14466666.666666668</v>
      </c>
      <c r="D43" s="709">
        <f t="shared" si="12"/>
        <v>45208333.333333336</v>
      </c>
      <c r="E43" s="709">
        <f t="shared" si="0"/>
        <v>59675000</v>
      </c>
      <c r="F43" s="709">
        <f t="shared" si="11"/>
        <v>406875000.00000149</v>
      </c>
    </row>
    <row r="44" spans="1:6" x14ac:dyDescent="0.5">
      <c r="A44" s="707">
        <v>40</v>
      </c>
      <c r="B44" s="709">
        <f t="shared" si="3"/>
        <v>406875000.00000149</v>
      </c>
      <c r="C44" s="709">
        <f t="shared" si="4"/>
        <v>14466666.666666668</v>
      </c>
      <c r="D44" s="709">
        <f t="shared" si="12"/>
        <v>45208333.333333336</v>
      </c>
      <c r="E44" s="709">
        <f t="shared" si="0"/>
        <v>59675000</v>
      </c>
      <c r="F44" s="709">
        <f t="shared" si="11"/>
        <v>361666666.66666818</v>
      </c>
    </row>
    <row r="45" spans="1:6" x14ac:dyDescent="0.5">
      <c r="A45" s="707">
        <v>41</v>
      </c>
      <c r="B45" s="709">
        <f t="shared" si="3"/>
        <v>361666666.66666818</v>
      </c>
      <c r="C45" s="709">
        <f t="shared" si="4"/>
        <v>14466666.666666668</v>
      </c>
      <c r="D45" s="709">
        <f t="shared" si="12"/>
        <v>45208333.333333336</v>
      </c>
      <c r="E45" s="709">
        <f t="shared" si="0"/>
        <v>59675000</v>
      </c>
      <c r="F45" s="709">
        <f t="shared" si="11"/>
        <v>316458333.33333486</v>
      </c>
    </row>
    <row r="46" spans="1:6" x14ac:dyDescent="0.5">
      <c r="A46" s="707">
        <v>42</v>
      </c>
      <c r="B46" s="709">
        <f t="shared" si="3"/>
        <v>316458333.33333486</v>
      </c>
      <c r="C46" s="709">
        <f t="shared" si="4"/>
        <v>14466666.666666668</v>
      </c>
      <c r="D46" s="709">
        <f t="shared" si="12"/>
        <v>45208333.333333336</v>
      </c>
      <c r="E46" s="709">
        <f t="shared" si="0"/>
        <v>59675000</v>
      </c>
      <c r="F46" s="709">
        <f t="shared" si="11"/>
        <v>271250000.00000155</v>
      </c>
    </row>
    <row r="47" spans="1:6" x14ac:dyDescent="0.5">
      <c r="A47" s="707">
        <v>43</v>
      </c>
      <c r="B47" s="709">
        <f t="shared" si="3"/>
        <v>271250000.00000155</v>
      </c>
      <c r="C47" s="709">
        <f t="shared" si="4"/>
        <v>14466666.666666668</v>
      </c>
      <c r="D47" s="709">
        <f t="shared" si="12"/>
        <v>45208333.333333336</v>
      </c>
      <c r="E47" s="709">
        <f t="shared" si="0"/>
        <v>59675000</v>
      </c>
      <c r="F47" s="709">
        <f t="shared" si="11"/>
        <v>226041666.66666821</v>
      </c>
    </row>
    <row r="48" spans="1:6" x14ac:dyDescent="0.5">
      <c r="A48" s="707">
        <v>44</v>
      </c>
      <c r="B48" s="709">
        <f t="shared" si="3"/>
        <v>226041666.66666821</v>
      </c>
      <c r="C48" s="709">
        <f t="shared" si="4"/>
        <v>14466666.666666668</v>
      </c>
      <c r="D48" s="709">
        <f t="shared" si="12"/>
        <v>45208333.333333336</v>
      </c>
      <c r="E48" s="709">
        <f t="shared" si="0"/>
        <v>59675000</v>
      </c>
      <c r="F48" s="709">
        <f t="shared" si="11"/>
        <v>180833333.33333486</v>
      </c>
    </row>
    <row r="49" spans="1:6" x14ac:dyDescent="0.5">
      <c r="A49" s="707">
        <v>45</v>
      </c>
      <c r="B49" s="709">
        <f t="shared" si="3"/>
        <v>180833333.33333486</v>
      </c>
      <c r="C49" s="709">
        <f t="shared" si="4"/>
        <v>14466666.666666668</v>
      </c>
      <c r="D49" s="709">
        <f t="shared" si="12"/>
        <v>45208333.333333336</v>
      </c>
      <c r="E49" s="709">
        <f t="shared" si="0"/>
        <v>59675000</v>
      </c>
      <c r="F49" s="709">
        <f t="shared" si="11"/>
        <v>135625000.00000152</v>
      </c>
    </row>
    <row r="50" spans="1:6" x14ac:dyDescent="0.5">
      <c r="A50" s="707">
        <v>46</v>
      </c>
      <c r="B50" s="709">
        <f t="shared" si="3"/>
        <v>135625000.00000152</v>
      </c>
      <c r="C50" s="709">
        <f t="shared" si="4"/>
        <v>14466666.666666668</v>
      </c>
      <c r="D50" s="709">
        <f t="shared" si="12"/>
        <v>45208333.333333336</v>
      </c>
      <c r="E50" s="709">
        <f t="shared" si="0"/>
        <v>59675000</v>
      </c>
      <c r="F50" s="709">
        <f t="shared" si="11"/>
        <v>90416666.666668177</v>
      </c>
    </row>
    <row r="51" spans="1:6" x14ac:dyDescent="0.5">
      <c r="A51" s="707">
        <v>47</v>
      </c>
      <c r="B51" s="709">
        <f t="shared" si="3"/>
        <v>90416666.666668177</v>
      </c>
      <c r="C51" s="709">
        <f t="shared" si="4"/>
        <v>14466666.666666668</v>
      </c>
      <c r="D51" s="709">
        <f t="shared" si="12"/>
        <v>45208333.333333336</v>
      </c>
      <c r="E51" s="709">
        <f t="shared" si="0"/>
        <v>59675000</v>
      </c>
      <c r="F51" s="709">
        <f t="shared" si="11"/>
        <v>45208333.333334841</v>
      </c>
    </row>
    <row r="52" spans="1:6" x14ac:dyDescent="0.5">
      <c r="A52" s="707">
        <v>48</v>
      </c>
      <c r="B52" s="709">
        <f t="shared" si="3"/>
        <v>45208333.333334841</v>
      </c>
      <c r="C52" s="709">
        <f t="shared" si="4"/>
        <v>14466666.666666668</v>
      </c>
      <c r="D52" s="709">
        <f t="shared" si="12"/>
        <v>45208333.333333336</v>
      </c>
      <c r="E52" s="709">
        <f t="shared" si="0"/>
        <v>59675000</v>
      </c>
      <c r="F52" s="709">
        <f t="shared" si="11"/>
        <v>1.5050172805786133E-6</v>
      </c>
    </row>
    <row r="53" spans="1:6" x14ac:dyDescent="0.5">
      <c r="B53" s="708"/>
      <c r="C53" s="713">
        <f>SUM(C41:C52)</f>
        <v>173600000</v>
      </c>
      <c r="D53" s="713">
        <f t="shared" ref="D53:E53" si="13">SUM(D41:D52)</f>
        <v>542499999.99999988</v>
      </c>
      <c r="E53" s="713">
        <f t="shared" si="13"/>
        <v>716100000</v>
      </c>
      <c r="F53" s="708"/>
    </row>
    <row r="54" spans="1:6" x14ac:dyDescent="0.5">
      <c r="B54" s="708"/>
      <c r="C54" s="708"/>
      <c r="D54" s="709"/>
      <c r="E54" s="708"/>
      <c r="F54" s="708"/>
    </row>
    <row r="55" spans="1:6" x14ac:dyDescent="0.5">
      <c r="B55" s="708"/>
      <c r="C55" s="708"/>
      <c r="D55" s="709"/>
      <c r="E55" s="708"/>
      <c r="F55" s="708"/>
    </row>
    <row r="56" spans="1:6" x14ac:dyDescent="0.5">
      <c r="B56" s="708"/>
      <c r="C56" s="708"/>
      <c r="D56" s="709"/>
      <c r="E56" s="708"/>
      <c r="F56" s="708"/>
    </row>
    <row r="57" spans="1:6" x14ac:dyDescent="0.5">
      <c r="B57" s="708"/>
      <c r="C57" s="708"/>
      <c r="D57" s="709"/>
      <c r="E57" s="708"/>
      <c r="F57" s="708"/>
    </row>
    <row r="58" spans="1:6" x14ac:dyDescent="0.5">
      <c r="B58" s="708"/>
      <c r="C58" s="708"/>
      <c r="D58" s="709"/>
      <c r="E58" s="708"/>
      <c r="F58" s="708"/>
    </row>
    <row r="59" spans="1:6" x14ac:dyDescent="0.5">
      <c r="B59" s="708"/>
      <c r="C59" s="708"/>
      <c r="D59" s="709"/>
      <c r="E59" s="708"/>
      <c r="F59" s="708"/>
    </row>
    <row r="60" spans="1:6" x14ac:dyDescent="0.5">
      <c r="B60" s="708"/>
      <c r="C60" s="708"/>
      <c r="D60" s="709"/>
      <c r="E60" s="708"/>
      <c r="F60" s="708"/>
    </row>
    <row r="61" spans="1:6" x14ac:dyDescent="0.5">
      <c r="B61" s="708"/>
      <c r="C61" s="708"/>
      <c r="D61" s="709"/>
      <c r="E61" s="708"/>
      <c r="F61" s="708"/>
    </row>
    <row r="62" spans="1:6" x14ac:dyDescent="0.5">
      <c r="B62" s="708"/>
      <c r="C62" s="708"/>
      <c r="D62" s="709"/>
      <c r="E62" s="708"/>
      <c r="F62" s="708"/>
    </row>
    <row r="63" spans="1:6" x14ac:dyDescent="0.5">
      <c r="B63" s="708"/>
      <c r="C63" s="708"/>
      <c r="D63" s="709"/>
      <c r="E63" s="708"/>
      <c r="F63" s="708"/>
    </row>
    <row r="64" spans="1:6" x14ac:dyDescent="0.5">
      <c r="B64" s="708"/>
      <c r="C64" s="708"/>
      <c r="D64" s="709"/>
      <c r="E64" s="708"/>
      <c r="F64" s="708"/>
    </row>
    <row r="65" spans="2:12" x14ac:dyDescent="0.5">
      <c r="B65" s="708"/>
      <c r="C65" s="708"/>
      <c r="D65" s="709"/>
      <c r="E65" s="708"/>
      <c r="F65" s="708"/>
    </row>
    <row r="66" spans="2:12" x14ac:dyDescent="0.5">
      <c r="C66" s="712"/>
      <c r="D66" s="712"/>
      <c r="E66" s="712"/>
    </row>
    <row r="71" spans="2:12" x14ac:dyDescent="0.5">
      <c r="I71" s="709"/>
    </row>
    <row r="72" spans="2:12" x14ac:dyDescent="0.5">
      <c r="I72" s="709"/>
      <c r="K72" s="714"/>
      <c r="L72" s="709"/>
    </row>
    <row r="74" spans="2:12" x14ac:dyDescent="0.5">
      <c r="L74" s="714"/>
    </row>
    <row r="75" spans="2:12" x14ac:dyDescent="0.5">
      <c r="K75" s="714">
        <f>K72+L72</f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6"/>
  <sheetViews>
    <sheetView showGridLines="0" topLeftCell="G1" zoomScale="90" zoomScaleNormal="90" workbookViewId="0">
      <pane ySplit="8" topLeftCell="A9" activePane="bottomLeft" state="frozen"/>
      <selection pane="bottomLeft" activeCell="AB12" sqref="AB12"/>
    </sheetView>
  </sheetViews>
  <sheetFormatPr defaultColWidth="8.81640625" defaultRowHeight="10.5" x14ac:dyDescent="0.35"/>
  <cols>
    <col min="1" max="1" width="3.453125" style="4" customWidth="1"/>
    <col min="2" max="2" width="4.453125" style="4" customWidth="1"/>
    <col min="3" max="3" width="34.36328125" style="4" bestFit="1" customWidth="1"/>
    <col min="4" max="4" width="10.453125" style="4" bestFit="1" customWidth="1"/>
    <col min="5" max="5" width="12.54296875" style="4" bestFit="1" customWidth="1"/>
    <col min="6" max="6" width="1.81640625" style="4" customWidth="1"/>
    <col min="7" max="7" width="8.6328125" style="13" customWidth="1"/>
    <col min="8" max="8" width="17.08984375" style="4" bestFit="1" customWidth="1"/>
    <col min="9" max="9" width="22.08984375" style="15" bestFit="1" customWidth="1"/>
    <col min="10" max="10" width="8.81640625" style="4"/>
    <col min="11" max="11" width="3.81640625" style="4" bestFit="1" customWidth="1"/>
    <col min="12" max="12" width="3.81640625" style="151" customWidth="1"/>
    <col min="13" max="13" width="24.453125" style="4" customWidth="1"/>
    <col min="14" max="14" width="10" style="4" bestFit="1" customWidth="1"/>
    <col min="15" max="15" width="12.453125" style="4" customWidth="1"/>
    <col min="16" max="16" width="3.81640625" style="4" bestFit="1" customWidth="1"/>
    <col min="17" max="17" width="12.54296875" style="4" bestFit="1" customWidth="1"/>
    <col min="18" max="18" width="1.81640625" style="4" customWidth="1"/>
    <col min="19" max="19" width="10" style="4" bestFit="1" customWidth="1"/>
    <col min="20" max="20" width="15.90625" style="4" bestFit="1" customWidth="1"/>
    <col min="21" max="21" width="6" style="13" customWidth="1"/>
    <col min="22" max="22" width="3.81640625" style="4" bestFit="1" customWidth="1"/>
    <col min="23" max="23" width="12.54296875" style="4" bestFit="1" customWidth="1"/>
    <col min="24" max="24" width="8.81640625" style="4"/>
    <col min="25" max="25" width="13.453125" style="4" customWidth="1"/>
    <col min="26" max="26" width="6.453125" style="4" bestFit="1" customWidth="1"/>
    <col min="27" max="27" width="5.1796875" style="4" customWidth="1"/>
    <col min="28" max="28" width="12.453125" style="4" customWidth="1"/>
    <col min="29" max="29" width="22.453125" style="4" bestFit="1" customWidth="1"/>
    <col min="30" max="30" width="12.54296875" style="4" bestFit="1" customWidth="1"/>
    <col min="31" max="31" width="13.1796875" style="4" bestFit="1" customWidth="1"/>
    <col min="32" max="32" width="10.453125" style="4" customWidth="1"/>
    <col min="33" max="16384" width="8.81640625" style="4"/>
  </cols>
  <sheetData>
    <row r="1" spans="1:32" x14ac:dyDescent="0.35">
      <c r="A1" s="69" t="str">
        <f>IncomeStatement!A1</f>
        <v>Peternakan Ayam Petelur</v>
      </c>
    </row>
    <row r="2" spans="1:32" x14ac:dyDescent="0.35">
      <c r="A2" s="69" t="str">
        <f>IncomeStatement!A2</f>
        <v>Financial Pre-Feasibility Study</v>
      </c>
    </row>
    <row r="3" spans="1:32" x14ac:dyDescent="0.35">
      <c r="A3" s="526" t="s">
        <v>138</v>
      </c>
    </row>
    <row r="4" spans="1:32" x14ac:dyDescent="0.35">
      <c r="A4" s="10" t="str">
        <f>Asumsi!A4</f>
        <v>Case-3: pakan diproduksi, Jumlah peliharaan di naikkan dari 3.000 menjadi 12.000 ekor</v>
      </c>
    </row>
    <row r="5" spans="1:32" x14ac:dyDescent="0.35">
      <c r="A5" s="124"/>
    </row>
    <row r="6" spans="1:32" x14ac:dyDescent="0.35">
      <c r="A6" s="124"/>
    </row>
    <row r="8" spans="1:32" ht="26.55" customHeight="1" x14ac:dyDescent="0.35">
      <c r="A8" s="115" t="s">
        <v>139</v>
      </c>
      <c r="B8" s="115"/>
      <c r="C8" s="115"/>
      <c r="D8" s="115"/>
      <c r="E8" s="512" t="s">
        <v>1091</v>
      </c>
      <c r="F8" s="472"/>
      <c r="G8" s="116"/>
      <c r="H8" s="513" t="s">
        <v>1093</v>
      </c>
      <c r="I8" s="116"/>
      <c r="K8" s="23" t="s">
        <v>1147</v>
      </c>
      <c r="L8" s="515"/>
      <c r="M8" s="116"/>
      <c r="N8" s="116"/>
      <c r="O8" s="116"/>
      <c r="P8" s="116"/>
      <c r="Q8" s="513"/>
      <c r="R8" s="116"/>
      <c r="S8" s="116"/>
      <c r="T8" s="116"/>
      <c r="U8" s="518"/>
      <c r="V8" s="116"/>
      <c r="W8" s="274"/>
      <c r="Y8" s="23" t="s">
        <v>610</v>
      </c>
      <c r="Z8" s="23"/>
      <c r="AA8" s="70"/>
      <c r="AB8" s="70"/>
      <c r="AC8" s="70"/>
      <c r="AD8" s="76" t="s">
        <v>611</v>
      </c>
      <c r="AE8" s="315" t="s">
        <v>612</v>
      </c>
      <c r="AF8" s="25" t="s">
        <v>613</v>
      </c>
    </row>
    <row r="9" spans="1:32" x14ac:dyDescent="0.35">
      <c r="A9" s="516" t="s">
        <v>512</v>
      </c>
      <c r="B9" s="647" t="s">
        <v>1002</v>
      </c>
      <c r="C9" s="647"/>
      <c r="D9" s="473"/>
      <c r="E9" s="332"/>
      <c r="F9" s="385"/>
      <c r="G9" s="475"/>
      <c r="H9" s="338"/>
      <c r="I9" s="480"/>
      <c r="K9" s="445" t="s">
        <v>1143</v>
      </c>
      <c r="L9" s="510"/>
      <c r="P9" s="15"/>
      <c r="Q9" s="464"/>
      <c r="R9" s="464"/>
      <c r="S9" s="464"/>
      <c r="T9" s="464"/>
      <c r="U9" s="514"/>
      <c r="V9" s="15"/>
      <c r="W9" s="443"/>
      <c r="Y9" s="333"/>
      <c r="Z9" s="333"/>
      <c r="AA9" s="334"/>
      <c r="AB9" s="334"/>
      <c r="AC9" s="334"/>
      <c r="AD9" s="335"/>
      <c r="AE9" s="336"/>
      <c r="AF9" s="337"/>
    </row>
    <row r="10" spans="1:32" x14ac:dyDescent="0.35">
      <c r="A10" s="151"/>
      <c r="B10" s="517" t="s">
        <v>1144</v>
      </c>
      <c r="C10" s="463" t="s">
        <v>1003</v>
      </c>
      <c r="D10" s="167" t="s">
        <v>24</v>
      </c>
      <c r="E10" s="44">
        <f>Q16</f>
        <v>14544340</v>
      </c>
      <c r="F10" s="385"/>
      <c r="G10" s="167" t="s">
        <v>24</v>
      </c>
      <c r="H10" s="44">
        <f>W16</f>
        <v>43633020</v>
      </c>
      <c r="K10" s="12" t="s">
        <v>1144</v>
      </c>
      <c r="L10" s="151" t="s">
        <v>1142</v>
      </c>
      <c r="P10" s="167"/>
      <c r="Q10" s="44"/>
      <c r="R10" s="44"/>
      <c r="U10" s="514"/>
      <c r="V10" s="167"/>
      <c r="W10" s="443"/>
      <c r="Y10" s="4" t="s">
        <v>614</v>
      </c>
      <c r="Z10" s="4" t="s">
        <v>622</v>
      </c>
      <c r="AA10" s="71" t="s">
        <v>24</v>
      </c>
      <c r="AB10" s="44">
        <f>E21</f>
        <v>840300000</v>
      </c>
      <c r="AD10" s="4" t="s">
        <v>615</v>
      </c>
      <c r="AE10" s="151" t="s">
        <v>372</v>
      </c>
      <c r="AF10" s="262">
        <v>1</v>
      </c>
    </row>
    <row r="11" spans="1:32" x14ac:dyDescent="0.35">
      <c r="A11" s="151"/>
      <c r="B11" s="517" t="s">
        <v>1146</v>
      </c>
      <c r="C11" s="463" t="s">
        <v>984</v>
      </c>
      <c r="D11" s="167" t="s">
        <v>24</v>
      </c>
      <c r="E11" s="44">
        <f>Q17</f>
        <v>428333703.41999996</v>
      </c>
      <c r="F11" s="385"/>
      <c r="G11" s="167" t="s">
        <v>24</v>
      </c>
      <c r="H11" s="44">
        <f>W17</f>
        <v>1285001110.26</v>
      </c>
      <c r="I11" s="177"/>
      <c r="K11" s="11"/>
      <c r="L11" s="151" t="s">
        <v>9</v>
      </c>
      <c r="M11" s="4" t="s">
        <v>1091</v>
      </c>
      <c r="N11" s="346">
        <f>Asumsi!C9</f>
        <v>3000</v>
      </c>
      <c r="O11" s="151" t="s">
        <v>1139</v>
      </c>
      <c r="P11" s="15"/>
      <c r="Q11" s="464"/>
      <c r="R11" s="464"/>
      <c r="S11" s="464"/>
      <c r="T11" s="464"/>
      <c r="AA11" s="71" t="s">
        <v>24</v>
      </c>
      <c r="AB11" s="44">
        <f>E22</f>
        <v>500000000</v>
      </c>
      <c r="AC11" s="321" t="s">
        <v>616</v>
      </c>
      <c r="AD11" s="44" t="s">
        <v>617</v>
      </c>
      <c r="AE11" s="151" t="s">
        <v>372</v>
      </c>
      <c r="AF11" s="262">
        <v>1</v>
      </c>
    </row>
    <row r="12" spans="1:32" x14ac:dyDescent="0.35">
      <c r="A12" s="151"/>
      <c r="B12" s="517" t="s">
        <v>1151</v>
      </c>
      <c r="C12" s="463" t="s">
        <v>991</v>
      </c>
      <c r="D12" s="167" t="s">
        <v>24</v>
      </c>
      <c r="E12" s="44">
        <f>Q27</f>
        <v>76205835.120000005</v>
      </c>
      <c r="F12" s="385"/>
      <c r="G12" s="167" t="s">
        <v>24</v>
      </c>
      <c r="H12" s="44">
        <f>W27</f>
        <v>228617505.36000001</v>
      </c>
      <c r="L12" s="151" t="s">
        <v>10</v>
      </c>
      <c r="M12" s="4" t="s">
        <v>1145</v>
      </c>
      <c r="N12" s="346">
        <f>Asumsi!C10</f>
        <v>9000</v>
      </c>
      <c r="O12" s="151" t="s">
        <v>1139</v>
      </c>
      <c r="Y12" s="4" t="s">
        <v>618</v>
      </c>
      <c r="Z12" s="4" t="s">
        <v>623</v>
      </c>
      <c r="AA12" s="71" t="s">
        <v>24</v>
      </c>
      <c r="AB12" s="44">
        <f>H21</f>
        <v>2170000000</v>
      </c>
      <c r="AD12" s="4" t="s">
        <v>615</v>
      </c>
      <c r="AE12" s="151" t="s">
        <v>1284</v>
      </c>
      <c r="AF12" s="262">
        <v>1</v>
      </c>
    </row>
    <row r="13" spans="1:32" x14ac:dyDescent="0.35">
      <c r="A13" s="151"/>
      <c r="B13" s="517" t="s">
        <v>1152</v>
      </c>
      <c r="C13" s="267" t="s">
        <v>996</v>
      </c>
      <c r="D13" s="167" t="s">
        <v>24</v>
      </c>
      <c r="E13" s="44">
        <f>Q35</f>
        <v>41583603.870000005</v>
      </c>
      <c r="F13" s="385"/>
      <c r="G13" s="167" t="s">
        <v>24</v>
      </c>
      <c r="H13" s="44">
        <f>W35</f>
        <v>83167207.74000001</v>
      </c>
      <c r="K13" s="12" t="s">
        <v>1146</v>
      </c>
      <c r="L13" s="151" t="s">
        <v>1149</v>
      </c>
      <c r="N13" s="523">
        <f>N12/N11</f>
        <v>3</v>
      </c>
      <c r="O13" s="151" t="s">
        <v>1148</v>
      </c>
      <c r="AA13" s="71" t="s">
        <v>24</v>
      </c>
      <c r="AB13" s="44">
        <f>H22</f>
        <v>520000000</v>
      </c>
      <c r="AC13" s="321" t="s">
        <v>616</v>
      </c>
      <c r="AD13" s="44" t="s">
        <v>617</v>
      </c>
      <c r="AE13" s="151" t="s">
        <v>372</v>
      </c>
      <c r="AF13" s="262">
        <v>1</v>
      </c>
    </row>
    <row r="14" spans="1:32" x14ac:dyDescent="0.35">
      <c r="A14" s="151"/>
      <c r="B14" s="517" t="s">
        <v>1153</v>
      </c>
      <c r="C14" s="267" t="s">
        <v>999</v>
      </c>
      <c r="D14" s="167" t="s">
        <v>24</v>
      </c>
      <c r="E14" s="44">
        <f>Q44</f>
        <v>9299152.4900000002</v>
      </c>
      <c r="F14" s="385"/>
      <c r="G14" s="167" t="s">
        <v>24</v>
      </c>
      <c r="H14" s="44">
        <f>W44</f>
        <v>27897457.469999999</v>
      </c>
      <c r="Y14" s="17"/>
      <c r="Z14" s="17"/>
      <c r="AA14" s="164"/>
      <c r="AB14" s="234">
        <f>SUM(AB12:AB13)</f>
        <v>2690000000</v>
      </c>
      <c r="AC14" s="234" t="s">
        <v>1315</v>
      </c>
      <c r="AD14" s="715">
        <v>2700000000</v>
      </c>
      <c r="AE14" s="259"/>
      <c r="AF14" s="314"/>
    </row>
    <row r="15" spans="1:32" x14ac:dyDescent="0.35">
      <c r="A15" s="151"/>
      <c r="B15" s="517" t="s">
        <v>1154</v>
      </c>
      <c r="C15" s="267" t="s">
        <v>1000</v>
      </c>
      <c r="D15" s="167" t="s">
        <v>24</v>
      </c>
      <c r="E15" s="44">
        <f>Q45</f>
        <v>57620914</v>
      </c>
      <c r="F15" s="385"/>
      <c r="G15" s="167" t="s">
        <v>24</v>
      </c>
      <c r="H15" s="44">
        <f>W45</f>
        <v>172862742</v>
      </c>
      <c r="K15" s="11" t="s">
        <v>538</v>
      </c>
      <c r="N15" s="156"/>
      <c r="O15" s="156"/>
      <c r="P15" s="156"/>
      <c r="Q15" s="519" t="s">
        <v>1091</v>
      </c>
      <c r="R15" s="520"/>
      <c r="S15" s="519"/>
      <c r="T15" s="519"/>
      <c r="U15" s="521" t="s">
        <v>1150</v>
      </c>
      <c r="V15" s="519"/>
      <c r="W15" s="519" t="s">
        <v>1092</v>
      </c>
    </row>
    <row r="16" spans="1:32" x14ac:dyDescent="0.35">
      <c r="A16" s="151"/>
      <c r="B16" s="517" t="s">
        <v>1155</v>
      </c>
      <c r="C16" s="267" t="s">
        <v>1040</v>
      </c>
      <c r="D16" s="167" t="s">
        <v>24</v>
      </c>
      <c r="E16" s="44">
        <f>Q56</f>
        <v>70000000</v>
      </c>
      <c r="F16" s="385"/>
      <c r="G16" s="167" t="s">
        <v>24</v>
      </c>
      <c r="H16" s="44">
        <f>W56</f>
        <v>70000000</v>
      </c>
      <c r="K16" s="36" t="s">
        <v>1144</v>
      </c>
      <c r="L16" s="648" t="s">
        <v>517</v>
      </c>
      <c r="M16" s="648"/>
      <c r="N16" s="510"/>
      <c r="O16" s="510"/>
      <c r="P16" s="167" t="s">
        <v>24</v>
      </c>
      <c r="Q16" s="126">
        <v>14544340</v>
      </c>
      <c r="R16" s="467"/>
      <c r="S16" s="126"/>
      <c r="T16" s="126"/>
      <c r="V16" s="167" t="s">
        <v>24</v>
      </c>
      <c r="W16" s="18">
        <f>N13*Q16</f>
        <v>43633020</v>
      </c>
      <c r="X16" s="44"/>
      <c r="Y16" s="161" t="s">
        <v>259</v>
      </c>
    </row>
    <row r="17" spans="1:25" x14ac:dyDescent="0.35">
      <c r="A17" s="151"/>
      <c r="B17" s="517" t="s">
        <v>1156</v>
      </c>
      <c r="C17" s="442" t="s">
        <v>33</v>
      </c>
      <c r="D17" s="167" t="s">
        <v>24</v>
      </c>
      <c r="E17" s="44">
        <f>Q57</f>
        <v>28000000</v>
      </c>
      <c r="F17" s="385"/>
      <c r="G17" s="167" t="s">
        <v>24</v>
      </c>
      <c r="H17" s="44">
        <f>W57</f>
        <v>0</v>
      </c>
      <c r="K17" s="36" t="s">
        <v>1146</v>
      </c>
      <c r="L17" s="648" t="s">
        <v>984</v>
      </c>
      <c r="M17" s="648"/>
      <c r="N17" s="510"/>
      <c r="O17" s="510"/>
      <c r="P17" s="167" t="s">
        <v>24</v>
      </c>
      <c r="Q17" s="18">
        <f>SUM(Q21:Q26)</f>
        <v>428333703.41999996</v>
      </c>
      <c r="R17" s="465"/>
      <c r="S17" s="18"/>
      <c r="T17" s="18"/>
      <c r="U17" s="477"/>
      <c r="V17" s="167" t="s">
        <v>24</v>
      </c>
      <c r="W17" s="18">
        <f>SUM(W21:W26)</f>
        <v>1285001110.26</v>
      </c>
      <c r="X17" s="44"/>
      <c r="Y17" s="208" t="s">
        <v>625</v>
      </c>
    </row>
    <row r="18" spans="1:25" x14ac:dyDescent="0.35">
      <c r="A18" s="151"/>
      <c r="B18" s="517" t="s">
        <v>1157</v>
      </c>
      <c r="C18" s="442" t="s">
        <v>1095</v>
      </c>
      <c r="D18" s="167" t="s">
        <v>24</v>
      </c>
      <c r="E18" s="44">
        <f>SUM(E10:E17)*11%</f>
        <v>79814630.378999993</v>
      </c>
      <c r="F18" s="385"/>
      <c r="G18" s="167" t="s">
        <v>24</v>
      </c>
      <c r="H18" s="44">
        <f>SUM(H10:H17)*11%</f>
        <v>210229694.71129999</v>
      </c>
      <c r="K18" s="33"/>
      <c r="L18" s="151" t="s">
        <v>9</v>
      </c>
      <c r="M18" s="151" t="s">
        <v>1135</v>
      </c>
      <c r="N18" s="151"/>
      <c r="O18" s="151"/>
      <c r="P18" s="167"/>
      <c r="Q18" s="44"/>
      <c r="R18" s="385"/>
      <c r="S18" s="44"/>
      <c r="T18" s="44"/>
      <c r="V18" s="167"/>
      <c r="W18" s="44"/>
      <c r="X18" s="44"/>
      <c r="Y18" s="208" t="s">
        <v>624</v>
      </c>
    </row>
    <row r="19" spans="1:25" x14ac:dyDescent="0.35">
      <c r="A19" s="151"/>
      <c r="B19" s="517" t="s">
        <v>1158</v>
      </c>
      <c r="C19" s="15" t="s">
        <v>1117</v>
      </c>
      <c r="D19" s="167" t="s">
        <v>24</v>
      </c>
      <c r="E19" s="168">
        <f>SUM(E10:E16)*5%</f>
        <v>34879377.445</v>
      </c>
      <c r="F19" s="385"/>
      <c r="G19" s="167" t="s">
        <v>24</v>
      </c>
      <c r="H19" s="168">
        <f>SUM(H10:H16)*2.5%</f>
        <v>47779476.070749998</v>
      </c>
      <c r="I19" s="481" t="s">
        <v>1096</v>
      </c>
      <c r="K19" s="33"/>
      <c r="M19" s="152" t="s">
        <v>1136</v>
      </c>
      <c r="N19" s="345">
        <v>1500</v>
      </c>
      <c r="O19" s="151" t="s">
        <v>1138</v>
      </c>
      <c r="P19" s="167"/>
      <c r="Q19" s="44"/>
      <c r="R19" s="385"/>
      <c r="S19" s="345">
        <v>1500</v>
      </c>
      <c r="T19" s="151" t="s">
        <v>1138</v>
      </c>
      <c r="V19" s="167"/>
      <c r="W19" s="44"/>
      <c r="X19" s="44"/>
    </row>
    <row r="20" spans="1:25" x14ac:dyDescent="0.35">
      <c r="D20" s="167" t="s">
        <v>24</v>
      </c>
      <c r="E20" s="44">
        <f>SUM(E10:E19)</f>
        <v>840281556.72399998</v>
      </c>
      <c r="F20" s="385"/>
      <c r="G20" s="167" t="s">
        <v>24</v>
      </c>
      <c r="H20" s="44">
        <f>SUM(H10:H19)</f>
        <v>2169188213.6120501</v>
      </c>
      <c r="K20" s="33"/>
      <c r="M20" s="152" t="s">
        <v>1137</v>
      </c>
      <c r="N20" s="71">
        <f>N11/N19</f>
        <v>2</v>
      </c>
      <c r="O20" s="151" t="s">
        <v>1140</v>
      </c>
      <c r="P20" s="167"/>
      <c r="Q20" s="44"/>
      <c r="R20" s="385"/>
      <c r="S20" s="71">
        <f>N12/S19</f>
        <v>6</v>
      </c>
      <c r="T20" s="151" t="s">
        <v>1140</v>
      </c>
      <c r="V20" s="167"/>
      <c r="W20" s="44"/>
      <c r="X20" s="44"/>
    </row>
    <row r="21" spans="1:25" x14ac:dyDescent="0.35">
      <c r="D21" s="167" t="s">
        <v>24</v>
      </c>
      <c r="E21" s="339">
        <v>840300000</v>
      </c>
      <c r="F21" s="385"/>
      <c r="G21" s="167" t="s">
        <v>24</v>
      </c>
      <c r="H21" s="339">
        <v>2170000000</v>
      </c>
      <c r="I21" s="15" t="s">
        <v>658</v>
      </c>
      <c r="K21" s="33"/>
      <c r="L21" s="151" t="s">
        <v>10</v>
      </c>
      <c r="M21" s="4" t="s">
        <v>985</v>
      </c>
      <c r="N21" s="61">
        <v>148176</v>
      </c>
      <c r="O21" s="4" t="s">
        <v>1141</v>
      </c>
      <c r="P21" s="167" t="s">
        <v>24</v>
      </c>
      <c r="Q21" s="44">
        <f t="shared" ref="Q21:Q26" si="0">N21*$N$20</f>
        <v>296352</v>
      </c>
      <c r="R21" s="468"/>
      <c r="S21" s="61">
        <v>148176</v>
      </c>
      <c r="T21" s="4" t="s">
        <v>1141</v>
      </c>
      <c r="U21" s="477"/>
      <c r="V21" s="167" t="s">
        <v>24</v>
      </c>
      <c r="W21" s="44">
        <f t="shared" ref="W21:W26" si="1">S21*$S$20</f>
        <v>889056</v>
      </c>
      <c r="X21" s="44"/>
    </row>
    <row r="22" spans="1:25" x14ac:dyDescent="0.35">
      <c r="A22" s="516" t="s">
        <v>514</v>
      </c>
      <c r="B22" s="11" t="s">
        <v>140</v>
      </c>
      <c r="D22" s="167" t="s">
        <v>24</v>
      </c>
      <c r="E22" s="178">
        <f>'CashFlow-Monthly'!C13</f>
        <v>500000000</v>
      </c>
      <c r="F22" s="385"/>
      <c r="G22" s="167" t="s">
        <v>24</v>
      </c>
      <c r="H22" s="178">
        <f>'CashFlow-Monthly'!T12*1000</f>
        <v>520000000</v>
      </c>
      <c r="I22" s="15" t="s">
        <v>1273</v>
      </c>
      <c r="K22" s="33"/>
      <c r="L22" s="151" t="s">
        <v>13</v>
      </c>
      <c r="M22" s="4" t="s">
        <v>986</v>
      </c>
      <c r="N22" s="61">
        <v>7168886.5</v>
      </c>
      <c r="O22" s="4" t="s">
        <v>1141</v>
      </c>
      <c r="P22" s="167" t="s">
        <v>24</v>
      </c>
      <c r="Q22" s="44">
        <f t="shared" si="0"/>
        <v>14337773</v>
      </c>
      <c r="R22" s="469"/>
      <c r="S22" s="61">
        <v>7168886.5</v>
      </c>
      <c r="T22" s="4" t="s">
        <v>1141</v>
      </c>
      <c r="U22" s="477"/>
      <c r="V22" s="167" t="s">
        <v>24</v>
      </c>
      <c r="W22" s="44">
        <f t="shared" si="1"/>
        <v>43013319</v>
      </c>
      <c r="X22" s="44"/>
    </row>
    <row r="23" spans="1:25" x14ac:dyDescent="0.35">
      <c r="A23" s="11" t="s">
        <v>515</v>
      </c>
      <c r="B23" s="11" t="s">
        <v>516</v>
      </c>
      <c r="D23" s="167" t="s">
        <v>24</v>
      </c>
      <c r="E23" s="169">
        <f>E21+E22</f>
        <v>1340300000</v>
      </c>
      <c r="F23" s="385"/>
      <c r="G23" s="167" t="s">
        <v>24</v>
      </c>
      <c r="H23" s="169">
        <f>H21+H22</f>
        <v>2690000000</v>
      </c>
      <c r="K23" s="33"/>
      <c r="L23" s="151" t="s">
        <v>15</v>
      </c>
      <c r="M23" s="4" t="s">
        <v>987</v>
      </c>
      <c r="N23" s="61">
        <v>79280629.299999997</v>
      </c>
      <c r="O23" s="4" t="s">
        <v>1141</v>
      </c>
      <c r="P23" s="167" t="s">
        <v>24</v>
      </c>
      <c r="Q23" s="44">
        <f t="shared" si="0"/>
        <v>158561258.59999999</v>
      </c>
      <c r="R23" s="469"/>
      <c r="S23" s="61">
        <v>79280629.299999997</v>
      </c>
      <c r="T23" s="4" t="s">
        <v>1141</v>
      </c>
      <c r="U23" s="477"/>
      <c r="V23" s="167" t="s">
        <v>24</v>
      </c>
      <c r="W23" s="44">
        <f t="shared" si="1"/>
        <v>475683775.79999995</v>
      </c>
      <c r="X23" s="44"/>
    </row>
    <row r="24" spans="1:25" x14ac:dyDescent="0.35">
      <c r="D24" s="15"/>
      <c r="E24" s="44"/>
      <c r="F24" s="385"/>
      <c r="K24" s="33"/>
      <c r="L24" s="151" t="s">
        <v>18</v>
      </c>
      <c r="M24" s="4" t="s">
        <v>988</v>
      </c>
      <c r="N24" s="61">
        <v>4700000</v>
      </c>
      <c r="O24" s="4" t="s">
        <v>1141</v>
      </c>
      <c r="P24" s="167" t="s">
        <v>24</v>
      </c>
      <c r="Q24" s="44">
        <f t="shared" si="0"/>
        <v>9400000</v>
      </c>
      <c r="R24" s="468"/>
      <c r="S24" s="61">
        <v>4700000</v>
      </c>
      <c r="T24" s="4" t="s">
        <v>1141</v>
      </c>
      <c r="U24" s="477"/>
      <c r="V24" s="167" t="s">
        <v>24</v>
      </c>
      <c r="W24" s="44">
        <f t="shared" si="1"/>
        <v>28200000</v>
      </c>
      <c r="X24" s="44"/>
    </row>
    <row r="25" spans="1:25" x14ac:dyDescent="0.35">
      <c r="A25" s="466"/>
      <c r="B25" s="466"/>
      <c r="C25" s="466"/>
      <c r="D25" s="466"/>
      <c r="E25" s="466"/>
      <c r="F25" s="466"/>
      <c r="G25" s="466"/>
      <c r="H25" s="466"/>
      <c r="I25" s="466"/>
      <c r="K25" s="33"/>
      <c r="L25" s="151" t="s">
        <v>510</v>
      </c>
      <c r="M25" s="4" t="s">
        <v>989</v>
      </c>
      <c r="N25" s="61">
        <v>27599400</v>
      </c>
      <c r="O25" s="4" t="s">
        <v>1141</v>
      </c>
      <c r="P25" s="167" t="s">
        <v>24</v>
      </c>
      <c r="Q25" s="44">
        <f t="shared" si="0"/>
        <v>55198800</v>
      </c>
      <c r="R25" s="468"/>
      <c r="S25" s="61">
        <v>27599400</v>
      </c>
      <c r="T25" s="4" t="s">
        <v>1141</v>
      </c>
      <c r="U25" s="477"/>
      <c r="V25" s="167" t="s">
        <v>24</v>
      </c>
      <c r="W25" s="44">
        <f t="shared" si="1"/>
        <v>165596400</v>
      </c>
      <c r="X25" s="44"/>
    </row>
    <row r="26" spans="1:25" x14ac:dyDescent="0.35">
      <c r="G26" s="4"/>
      <c r="I26" s="4"/>
      <c r="K26" s="33"/>
      <c r="L26" s="151" t="s">
        <v>511</v>
      </c>
      <c r="M26" s="4" t="s">
        <v>990</v>
      </c>
      <c r="N26" s="61">
        <v>95269759.909999996</v>
      </c>
      <c r="O26" s="4" t="s">
        <v>1141</v>
      </c>
      <c r="P26" s="167" t="s">
        <v>24</v>
      </c>
      <c r="Q26" s="44">
        <f t="shared" si="0"/>
        <v>190539519.81999999</v>
      </c>
      <c r="R26" s="469"/>
      <c r="S26" s="61">
        <v>95269759.909999996</v>
      </c>
      <c r="T26" s="4" t="s">
        <v>1141</v>
      </c>
      <c r="U26" s="477"/>
      <c r="V26" s="167" t="s">
        <v>24</v>
      </c>
      <c r="W26" s="44">
        <f t="shared" si="1"/>
        <v>571618559.46000004</v>
      </c>
      <c r="X26" s="44"/>
    </row>
    <row r="27" spans="1:25" x14ac:dyDescent="0.35">
      <c r="G27" s="4"/>
      <c r="I27" s="4"/>
      <c r="K27" s="525" t="s">
        <v>1151</v>
      </c>
      <c r="L27" s="151" t="s">
        <v>991</v>
      </c>
      <c r="M27" s="510"/>
      <c r="N27" s="510"/>
      <c r="O27" s="510"/>
      <c r="P27" s="167" t="s">
        <v>24</v>
      </c>
      <c r="Q27" s="18">
        <f>SUM(Q28:Q34)</f>
        <v>76205835.120000005</v>
      </c>
      <c r="R27" s="465"/>
      <c r="S27" s="18"/>
      <c r="T27" s="18"/>
      <c r="U27" s="477"/>
      <c r="V27" s="167" t="s">
        <v>24</v>
      </c>
      <c r="W27" s="18">
        <f>SUM(W28:W34)</f>
        <v>228617505.36000001</v>
      </c>
      <c r="X27" s="44"/>
    </row>
    <row r="28" spans="1:25" x14ac:dyDescent="0.35">
      <c r="G28" s="4"/>
      <c r="H28" s="44"/>
      <c r="I28" s="4"/>
      <c r="K28" s="33"/>
      <c r="L28" s="151" t="s">
        <v>9</v>
      </c>
      <c r="M28" s="4" t="s">
        <v>985</v>
      </c>
      <c r="P28" s="167" t="s">
        <v>24</v>
      </c>
      <c r="Q28" s="61">
        <v>2618760</v>
      </c>
      <c r="R28" s="468"/>
      <c r="S28" s="61"/>
      <c r="T28" s="61"/>
      <c r="U28" s="13">
        <f>N13</f>
        <v>3</v>
      </c>
      <c r="V28" s="167" t="s">
        <v>24</v>
      </c>
      <c r="W28" s="44">
        <f t="shared" ref="W28:W34" si="2">U28*Q28</f>
        <v>7856280</v>
      </c>
      <c r="X28" s="44"/>
    </row>
    <row r="29" spans="1:25" x14ac:dyDescent="0.35">
      <c r="G29" s="4"/>
      <c r="I29" s="4"/>
      <c r="K29" s="33"/>
      <c r="L29" s="151" t="s">
        <v>10</v>
      </c>
      <c r="M29" s="4" t="s">
        <v>992</v>
      </c>
      <c r="P29" s="167" t="s">
        <v>24</v>
      </c>
      <c r="Q29" s="450">
        <v>10158289.77</v>
      </c>
      <c r="R29" s="469"/>
      <c r="S29" s="450"/>
      <c r="T29" s="450"/>
      <c r="U29" s="13">
        <f>U28</f>
        <v>3</v>
      </c>
      <c r="V29" s="167" t="s">
        <v>24</v>
      </c>
      <c r="W29" s="44">
        <f t="shared" si="2"/>
        <v>30474869.309999999</v>
      </c>
      <c r="X29" s="44"/>
    </row>
    <row r="30" spans="1:25" x14ac:dyDescent="0.35">
      <c r="G30" s="4"/>
      <c r="I30" s="4"/>
      <c r="K30" s="33"/>
      <c r="L30" s="151" t="s">
        <v>13</v>
      </c>
      <c r="M30" s="4" t="s">
        <v>993</v>
      </c>
      <c r="P30" s="167" t="s">
        <v>24</v>
      </c>
      <c r="Q30" s="450">
        <v>25996805.140000001</v>
      </c>
      <c r="R30" s="469"/>
      <c r="S30" s="450"/>
      <c r="T30" s="450"/>
      <c r="U30" s="13">
        <f t="shared" ref="U30:U34" si="3">U29</f>
        <v>3</v>
      </c>
      <c r="V30" s="167" t="s">
        <v>24</v>
      </c>
      <c r="W30" s="44">
        <f t="shared" si="2"/>
        <v>77990415.420000002</v>
      </c>
      <c r="X30" s="44"/>
    </row>
    <row r="31" spans="1:25" x14ac:dyDescent="0.35">
      <c r="G31" s="4"/>
      <c r="I31" s="4"/>
      <c r="K31" s="33"/>
      <c r="L31" s="151" t="s">
        <v>15</v>
      </c>
      <c r="M31" s="4" t="s">
        <v>994</v>
      </c>
      <c r="P31" s="167" t="s">
        <v>24</v>
      </c>
      <c r="Q31" s="450">
        <v>3656095.71</v>
      </c>
      <c r="R31" s="469"/>
      <c r="S31" s="450"/>
      <c r="T31" s="450"/>
      <c r="U31" s="13">
        <f t="shared" si="3"/>
        <v>3</v>
      </c>
      <c r="V31" s="167" t="s">
        <v>24</v>
      </c>
      <c r="W31" s="44">
        <f t="shared" si="2"/>
        <v>10968287.129999999</v>
      </c>
      <c r="X31" s="44"/>
    </row>
    <row r="32" spans="1:25" x14ac:dyDescent="0.35">
      <c r="G32" s="4"/>
      <c r="I32" s="4"/>
      <c r="K32" s="442"/>
      <c r="L32" s="151" t="s">
        <v>18</v>
      </c>
      <c r="M32" s="4" t="s">
        <v>995</v>
      </c>
      <c r="P32" s="167" t="s">
        <v>24</v>
      </c>
      <c r="Q32" s="450">
        <v>6400526.5800000001</v>
      </c>
      <c r="R32" s="469"/>
      <c r="S32" s="450"/>
      <c r="T32" s="450"/>
      <c r="U32" s="13">
        <f t="shared" si="3"/>
        <v>3</v>
      </c>
      <c r="V32" s="167" t="s">
        <v>24</v>
      </c>
      <c r="W32" s="44">
        <f t="shared" si="2"/>
        <v>19201579.740000002</v>
      </c>
      <c r="X32" s="44"/>
    </row>
    <row r="33" spans="7:24" x14ac:dyDescent="0.35">
      <c r="G33" s="4"/>
      <c r="I33" s="4"/>
      <c r="K33" s="442"/>
      <c r="L33" s="151" t="s">
        <v>510</v>
      </c>
      <c r="M33" s="4" t="s">
        <v>988</v>
      </c>
      <c r="P33" s="167" t="s">
        <v>24</v>
      </c>
      <c r="Q33" s="61">
        <v>1380000</v>
      </c>
      <c r="R33" s="468"/>
      <c r="S33" s="61"/>
      <c r="T33" s="61"/>
      <c r="U33" s="13">
        <f t="shared" si="3"/>
        <v>3</v>
      </c>
      <c r="V33" s="167" t="s">
        <v>24</v>
      </c>
      <c r="W33" s="44">
        <f t="shared" si="2"/>
        <v>4140000</v>
      </c>
      <c r="X33" s="44"/>
    </row>
    <row r="34" spans="7:24" x14ac:dyDescent="0.35">
      <c r="G34" s="4"/>
      <c r="I34" s="4"/>
      <c r="K34" s="442"/>
      <c r="L34" s="151" t="s">
        <v>511</v>
      </c>
      <c r="M34" s="4" t="s">
        <v>990</v>
      </c>
      <c r="P34" s="167" t="s">
        <v>24</v>
      </c>
      <c r="Q34" s="450">
        <v>25995357.920000002</v>
      </c>
      <c r="R34" s="469"/>
      <c r="S34" s="450"/>
      <c r="T34" s="450"/>
      <c r="U34" s="13">
        <f t="shared" si="3"/>
        <v>3</v>
      </c>
      <c r="V34" s="167" t="s">
        <v>24</v>
      </c>
      <c r="W34" s="44">
        <f t="shared" si="2"/>
        <v>77986073.760000005</v>
      </c>
      <c r="X34" s="44"/>
    </row>
    <row r="35" spans="7:24" x14ac:dyDescent="0.35">
      <c r="G35" s="4"/>
      <c r="I35" s="4"/>
      <c r="K35" s="525" t="s">
        <v>1159</v>
      </c>
      <c r="L35" s="33" t="s">
        <v>996</v>
      </c>
      <c r="M35" s="33"/>
      <c r="N35" s="445"/>
      <c r="O35" s="445"/>
      <c r="P35" s="167" t="s">
        <v>24</v>
      </c>
      <c r="Q35" s="18">
        <f>SUM(Q36:Q43)</f>
        <v>41583603.870000005</v>
      </c>
      <c r="R35" s="465"/>
      <c r="S35" s="18"/>
      <c r="T35" s="18"/>
      <c r="V35" s="167" t="s">
        <v>24</v>
      </c>
      <c r="W35" s="18">
        <f>SUM(W36:W43)</f>
        <v>83167207.74000001</v>
      </c>
      <c r="X35" s="44"/>
    </row>
    <row r="36" spans="7:24" ht="12.75" x14ac:dyDescent="0.5">
      <c r="G36" s="4"/>
      <c r="I36" s="4"/>
      <c r="K36" s="442"/>
      <c r="L36" s="453" t="s">
        <v>9</v>
      </c>
      <c r="M36" s="4" t="s">
        <v>985</v>
      </c>
      <c r="P36" s="167" t="s">
        <v>24</v>
      </c>
      <c r="Q36" s="451">
        <v>736526.25</v>
      </c>
      <c r="R36" s="470"/>
      <c r="S36" s="451"/>
      <c r="T36" s="451"/>
      <c r="U36" s="524">
        <v>2</v>
      </c>
      <c r="V36" s="167" t="s">
        <v>24</v>
      </c>
      <c r="W36" s="44">
        <f t="shared" ref="W36:W44" si="4">U36*Q36</f>
        <v>1473052.5</v>
      </c>
      <c r="X36" s="44"/>
    </row>
    <row r="37" spans="7:24" ht="12.75" x14ac:dyDescent="0.5">
      <c r="G37" s="4"/>
      <c r="I37" s="4"/>
      <c r="K37" s="442"/>
      <c r="L37" s="453" t="s">
        <v>10</v>
      </c>
      <c r="M37" s="4" t="s">
        <v>992</v>
      </c>
      <c r="P37" s="167" t="s">
        <v>24</v>
      </c>
      <c r="Q37" s="451">
        <v>2976446.25</v>
      </c>
      <c r="R37" s="470"/>
      <c r="S37" s="451"/>
      <c r="T37" s="451"/>
      <c r="U37" s="13">
        <v>2</v>
      </c>
      <c r="V37" s="167" t="s">
        <v>24</v>
      </c>
      <c r="W37" s="44">
        <f t="shared" si="4"/>
        <v>5952892.5</v>
      </c>
      <c r="X37" s="44"/>
    </row>
    <row r="38" spans="7:24" ht="12.75" x14ac:dyDescent="0.5">
      <c r="G38" s="4"/>
      <c r="I38" s="4"/>
      <c r="K38" s="442"/>
      <c r="L38" s="453" t="s">
        <v>13</v>
      </c>
      <c r="M38" s="4" t="s">
        <v>986</v>
      </c>
      <c r="P38" s="167" t="s">
        <v>24</v>
      </c>
      <c r="Q38" s="451">
        <v>18322869.989999998</v>
      </c>
      <c r="R38" s="470"/>
      <c r="S38" s="451"/>
      <c r="T38" s="451"/>
      <c r="U38" s="13">
        <v>2</v>
      </c>
      <c r="V38" s="167" t="s">
        <v>24</v>
      </c>
      <c r="W38" s="44">
        <f t="shared" si="4"/>
        <v>36645739.979999997</v>
      </c>
      <c r="X38" s="44"/>
    </row>
    <row r="39" spans="7:24" ht="12.75" x14ac:dyDescent="0.5">
      <c r="G39" s="4"/>
      <c r="I39" s="4"/>
      <c r="K39" s="442"/>
      <c r="L39" s="453" t="s">
        <v>15</v>
      </c>
      <c r="M39" s="4" t="s">
        <v>997</v>
      </c>
      <c r="P39" s="167" t="s">
        <v>24</v>
      </c>
      <c r="Q39" s="451">
        <v>8022287.7800000003</v>
      </c>
      <c r="R39" s="470"/>
      <c r="S39" s="451"/>
      <c r="T39" s="451"/>
      <c r="U39" s="13">
        <v>2</v>
      </c>
      <c r="V39" s="167" t="s">
        <v>24</v>
      </c>
      <c r="W39" s="44">
        <f t="shared" si="4"/>
        <v>16044575.560000001</v>
      </c>
      <c r="X39" s="44"/>
    </row>
    <row r="40" spans="7:24" ht="12.75" x14ac:dyDescent="0.5">
      <c r="G40" s="4"/>
      <c r="I40" s="4"/>
      <c r="K40" s="442"/>
      <c r="L40" s="453" t="s">
        <v>18</v>
      </c>
      <c r="M40" s="4" t="s">
        <v>994</v>
      </c>
      <c r="P40" s="167" t="s">
        <v>24</v>
      </c>
      <c r="Q40" s="452">
        <v>872696</v>
      </c>
      <c r="R40" s="471"/>
      <c r="S40" s="452"/>
      <c r="T40" s="452"/>
      <c r="U40" s="13">
        <v>2</v>
      </c>
      <c r="V40" s="167" t="s">
        <v>24</v>
      </c>
      <c r="W40" s="44">
        <f t="shared" si="4"/>
        <v>1745392</v>
      </c>
      <c r="X40" s="44"/>
    </row>
    <row r="41" spans="7:24" ht="12.75" x14ac:dyDescent="0.5">
      <c r="G41" s="4"/>
      <c r="I41" s="4"/>
      <c r="K41" s="442"/>
      <c r="L41" s="453" t="s">
        <v>510</v>
      </c>
      <c r="M41" s="4" t="s">
        <v>995</v>
      </c>
      <c r="P41" s="167" t="s">
        <v>24</v>
      </c>
      <c r="Q41" s="451">
        <v>932777.6</v>
      </c>
      <c r="R41" s="470"/>
      <c r="S41" s="451"/>
      <c r="T41" s="451"/>
      <c r="U41" s="13">
        <v>2</v>
      </c>
      <c r="V41" s="167" t="s">
        <v>24</v>
      </c>
      <c r="W41" s="44">
        <f t="shared" si="4"/>
        <v>1865555.2</v>
      </c>
      <c r="X41" s="44"/>
    </row>
    <row r="42" spans="7:24" ht="12.75" x14ac:dyDescent="0.5">
      <c r="G42" s="4"/>
      <c r="I42" s="4"/>
      <c r="K42" s="442"/>
      <c r="L42" s="453" t="s">
        <v>511</v>
      </c>
      <c r="M42" s="4" t="s">
        <v>988</v>
      </c>
      <c r="P42" s="167" t="s">
        <v>24</v>
      </c>
      <c r="Q42" s="452">
        <v>620000</v>
      </c>
      <c r="R42" s="471"/>
      <c r="S42" s="452"/>
      <c r="T42" s="452"/>
      <c r="U42" s="13">
        <v>2</v>
      </c>
      <c r="V42" s="167" t="s">
        <v>24</v>
      </c>
      <c r="W42" s="44">
        <f t="shared" si="4"/>
        <v>1240000</v>
      </c>
      <c r="X42" s="44"/>
    </row>
    <row r="43" spans="7:24" ht="12.75" x14ac:dyDescent="0.5">
      <c r="G43" s="4"/>
      <c r="I43" s="4"/>
      <c r="K43" s="442"/>
      <c r="L43" s="453" t="s">
        <v>526</v>
      </c>
      <c r="M43" s="4" t="s">
        <v>998</v>
      </c>
      <c r="P43" s="167" t="s">
        <v>24</v>
      </c>
      <c r="Q43" s="452">
        <v>9100000</v>
      </c>
      <c r="R43" s="471"/>
      <c r="S43" s="452"/>
      <c r="T43" s="452"/>
      <c r="U43" s="13">
        <v>2</v>
      </c>
      <c r="V43" s="167" t="s">
        <v>24</v>
      </c>
      <c r="W43" s="44">
        <f t="shared" si="4"/>
        <v>18200000</v>
      </c>
      <c r="X43" s="44"/>
    </row>
    <row r="44" spans="7:24" x14ac:dyDescent="0.35">
      <c r="G44" s="4"/>
      <c r="I44" s="4"/>
      <c r="K44" s="525" t="s">
        <v>1153</v>
      </c>
      <c r="L44" s="33" t="s">
        <v>999</v>
      </c>
      <c r="M44" s="33"/>
      <c r="N44" s="445"/>
      <c r="O44" s="445"/>
      <c r="P44" s="167" t="s">
        <v>24</v>
      </c>
      <c r="Q44" s="126">
        <v>9299152.4900000002</v>
      </c>
      <c r="R44" s="467"/>
      <c r="S44" s="126"/>
      <c r="T44" s="126"/>
      <c r="U44" s="13">
        <f>U34</f>
        <v>3</v>
      </c>
      <c r="V44" s="167" t="s">
        <v>24</v>
      </c>
      <c r="W44" s="18">
        <f t="shared" si="4"/>
        <v>27897457.469999999</v>
      </c>
      <c r="X44" s="44"/>
    </row>
    <row r="45" spans="7:24" x14ac:dyDescent="0.35">
      <c r="G45" s="4"/>
      <c r="I45" s="4"/>
      <c r="K45" s="525" t="s">
        <v>1154</v>
      </c>
      <c r="L45" s="33" t="s">
        <v>1000</v>
      </c>
      <c r="M45" s="33"/>
      <c r="N45" s="445"/>
      <c r="O45" s="445"/>
      <c r="P45" s="167" t="s">
        <v>24</v>
      </c>
      <c r="Q45" s="18">
        <f>SUM(Q46:Q47)</f>
        <v>57620914</v>
      </c>
      <c r="R45" s="465"/>
      <c r="S45" s="18"/>
      <c r="T45" s="18"/>
      <c r="V45" s="167" t="s">
        <v>24</v>
      </c>
      <c r="W45" s="18">
        <f>SUM(W46:W47)</f>
        <v>172862742</v>
      </c>
      <c r="X45" s="44"/>
    </row>
    <row r="46" spans="7:24" x14ac:dyDescent="0.35">
      <c r="G46" s="4"/>
      <c r="I46" s="4"/>
      <c r="K46" s="442"/>
      <c r="L46" s="33" t="s">
        <v>9</v>
      </c>
      <c r="M46" s="33" t="s">
        <v>1001</v>
      </c>
      <c r="N46" s="33"/>
      <c r="O46" s="33"/>
      <c r="P46" s="167" t="s">
        <v>24</v>
      </c>
      <c r="Q46" s="61">
        <v>47166089</v>
      </c>
      <c r="R46" s="468"/>
      <c r="S46" s="61"/>
      <c r="T46" s="61"/>
      <c r="U46" s="13">
        <f>U44</f>
        <v>3</v>
      </c>
      <c r="V46" s="167" t="s">
        <v>24</v>
      </c>
      <c r="W46" s="44">
        <f>U46*Q46</f>
        <v>141498267</v>
      </c>
      <c r="X46" s="44"/>
    </row>
    <row r="47" spans="7:24" x14ac:dyDescent="0.35">
      <c r="G47" s="4"/>
      <c r="I47" s="4"/>
      <c r="K47" s="442"/>
      <c r="L47" s="33" t="s">
        <v>10</v>
      </c>
      <c r="M47" s="33" t="s">
        <v>998</v>
      </c>
      <c r="N47" s="33"/>
      <c r="O47" s="33"/>
      <c r="P47" s="167" t="s">
        <v>24</v>
      </c>
      <c r="Q47" s="61">
        <v>10454825</v>
      </c>
      <c r="R47" s="468"/>
      <c r="S47" s="61"/>
      <c r="T47" s="61"/>
      <c r="U47" s="13">
        <f>U46</f>
        <v>3</v>
      </c>
      <c r="V47" s="167" t="s">
        <v>24</v>
      </c>
      <c r="W47" s="44">
        <f>U47*Q47</f>
        <v>31364475</v>
      </c>
      <c r="X47" s="44"/>
    </row>
    <row r="48" spans="7:24" x14ac:dyDescent="0.35">
      <c r="G48" s="4"/>
      <c r="I48" s="4"/>
      <c r="K48" s="36" t="s">
        <v>1160</v>
      </c>
      <c r="L48" s="453" t="s">
        <v>1040</v>
      </c>
      <c r="M48" s="453"/>
      <c r="N48" s="511"/>
      <c r="O48" s="511"/>
      <c r="P48" s="474"/>
      <c r="R48" s="72"/>
      <c r="U48" s="477"/>
      <c r="V48" s="474"/>
      <c r="X48" s="44"/>
    </row>
    <row r="49" spans="7:24" x14ac:dyDescent="0.35">
      <c r="G49" s="4"/>
      <c r="I49" s="4"/>
      <c r="K49" s="33"/>
      <c r="L49" s="453" t="s">
        <v>9</v>
      </c>
      <c r="M49" s="453" t="s">
        <v>1094</v>
      </c>
      <c r="N49" s="478">
        <f>N11</f>
        <v>3000</v>
      </c>
      <c r="O49" s="453" t="s">
        <v>3</v>
      </c>
      <c r="Q49" s="44"/>
      <c r="R49" s="385"/>
      <c r="S49" s="44">
        <f>N12</f>
        <v>9000</v>
      </c>
      <c r="T49" s="453" t="s">
        <v>3</v>
      </c>
      <c r="U49" s="479"/>
      <c r="X49" s="44"/>
    </row>
    <row r="50" spans="7:24" x14ac:dyDescent="0.35">
      <c r="G50" s="4"/>
      <c r="I50" s="4"/>
      <c r="K50" s="33"/>
      <c r="L50" s="453" t="s">
        <v>10</v>
      </c>
      <c r="M50" s="453" t="s">
        <v>1041</v>
      </c>
      <c r="N50" s="4">
        <f>N49*Asumsi!C51</f>
        <v>330</v>
      </c>
      <c r="O50" s="453" t="s">
        <v>195</v>
      </c>
      <c r="R50" s="72"/>
      <c r="S50" s="4">
        <f>S49*Asumsi!C51</f>
        <v>990</v>
      </c>
      <c r="T50" s="453" t="s">
        <v>195</v>
      </c>
      <c r="U50" s="477"/>
      <c r="X50" s="44"/>
    </row>
    <row r="51" spans="7:24" x14ac:dyDescent="0.35">
      <c r="G51" s="4"/>
      <c r="I51" s="4"/>
      <c r="K51" s="33"/>
      <c r="L51" s="453" t="s">
        <v>13</v>
      </c>
      <c r="M51" s="453" t="s">
        <v>1042</v>
      </c>
      <c r="N51" s="10">
        <v>100</v>
      </c>
      <c r="O51" s="453" t="s">
        <v>1043</v>
      </c>
      <c r="R51" s="72"/>
      <c r="S51" s="10">
        <v>100</v>
      </c>
      <c r="T51" s="453" t="s">
        <v>1043</v>
      </c>
      <c r="U51" s="477"/>
      <c r="X51" s="44"/>
    </row>
    <row r="52" spans="7:24" x14ac:dyDescent="0.35">
      <c r="G52" s="4"/>
      <c r="I52" s="4"/>
      <c r="K52" s="33"/>
      <c r="L52" s="453" t="s">
        <v>15</v>
      </c>
      <c r="M52" s="453" t="s">
        <v>1044</v>
      </c>
      <c r="N52" s="10">
        <v>8</v>
      </c>
      <c r="O52" s="453" t="s">
        <v>1045</v>
      </c>
      <c r="R52" s="72"/>
      <c r="S52" s="10">
        <v>8</v>
      </c>
      <c r="T52" s="453" t="s">
        <v>1045</v>
      </c>
      <c r="U52" s="477"/>
      <c r="X52" s="44"/>
    </row>
    <row r="53" spans="7:24" x14ac:dyDescent="0.35">
      <c r="G53" s="4"/>
      <c r="I53" s="4"/>
      <c r="K53" s="33"/>
      <c r="L53" s="453" t="s">
        <v>18</v>
      </c>
      <c r="M53" s="453" t="s">
        <v>1046</v>
      </c>
      <c r="N53" s="4">
        <f>N51*N52</f>
        <v>800</v>
      </c>
      <c r="O53" s="453" t="s">
        <v>1047</v>
      </c>
      <c r="R53" s="72"/>
      <c r="S53" s="4">
        <f>S51*S52</f>
        <v>800</v>
      </c>
      <c r="T53" s="453" t="s">
        <v>1047</v>
      </c>
      <c r="U53" s="477"/>
      <c r="X53" s="44"/>
    </row>
    <row r="54" spans="7:24" x14ac:dyDescent="0.35">
      <c r="G54" s="4"/>
      <c r="I54" s="4"/>
      <c r="K54" s="33"/>
      <c r="L54" s="453" t="s">
        <v>510</v>
      </c>
      <c r="M54" s="453" t="s">
        <v>1048</v>
      </c>
      <c r="N54" s="4">
        <f>N50/N53</f>
        <v>0.41249999999999998</v>
      </c>
      <c r="O54" s="453" t="s">
        <v>54</v>
      </c>
      <c r="R54" s="72"/>
      <c r="S54" s="4">
        <f>S50/S53</f>
        <v>1.2375</v>
      </c>
      <c r="T54" s="453" t="s">
        <v>54</v>
      </c>
      <c r="U54" s="477"/>
      <c r="X54" s="44"/>
    </row>
    <row r="55" spans="7:24" x14ac:dyDescent="0.35">
      <c r="G55" s="4"/>
      <c r="I55" s="4"/>
      <c r="K55" s="33"/>
      <c r="L55" s="453"/>
      <c r="M55" s="71"/>
      <c r="N55" s="10">
        <v>1</v>
      </c>
      <c r="O55" s="453" t="s">
        <v>1161</v>
      </c>
      <c r="R55" s="72"/>
      <c r="S55" s="10">
        <v>1</v>
      </c>
      <c r="T55" s="453" t="s">
        <v>1161</v>
      </c>
      <c r="U55" s="477"/>
      <c r="X55" s="44"/>
    </row>
    <row r="56" spans="7:24" x14ac:dyDescent="0.35">
      <c r="G56" s="4"/>
      <c r="I56" s="4"/>
      <c r="K56" s="33"/>
      <c r="L56" s="453" t="s">
        <v>511</v>
      </c>
      <c r="M56" s="151" t="s">
        <v>1049</v>
      </c>
      <c r="N56" s="61">
        <v>70000000</v>
      </c>
      <c r="O56" s="453" t="s">
        <v>20</v>
      </c>
      <c r="P56" s="167" t="s">
        <v>24</v>
      </c>
      <c r="Q56" s="18">
        <f>N56*N55</f>
        <v>70000000</v>
      </c>
      <c r="R56" s="72"/>
      <c r="S56" s="61">
        <v>70000000</v>
      </c>
      <c r="T56" s="453" t="s">
        <v>20</v>
      </c>
      <c r="U56" s="477"/>
      <c r="V56" s="167" t="s">
        <v>24</v>
      </c>
      <c r="W56" s="18">
        <f>S56*S55</f>
        <v>70000000</v>
      </c>
      <c r="X56" s="44"/>
    </row>
    <row r="57" spans="7:24" x14ac:dyDescent="0.35">
      <c r="G57" s="4"/>
      <c r="I57" s="4"/>
      <c r="K57" s="36" t="s">
        <v>1156</v>
      </c>
      <c r="L57" s="453" t="s">
        <v>1004</v>
      </c>
      <c r="M57" s="453"/>
      <c r="N57" s="511"/>
      <c r="O57" s="511"/>
      <c r="P57" s="167" t="s">
        <v>24</v>
      </c>
      <c r="Q57" s="18">
        <f>SUM(Q58:Q59)</f>
        <v>28000000</v>
      </c>
      <c r="R57" s="465"/>
      <c r="S57" s="18"/>
      <c r="T57" s="18"/>
      <c r="U57" s="477"/>
      <c r="V57" s="167" t="s">
        <v>24</v>
      </c>
      <c r="W57" s="18">
        <f>SUM(W58:W59)</f>
        <v>0</v>
      </c>
      <c r="X57" s="44"/>
    </row>
    <row r="58" spans="7:24" x14ac:dyDescent="0.35">
      <c r="G58" s="4"/>
      <c r="I58" s="4"/>
      <c r="K58" s="33"/>
      <c r="L58" s="453" t="s">
        <v>9</v>
      </c>
      <c r="M58" s="4" t="s">
        <v>1005</v>
      </c>
      <c r="P58" s="167" t="s">
        <v>24</v>
      </c>
      <c r="Q58" s="61">
        <v>22000000</v>
      </c>
      <c r="R58" s="468"/>
      <c r="S58" s="61"/>
      <c r="T58" s="61"/>
      <c r="U58" s="522">
        <v>0</v>
      </c>
      <c r="V58" s="167" t="s">
        <v>24</v>
      </c>
      <c r="W58" s="44">
        <f>U58*Q58</f>
        <v>0</v>
      </c>
      <c r="X58" s="44"/>
    </row>
    <row r="59" spans="7:24" x14ac:dyDescent="0.35">
      <c r="G59" s="4"/>
      <c r="I59" s="4"/>
      <c r="K59" s="33"/>
      <c r="L59" s="453" t="s">
        <v>10</v>
      </c>
      <c r="M59" s="4" t="s">
        <v>1006</v>
      </c>
      <c r="P59" s="167" t="s">
        <v>24</v>
      </c>
      <c r="Q59" s="61">
        <v>6000000</v>
      </c>
      <c r="R59" s="468"/>
      <c r="S59" s="61"/>
      <c r="T59" s="61"/>
      <c r="U59" s="13">
        <f>U58</f>
        <v>0</v>
      </c>
      <c r="V59" s="167" t="s">
        <v>24</v>
      </c>
      <c r="W59" s="44">
        <f>U59*Q59</f>
        <v>0</v>
      </c>
      <c r="X59" s="44"/>
    </row>
    <row r="60" spans="7:24" x14ac:dyDescent="0.35">
      <c r="G60" s="4"/>
      <c r="I60" s="4"/>
    </row>
    <row r="61" spans="7:24" x14ac:dyDescent="0.35">
      <c r="G61" s="4"/>
      <c r="I61" s="4"/>
    </row>
    <row r="62" spans="7:24" x14ac:dyDescent="0.35">
      <c r="G62" s="4"/>
      <c r="I62" s="4"/>
    </row>
    <row r="63" spans="7:24" x14ac:dyDescent="0.35">
      <c r="G63" s="4"/>
      <c r="I63" s="4"/>
    </row>
    <row r="64" spans="7:24" x14ac:dyDescent="0.35">
      <c r="G64" s="4"/>
      <c r="I64" s="4"/>
    </row>
    <row r="65" spans="1:9" x14ac:dyDescent="0.35">
      <c r="G65" s="4"/>
      <c r="I65" s="4"/>
    </row>
    <row r="66" spans="1:9" x14ac:dyDescent="0.35">
      <c r="G66" s="4"/>
      <c r="I66" s="4"/>
    </row>
    <row r="67" spans="1:9" x14ac:dyDescent="0.35">
      <c r="G67" s="4"/>
      <c r="I67" s="4"/>
    </row>
    <row r="68" spans="1:9" x14ac:dyDescent="0.35">
      <c r="G68" s="4"/>
      <c r="I68" s="4"/>
    </row>
    <row r="69" spans="1:9" x14ac:dyDescent="0.35">
      <c r="G69" s="4"/>
      <c r="I69" s="4"/>
    </row>
    <row r="70" spans="1:9" x14ac:dyDescent="0.35">
      <c r="A70" s="33"/>
      <c r="B70" s="71"/>
      <c r="D70" s="10"/>
      <c r="E70" s="44"/>
      <c r="F70" s="44"/>
      <c r="G70" s="477"/>
    </row>
    <row r="71" spans="1:9" x14ac:dyDescent="0.35">
      <c r="D71" s="10"/>
      <c r="E71" s="61"/>
      <c r="F71" s="61"/>
    </row>
    <row r="72" spans="1:9" x14ac:dyDescent="0.35">
      <c r="B72" s="648"/>
      <c r="C72" s="648"/>
      <c r="D72" s="10"/>
      <c r="E72" s="61"/>
      <c r="F72" s="61"/>
      <c r="G72" s="462"/>
      <c r="H72" s="18"/>
      <c r="I72" s="177"/>
    </row>
    <row r="73" spans="1:9" x14ac:dyDescent="0.35">
      <c r="B73" s="71"/>
      <c r="D73" s="10"/>
      <c r="E73" s="61"/>
      <c r="F73" s="61"/>
      <c r="G73" s="45"/>
      <c r="H73" s="44"/>
    </row>
    <row r="74" spans="1:9" x14ac:dyDescent="0.35">
      <c r="B74" s="167"/>
      <c r="D74" s="10"/>
      <c r="E74" s="61"/>
      <c r="F74" s="61"/>
      <c r="G74" s="45"/>
      <c r="H74" s="44"/>
    </row>
    <row r="75" spans="1:9" x14ac:dyDescent="0.35">
      <c r="B75" s="167"/>
      <c r="D75" s="10"/>
      <c r="E75" s="61"/>
      <c r="F75" s="61"/>
      <c r="G75" s="45"/>
      <c r="H75" s="44"/>
    </row>
    <row r="76" spans="1:9" x14ac:dyDescent="0.35">
      <c r="B76" s="167"/>
      <c r="D76" s="10"/>
      <c r="E76" s="61"/>
      <c r="F76" s="61"/>
      <c r="G76" s="45"/>
      <c r="H76" s="44"/>
    </row>
    <row r="77" spans="1:9" x14ac:dyDescent="0.35">
      <c r="B77" s="167"/>
      <c r="D77" s="10"/>
      <c r="E77" s="61"/>
      <c r="F77" s="61"/>
      <c r="G77" s="45"/>
      <c r="H77" s="44"/>
    </row>
    <row r="78" spans="1:9" x14ac:dyDescent="0.35">
      <c r="B78" s="167"/>
      <c r="D78" s="10"/>
      <c r="E78" s="61"/>
      <c r="F78" s="61"/>
      <c r="G78" s="45"/>
      <c r="H78" s="44"/>
    </row>
    <row r="79" spans="1:9" x14ac:dyDescent="0.35">
      <c r="B79" s="167"/>
      <c r="D79" s="10"/>
      <c r="E79" s="61"/>
      <c r="F79" s="61"/>
      <c r="G79" s="45"/>
      <c r="H79" s="44"/>
    </row>
    <row r="80" spans="1:9" x14ac:dyDescent="0.35">
      <c r="B80" s="167"/>
      <c r="D80" s="10"/>
      <c r="E80" s="61"/>
      <c r="F80" s="61"/>
      <c r="G80" s="476"/>
      <c r="H80" s="377"/>
    </row>
    <row r="81" spans="1:8" x14ac:dyDescent="0.35">
      <c r="B81" s="71"/>
      <c r="D81" s="10"/>
      <c r="E81" s="61"/>
      <c r="F81" s="61"/>
      <c r="G81" s="476"/>
      <c r="H81" s="377"/>
    </row>
    <row r="82" spans="1:8" x14ac:dyDescent="0.35">
      <c r="B82" s="71"/>
      <c r="E82" s="61"/>
      <c r="F82" s="61"/>
      <c r="G82" s="476"/>
      <c r="H82" s="377"/>
    </row>
    <row r="83" spans="1:8" x14ac:dyDescent="0.35">
      <c r="B83" s="71"/>
      <c r="E83" s="61"/>
      <c r="F83" s="61"/>
      <c r="G83" s="476"/>
      <c r="H83" s="377"/>
    </row>
    <row r="84" spans="1:8" x14ac:dyDescent="0.35">
      <c r="B84" s="71"/>
      <c r="E84" s="61"/>
      <c r="F84" s="61"/>
      <c r="G84" s="476"/>
      <c r="H84" s="377"/>
    </row>
    <row r="85" spans="1:8" x14ac:dyDescent="0.35">
      <c r="E85" s="61"/>
      <c r="F85" s="61"/>
      <c r="G85" s="45"/>
      <c r="H85" s="44"/>
    </row>
    <row r="86" spans="1:8" x14ac:dyDescent="0.35">
      <c r="B86" s="648"/>
      <c r="C86" s="648"/>
      <c r="E86" s="61"/>
      <c r="F86" s="61"/>
      <c r="G86" s="45"/>
      <c r="H86" s="44"/>
    </row>
    <row r="87" spans="1:8" x14ac:dyDescent="0.35">
      <c r="E87" s="44"/>
      <c r="F87" s="44"/>
    </row>
    <row r="96" spans="1:8" x14ac:dyDescent="0.35">
      <c r="A96" s="4" t="s">
        <v>982</v>
      </c>
    </row>
  </sheetData>
  <mergeCells count="5">
    <mergeCell ref="B9:C9"/>
    <mergeCell ref="B72:C72"/>
    <mergeCell ref="B86:C86"/>
    <mergeCell ref="L16:M16"/>
    <mergeCell ref="L17:M17"/>
  </mergeCells>
  <phoneticPr fontId="14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5"/>
  <sheetViews>
    <sheetView showGridLines="0" zoomScale="90" zoomScaleNormal="90" workbookViewId="0">
      <pane ySplit="9" topLeftCell="A10" activePane="bottomLeft" state="frozen"/>
      <selection pane="bottomLeft" activeCell="G20" sqref="G20"/>
    </sheetView>
  </sheetViews>
  <sheetFormatPr defaultColWidth="8.81640625" defaultRowHeight="10.5" x14ac:dyDescent="0.35"/>
  <cols>
    <col min="1" max="1" width="25" style="4" bestFit="1" customWidth="1"/>
    <col min="2" max="11" width="9.81640625" style="4" customWidth="1"/>
    <col min="12" max="12" width="3.1796875" style="4" customWidth="1"/>
    <col min="13" max="13" width="10" style="4" bestFit="1" customWidth="1"/>
    <col min="14" max="16384" width="8.81640625" style="4"/>
  </cols>
  <sheetData>
    <row r="1" spans="1:15" x14ac:dyDescent="0.35">
      <c r="A1" s="18" t="str">
        <f>Asumsi!A1</f>
        <v>Peternakan Ayam Petelur</v>
      </c>
    </row>
    <row r="2" spans="1:15" x14ac:dyDescent="0.35">
      <c r="A2" s="18" t="str">
        <f>Asumsi!A2</f>
        <v>Financial Pre-Feasibility Study</v>
      </c>
    </row>
    <row r="3" spans="1:15" x14ac:dyDescent="0.35">
      <c r="A3" s="10" t="s">
        <v>30</v>
      </c>
    </row>
    <row r="4" spans="1:15" x14ac:dyDescent="0.35">
      <c r="A4" s="10" t="str">
        <f>Asumsi!A4</f>
        <v>Case-3: pakan diproduksi, Jumlah peliharaan di naikkan dari 3.000 menjadi 12.000 ekor</v>
      </c>
    </row>
    <row r="5" spans="1:15" x14ac:dyDescent="0.35">
      <c r="A5" s="124"/>
    </row>
    <row r="6" spans="1:15" x14ac:dyDescent="0.35">
      <c r="A6" s="124"/>
    </row>
    <row r="7" spans="1:15" x14ac:dyDescent="0.35">
      <c r="A7" s="124"/>
    </row>
    <row r="8" spans="1:15" ht="11" customHeight="1" x14ac:dyDescent="0.35">
      <c r="A8" s="368" t="s">
        <v>910</v>
      </c>
    </row>
    <row r="9" spans="1:15" s="19" customFormat="1" ht="21.75" customHeight="1" x14ac:dyDescent="0.5">
      <c r="A9" s="113" t="s">
        <v>31</v>
      </c>
      <c r="B9" s="114">
        <v>1</v>
      </c>
      <c r="C9" s="114">
        <v>2</v>
      </c>
      <c r="D9" s="114">
        <v>3</v>
      </c>
      <c r="E9" s="114">
        <v>4</v>
      </c>
      <c r="F9" s="114">
        <v>5</v>
      </c>
      <c r="G9" s="114">
        <v>6</v>
      </c>
      <c r="H9" s="114">
        <v>7</v>
      </c>
      <c r="I9" s="114">
        <v>8</v>
      </c>
      <c r="J9" s="114">
        <v>9</v>
      </c>
      <c r="K9" s="114">
        <v>10</v>
      </c>
      <c r="L9" s="145"/>
      <c r="M9" s="144" t="s">
        <v>655</v>
      </c>
    </row>
    <row r="10" spans="1:15" x14ac:dyDescent="0.35">
      <c r="A10" s="11" t="s">
        <v>21</v>
      </c>
      <c r="B10" s="44">
        <f>Revenue!O10</f>
        <v>1205640</v>
      </c>
      <c r="C10" s="44">
        <f>Revenue!O11</f>
        <v>5152938</v>
      </c>
      <c r="D10" s="44">
        <f>Revenue!O12</f>
        <v>6054822</v>
      </c>
      <c r="E10" s="44">
        <f>Revenue!O13</f>
        <v>5876322</v>
      </c>
      <c r="F10" s="44">
        <f>Revenue!O14</f>
        <v>6144072</v>
      </c>
      <c r="G10" s="44">
        <f>Revenue!O15</f>
        <v>6054822</v>
      </c>
      <c r="H10" s="44">
        <f>Revenue!O16</f>
        <v>5876322</v>
      </c>
      <c r="I10" s="44">
        <f>Revenue!O17</f>
        <v>6144072</v>
      </c>
      <c r="J10" s="44">
        <f>Revenue!O18</f>
        <v>6054822</v>
      </c>
      <c r="K10" s="44">
        <f>Revenue!O19</f>
        <v>6233322</v>
      </c>
      <c r="L10" s="17"/>
      <c r="M10" s="128">
        <f>AVERAGE(B10:K10)</f>
        <v>5479715.4000000004</v>
      </c>
    </row>
    <row r="11" spans="1:15" x14ac:dyDescent="0.35">
      <c r="A11" s="11" t="s">
        <v>128</v>
      </c>
      <c r="B11" s="173">
        <f>-1*COGS!J9</f>
        <v>-1170472.8911400002</v>
      </c>
      <c r="C11" s="173">
        <f>-1*COGS!J10</f>
        <v>-4772501.3241211111</v>
      </c>
      <c r="D11" s="173">
        <f>-1*COGS!J11</f>
        <v>-4833100.0658711111</v>
      </c>
      <c r="E11" s="173">
        <f>-1*COGS!J12</f>
        <v>-4206916.2033711122</v>
      </c>
      <c r="F11" s="173">
        <f>-1*COGS!J13</f>
        <v>-5166877.0730586108</v>
      </c>
      <c r="G11" s="173">
        <f>-1*COGS!J14</f>
        <v>-4838516.3698445484</v>
      </c>
      <c r="H11" s="173">
        <f>-1*COGS!J15</f>
        <v>-4212359.5888644159</v>
      </c>
      <c r="I11" s="173">
        <f>-1*COGS!J16</f>
        <v>-5172347.6754793823</v>
      </c>
      <c r="J11" s="173">
        <f>-1*COGS!J17</f>
        <v>-4844014.3252774235</v>
      </c>
      <c r="K11" s="173">
        <f>-1*COGS!J18</f>
        <v>-4217885.0340744555</v>
      </c>
      <c r="L11" s="17"/>
      <c r="M11" s="128">
        <f>AVERAGE(B11:K11)</f>
        <v>-4343499.0551102171</v>
      </c>
    </row>
    <row r="12" spans="1:15" x14ac:dyDescent="0.35">
      <c r="A12" s="11" t="s">
        <v>129</v>
      </c>
      <c r="B12" s="44">
        <f>B10+B11</f>
        <v>35167.108859999804</v>
      </c>
      <c r="C12" s="44">
        <f>C10+C11</f>
        <v>380436.67587888893</v>
      </c>
      <c r="D12" s="44">
        <f>D10+D11</f>
        <v>1221721.9341288889</v>
      </c>
      <c r="E12" s="44">
        <f t="shared" ref="E12:K12" si="0">E10+E11</f>
        <v>1669405.7966288878</v>
      </c>
      <c r="F12" s="44">
        <f t="shared" si="0"/>
        <v>977194.92694138922</v>
      </c>
      <c r="G12" s="44">
        <f t="shared" si="0"/>
        <v>1216305.6301554516</v>
      </c>
      <c r="H12" s="44">
        <f t="shared" si="0"/>
        <v>1663962.4111355841</v>
      </c>
      <c r="I12" s="44">
        <f t="shared" si="0"/>
        <v>971724.32452061772</v>
      </c>
      <c r="J12" s="44">
        <f t="shared" si="0"/>
        <v>1210807.6747225765</v>
      </c>
      <c r="K12" s="44">
        <f t="shared" si="0"/>
        <v>2015436.9659255445</v>
      </c>
      <c r="L12" s="17"/>
    </row>
    <row r="13" spans="1:15" x14ac:dyDescent="0.35">
      <c r="A13" s="11" t="s">
        <v>130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17"/>
      <c r="N13" s="44"/>
      <c r="O13" s="44"/>
    </row>
    <row r="14" spans="1:15" x14ac:dyDescent="0.35">
      <c r="A14" s="4" t="s">
        <v>131</v>
      </c>
      <c r="B14" s="44">
        <f>-1*'SG&amp;A'!K10</f>
        <v>-26000</v>
      </c>
      <c r="C14" s="44">
        <f>-1*'SG&amp;A'!K11</f>
        <v>-52000</v>
      </c>
      <c r="D14" s="44">
        <f>-1*'SG&amp;A'!K12</f>
        <v>-52259.999999999993</v>
      </c>
      <c r="E14" s="44">
        <f>-1*'SG&amp;A'!K13</f>
        <v>-52521.299999999988</v>
      </c>
      <c r="F14" s="44">
        <f>-1*'SG&amp;A'!K14</f>
        <v>-52783.906499999983</v>
      </c>
      <c r="G14" s="44">
        <f>-1*'SG&amp;A'!K15</f>
        <v>-53047.826032499979</v>
      </c>
      <c r="H14" s="44">
        <f>-1*'SG&amp;A'!K16</f>
        <v>-53313.065162662475</v>
      </c>
      <c r="I14" s="44">
        <f>-1*'SG&amp;A'!K17</f>
        <v>-53579.630488475785</v>
      </c>
      <c r="J14" s="44">
        <f>-1*'SG&amp;A'!K18</f>
        <v>-53847.528640918157</v>
      </c>
      <c r="K14" s="44">
        <f>-1*'SG&amp;A'!K19</f>
        <v>-54116.766284122743</v>
      </c>
      <c r="L14" s="17"/>
      <c r="N14" s="44"/>
      <c r="O14" s="44"/>
    </row>
    <row r="15" spans="1:15" x14ac:dyDescent="0.35">
      <c r="A15" s="4" t="s">
        <v>132</v>
      </c>
      <c r="B15" s="173">
        <f>-1*'SG&amp;A'!Q10</f>
        <v>-59000</v>
      </c>
      <c r="C15" s="173">
        <f>-1*'SG&amp;A'!Q11</f>
        <v>-75300</v>
      </c>
      <c r="D15" s="173">
        <f>-1*'SG&amp;A'!Q12</f>
        <v>-75676.499999999985</v>
      </c>
      <c r="E15" s="173">
        <f>-1*'SG&amp;A'!Q13</f>
        <v>-76054.882499999978</v>
      </c>
      <c r="F15" s="173">
        <f>-1*'SG&amp;A'!Q14</f>
        <v>-76435.156912499966</v>
      </c>
      <c r="G15" s="173">
        <f>-1*'SG&amp;A'!Q15</f>
        <v>-76817.332697062462</v>
      </c>
      <c r="H15" s="173">
        <f>-1*'SG&amp;A'!Q16</f>
        <v>-77201.419360547763</v>
      </c>
      <c r="I15" s="173">
        <f>-1*'SG&amp;A'!Q17</f>
        <v>-77587.426457350492</v>
      </c>
      <c r="J15" s="173">
        <f>-1*'SG&amp;A'!Q18</f>
        <v>-77975.363589637243</v>
      </c>
      <c r="K15" s="173">
        <f>-1*'SG&amp;A'!Q19</f>
        <v>-78365.240407585428</v>
      </c>
      <c r="L15" s="17"/>
    </row>
    <row r="16" spans="1:15" x14ac:dyDescent="0.35">
      <c r="B16" s="44">
        <f>SUM(B14:B15)</f>
        <v>-85000</v>
      </c>
      <c r="C16" s="44">
        <f t="shared" ref="C16:K16" si="1">SUM(C14:C15)</f>
        <v>-127300</v>
      </c>
      <c r="D16" s="44">
        <f t="shared" si="1"/>
        <v>-127936.49999999997</v>
      </c>
      <c r="E16" s="44">
        <f t="shared" si="1"/>
        <v>-128576.18249999997</v>
      </c>
      <c r="F16" s="44">
        <f t="shared" si="1"/>
        <v>-129219.06341249995</v>
      </c>
      <c r="G16" s="44">
        <f t="shared" si="1"/>
        <v>-129865.15872956245</v>
      </c>
      <c r="H16" s="44">
        <f t="shared" si="1"/>
        <v>-130514.48452321024</v>
      </c>
      <c r="I16" s="44">
        <f t="shared" si="1"/>
        <v>-131167.05694582628</v>
      </c>
      <c r="J16" s="44">
        <f t="shared" si="1"/>
        <v>-131822.89223055542</v>
      </c>
      <c r="K16" s="44">
        <f t="shared" si="1"/>
        <v>-132482.00669170817</v>
      </c>
      <c r="L16" s="17"/>
    </row>
    <row r="17" spans="1:15" x14ac:dyDescent="0.35">
      <c r="A17" s="11" t="s">
        <v>133</v>
      </c>
      <c r="B17" s="44">
        <f>B12+B16</f>
        <v>-49832.891140000196</v>
      </c>
      <c r="C17" s="44">
        <f>C12+C16</f>
        <v>253136.67587888893</v>
      </c>
      <c r="D17" s="44">
        <f>D12+D16</f>
        <v>1093785.4341288889</v>
      </c>
      <c r="E17" s="44">
        <f t="shared" ref="E17:J17" si="2">E12+E16</f>
        <v>1540829.6141288879</v>
      </c>
      <c r="F17" s="44">
        <f t="shared" si="2"/>
        <v>847975.86352888925</v>
      </c>
      <c r="G17" s="44">
        <f t="shared" si="2"/>
        <v>1086440.4714258891</v>
      </c>
      <c r="H17" s="44">
        <f t="shared" si="2"/>
        <v>1533447.9266123739</v>
      </c>
      <c r="I17" s="44">
        <f t="shared" si="2"/>
        <v>840557.26757479145</v>
      </c>
      <c r="J17" s="44">
        <f t="shared" si="2"/>
        <v>1078984.7824920211</v>
      </c>
      <c r="K17" s="44">
        <f>K12+K16</f>
        <v>1882954.9592338363</v>
      </c>
      <c r="L17" s="17"/>
    </row>
    <row r="18" spans="1:15" x14ac:dyDescent="0.35">
      <c r="A18" s="4" t="s">
        <v>134</v>
      </c>
      <c r="B18" s="44"/>
      <c r="C18" s="44">
        <f>-1*LoanInterest!M10</f>
        <v>-317688</v>
      </c>
      <c r="D18" s="44">
        <f>-1*LoanInterest!M11</f>
        <v>-230888</v>
      </c>
      <c r="E18" s="44">
        <f>-1*LoanInterest!M12</f>
        <v>-144088</v>
      </c>
      <c r="F18" s="44">
        <f>-1*LoanInterest!M13</f>
        <v>-57288</v>
      </c>
      <c r="G18" s="44">
        <f>-1*LoanInterest!M14</f>
        <v>-13888</v>
      </c>
      <c r="H18" s="44"/>
      <c r="I18" s="44"/>
      <c r="J18" s="44"/>
      <c r="K18" s="44"/>
      <c r="L18" s="17"/>
    </row>
    <row r="19" spans="1:15" x14ac:dyDescent="0.35">
      <c r="A19" s="11" t="s">
        <v>135</v>
      </c>
      <c r="B19" s="44">
        <f>B17+B18</f>
        <v>-49832.891140000196</v>
      </c>
      <c r="C19" s="44">
        <f>C17+C18</f>
        <v>-64551.324121111073</v>
      </c>
      <c r="D19" s="44">
        <f t="shared" ref="D19:J19" si="3">D17+D18</f>
        <v>862897.43412888888</v>
      </c>
      <c r="E19" s="44">
        <f t="shared" si="3"/>
        <v>1396741.6141288879</v>
      </c>
      <c r="F19" s="44">
        <f t="shared" si="3"/>
        <v>790687.86352888925</v>
      </c>
      <c r="G19" s="44">
        <f>G17+G18</f>
        <v>1072552.4714258891</v>
      </c>
      <c r="H19" s="44">
        <f t="shared" si="3"/>
        <v>1533447.9266123739</v>
      </c>
      <c r="I19" s="44">
        <f t="shared" si="3"/>
        <v>840557.26757479145</v>
      </c>
      <c r="J19" s="44">
        <f t="shared" si="3"/>
        <v>1078984.7824920211</v>
      </c>
      <c r="K19" s="44">
        <f>K17+K18</f>
        <v>1882954.9592338363</v>
      </c>
      <c r="L19" s="17"/>
    </row>
    <row r="20" spans="1:15" x14ac:dyDescent="0.35">
      <c r="A20" s="4" t="s">
        <v>136</v>
      </c>
      <c r="B20" s="44">
        <f>IF(B19&lt;0,0,-1*B19*50%*Asumsi!$C$41%)</f>
        <v>0</v>
      </c>
      <c r="C20" s="44">
        <f>IF(C19&lt;0,0,-1*C19*50%*Asumsi!$C$41%)</f>
        <v>0</v>
      </c>
      <c r="D20" s="44">
        <f>IF(D19&lt;0,0,-1*D19*50%*Asumsi!$C$41%)</f>
        <v>-94918.717754177778</v>
      </c>
      <c r="E20" s="44">
        <f>IF(E19&lt;0,0,-1*E19*50%*Asumsi!$C$41%)</f>
        <v>-153641.57755417767</v>
      </c>
      <c r="F20" s="44">
        <f>IF(F19&lt;0,0,-1*F19*50%*Asumsi!$C$41%)</f>
        <v>-86975.664988177814</v>
      </c>
      <c r="G20" s="44">
        <f>IF(G19&lt;0,0,-1*G19*50%*Asumsi!$C$41%)</f>
        <v>-117980.7718568478</v>
      </c>
      <c r="H20" s="44">
        <f>IF(H19&lt;0,0,-1*H19*50%*Asumsi!$C$41%)</f>
        <v>-168679.27192736114</v>
      </c>
      <c r="I20" s="44">
        <f>IF(I19&lt;0,0,-1*I19*50%*Asumsi!$C$41%)</f>
        <v>-92461.299433227061</v>
      </c>
      <c r="J20" s="44">
        <f>IF(J19&lt;0,0,-1*J19*50%*Asumsi!$C$41%)</f>
        <v>-118688.32607412232</v>
      </c>
      <c r="K20" s="44">
        <f>IF(K19&lt;0,0,-1*K19*50%*Asumsi!$C$41%)</f>
        <v>-207125.04551572198</v>
      </c>
      <c r="L20" s="17"/>
    </row>
    <row r="21" spans="1:15" x14ac:dyDescent="0.35">
      <c r="A21" s="11" t="s">
        <v>137</v>
      </c>
      <c r="B21" s="44">
        <f>B19+B20</f>
        <v>-49832.891140000196</v>
      </c>
      <c r="C21" s="44">
        <f>C19+C20</f>
        <v>-64551.324121111073</v>
      </c>
      <c r="D21" s="44">
        <f t="shared" ref="D21:J21" si="4">D19+D20</f>
        <v>767978.71637471113</v>
      </c>
      <c r="E21" s="44">
        <f t="shared" si="4"/>
        <v>1243100.0365747102</v>
      </c>
      <c r="F21" s="44">
        <f t="shared" si="4"/>
        <v>703712.19854071143</v>
      </c>
      <c r="G21" s="44">
        <f>G19+G20</f>
        <v>954571.69956904126</v>
      </c>
      <c r="H21" s="44">
        <f t="shared" si="4"/>
        <v>1364768.6546850128</v>
      </c>
      <c r="I21" s="44">
        <f t="shared" si="4"/>
        <v>748095.9681415644</v>
      </c>
      <c r="J21" s="44">
        <f t="shared" si="4"/>
        <v>960296.45641789876</v>
      </c>
      <c r="K21" s="44">
        <f>K19+K20</f>
        <v>1675829.9137181144</v>
      </c>
      <c r="L21" s="17"/>
      <c r="M21" s="128">
        <f>AVERAGE(B21:K21)</f>
        <v>830396.94287606538</v>
      </c>
    </row>
    <row r="22" spans="1:15" x14ac:dyDescent="0.35">
      <c r="A22" s="72"/>
      <c r="B22" s="72"/>
      <c r="C22" s="385"/>
      <c r="D22" s="385"/>
      <c r="E22" s="385"/>
      <c r="F22" s="385"/>
      <c r="G22" s="385"/>
      <c r="H22" s="385"/>
      <c r="I22" s="385"/>
      <c r="J22" s="385"/>
      <c r="K22" s="385"/>
      <c r="L22" s="17"/>
      <c r="M22" s="44"/>
    </row>
    <row r="23" spans="1:15" x14ac:dyDescent="0.35">
      <c r="N23" s="44"/>
      <c r="O23" s="44"/>
    </row>
    <row r="24" spans="1:15" x14ac:dyDescent="0.35">
      <c r="A24" s="11" t="s">
        <v>650</v>
      </c>
      <c r="N24" s="44"/>
      <c r="O24" s="44"/>
    </row>
    <row r="25" spans="1:15" x14ac:dyDescent="0.35">
      <c r="A25" s="15" t="s">
        <v>651</v>
      </c>
      <c r="N25" s="44"/>
      <c r="O25" s="44"/>
    </row>
    <row r="26" spans="1:15" x14ac:dyDescent="0.35">
      <c r="A26" s="15" t="s">
        <v>643</v>
      </c>
      <c r="N26" s="44"/>
      <c r="O26" s="44"/>
    </row>
    <row r="27" spans="1:15" x14ac:dyDescent="0.35">
      <c r="A27" s="15" t="s">
        <v>646</v>
      </c>
    </row>
    <row r="28" spans="1:15" x14ac:dyDescent="0.35">
      <c r="A28" s="15" t="s">
        <v>644</v>
      </c>
    </row>
    <row r="29" spans="1:15" x14ac:dyDescent="0.35">
      <c r="A29" s="15" t="s">
        <v>652</v>
      </c>
    </row>
    <row r="30" spans="1:15" x14ac:dyDescent="0.35">
      <c r="A30" s="15" t="s">
        <v>653</v>
      </c>
    </row>
    <row r="31" spans="1:15" x14ac:dyDescent="0.35">
      <c r="A31" s="15" t="s">
        <v>645</v>
      </c>
      <c r="B31" s="110"/>
    </row>
    <row r="32" spans="1:15" x14ac:dyDescent="0.35">
      <c r="A32" s="15" t="s">
        <v>647</v>
      </c>
    </row>
    <row r="33" spans="1:1" x14ac:dyDescent="0.35">
      <c r="A33" s="15" t="s">
        <v>654</v>
      </c>
    </row>
    <row r="34" spans="1:1" x14ac:dyDescent="0.35">
      <c r="A34" s="15" t="s">
        <v>648</v>
      </c>
    </row>
    <row r="35" spans="1:1" x14ac:dyDescent="0.35">
      <c r="A35" s="15" t="s">
        <v>649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5"/>
  <sheetViews>
    <sheetView showGridLines="0" zoomScale="140" zoomScaleNormal="140" workbookViewId="0">
      <pane xSplit="1" ySplit="9" topLeftCell="B16" activePane="bottomRight" state="frozen"/>
      <selection pane="topRight" activeCell="B1" sqref="B1"/>
      <selection pane="bottomLeft" activeCell="A8" sqref="A8"/>
      <selection pane="bottomRight" activeCell="H28" sqref="H28"/>
    </sheetView>
  </sheetViews>
  <sheetFormatPr defaultColWidth="13.1796875" defaultRowHeight="10.5" x14ac:dyDescent="0.5"/>
  <cols>
    <col min="1" max="1" width="38.453125" style="368" bestFit="1" customWidth="1"/>
    <col min="2" max="12" width="9.81640625" style="368" customWidth="1"/>
    <col min="13" max="17" width="11.453125" style="368" bestFit="1" customWidth="1"/>
    <col min="18" max="16384" width="13.1796875" style="368"/>
  </cols>
  <sheetData>
    <row r="1" spans="1:18" x14ac:dyDescent="0.35">
      <c r="A1" s="1" t="s">
        <v>0</v>
      </c>
      <c r="H1" s="387"/>
      <c r="M1" s="387"/>
    </row>
    <row r="2" spans="1:18" x14ac:dyDescent="0.5">
      <c r="A2" s="367" t="str">
        <f>[1]ProjectValuation!A2</f>
        <v>Financial Pre-Feasibility Study</v>
      </c>
      <c r="H2" s="459"/>
      <c r="M2" s="387"/>
    </row>
    <row r="3" spans="1:18" x14ac:dyDescent="0.5">
      <c r="A3" s="369" t="s">
        <v>908</v>
      </c>
      <c r="H3" s="387"/>
      <c r="M3" s="387"/>
      <c r="R3" s="387"/>
    </row>
    <row r="4" spans="1:18" x14ac:dyDescent="0.5">
      <c r="A4" s="527" t="str">
        <f>IncomeStatement!A4</f>
        <v>Case-3: pakan diproduksi, Jumlah peliharaan di naikkan dari 3.000 menjadi 12.000 ekor</v>
      </c>
      <c r="C4" s="387"/>
      <c r="D4" s="387"/>
      <c r="E4" s="387"/>
      <c r="F4" s="387"/>
      <c r="G4" s="387"/>
      <c r="H4" s="387"/>
      <c r="M4" s="387"/>
      <c r="R4" s="387"/>
    </row>
    <row r="5" spans="1:18" x14ac:dyDescent="0.5">
      <c r="A5" s="388"/>
      <c r="C5" s="387"/>
      <c r="D5" s="387"/>
      <c r="E5" s="387"/>
      <c r="F5" s="387"/>
      <c r="G5" s="387"/>
      <c r="H5" s="387"/>
      <c r="M5" s="387"/>
      <c r="R5" s="387"/>
    </row>
    <row r="6" spans="1:18" x14ac:dyDescent="0.5">
      <c r="A6" s="388"/>
      <c r="D6" s="459"/>
      <c r="G6" s="459"/>
      <c r="M6" s="387"/>
      <c r="R6" s="387"/>
    </row>
    <row r="7" spans="1:18" x14ac:dyDescent="0.5">
      <c r="A7" s="389" t="s">
        <v>909</v>
      </c>
      <c r="C7" s="387"/>
      <c r="D7" s="459"/>
      <c r="G7" s="387"/>
      <c r="M7" s="387"/>
      <c r="R7" s="387"/>
    </row>
    <row r="8" spans="1:18" x14ac:dyDescent="0.5">
      <c r="A8" s="368" t="s">
        <v>910</v>
      </c>
      <c r="C8" s="374"/>
      <c r="G8" s="387"/>
      <c r="M8" s="387"/>
    </row>
    <row r="9" spans="1:18" ht="20.2" customHeight="1" x14ac:dyDescent="0.5">
      <c r="A9" s="390" t="s">
        <v>1134</v>
      </c>
      <c r="B9" s="391">
        <v>0</v>
      </c>
      <c r="C9" s="391">
        <v>1</v>
      </c>
      <c r="D9" s="391">
        <f>C9+1</f>
        <v>2</v>
      </c>
      <c r="E9" s="391">
        <f t="shared" ref="E9:L9" si="0">D9+1</f>
        <v>3</v>
      </c>
      <c r="F9" s="391">
        <f t="shared" si="0"/>
        <v>4</v>
      </c>
      <c r="G9" s="391">
        <f t="shared" si="0"/>
        <v>5</v>
      </c>
      <c r="H9" s="391">
        <f t="shared" si="0"/>
        <v>6</v>
      </c>
      <c r="I9" s="391">
        <f t="shared" si="0"/>
        <v>7</v>
      </c>
      <c r="J9" s="391">
        <f t="shared" si="0"/>
        <v>8</v>
      </c>
      <c r="K9" s="391">
        <f t="shared" si="0"/>
        <v>9</v>
      </c>
      <c r="L9" s="391">
        <f t="shared" si="0"/>
        <v>10</v>
      </c>
    </row>
    <row r="10" spans="1:18" x14ac:dyDescent="0.5">
      <c r="A10" s="373" t="s">
        <v>911</v>
      </c>
      <c r="B10" s="392"/>
      <c r="C10" s="392"/>
      <c r="D10" s="392"/>
      <c r="E10" s="392"/>
      <c r="F10" s="392"/>
      <c r="G10" s="392"/>
      <c r="H10" s="392"/>
      <c r="I10" s="392"/>
      <c r="J10" s="392"/>
      <c r="K10" s="392"/>
      <c r="L10" s="392"/>
    </row>
    <row r="11" spans="1:18" x14ac:dyDescent="0.5">
      <c r="A11" s="393" t="s">
        <v>912</v>
      </c>
      <c r="B11" s="392"/>
      <c r="C11" s="387">
        <f>IncomeStatement!B10</f>
        <v>1205640</v>
      </c>
      <c r="D11" s="387">
        <f>IncomeStatement!C10</f>
        <v>5152938</v>
      </c>
      <c r="E11" s="387">
        <f>IncomeStatement!D10</f>
        <v>6054822</v>
      </c>
      <c r="F11" s="387">
        <f>IncomeStatement!E10</f>
        <v>5876322</v>
      </c>
      <c r="G11" s="387">
        <f>IncomeStatement!F10</f>
        <v>6144072</v>
      </c>
      <c r="H11" s="387">
        <f>IncomeStatement!G10</f>
        <v>6054822</v>
      </c>
      <c r="I11" s="387">
        <f>IncomeStatement!H10</f>
        <v>5876322</v>
      </c>
      <c r="J11" s="387">
        <f>IncomeStatement!I10</f>
        <v>6144072</v>
      </c>
      <c r="K11" s="387">
        <f>IncomeStatement!J10</f>
        <v>6054822</v>
      </c>
      <c r="L11" s="387">
        <f>IncomeStatement!K10</f>
        <v>6233322</v>
      </c>
    </row>
    <row r="12" spans="1:18" x14ac:dyDescent="0.5">
      <c r="A12" s="393" t="s">
        <v>913</v>
      </c>
      <c r="B12" s="392"/>
      <c r="C12" s="375">
        <f>Depreciation!K10</f>
        <v>69758.754889999997</v>
      </c>
      <c r="D12" s="375">
        <f>Depreciation!K11</f>
        <v>282111.98187111109</v>
      </c>
      <c r="E12" s="375">
        <f>Depreciation!K12</f>
        <v>282111.98187111109</v>
      </c>
      <c r="F12" s="375">
        <f>Depreciation!K13</f>
        <v>282111.98187111109</v>
      </c>
      <c r="G12" s="375">
        <f>Depreciation!K14</f>
        <v>282111.98187111109</v>
      </c>
      <c r="H12" s="375">
        <f>Depreciation!K15</f>
        <v>282111.98187111109</v>
      </c>
      <c r="I12" s="375">
        <f>Depreciation!K16</f>
        <v>282111.98187111109</v>
      </c>
      <c r="J12" s="375">
        <f>Depreciation!K17</f>
        <v>282111.98187111109</v>
      </c>
      <c r="K12" s="375">
        <f>Depreciation!K18</f>
        <v>282111.98187111109</v>
      </c>
      <c r="L12" s="375">
        <f>Depreciation!K19</f>
        <v>282111.98187111109</v>
      </c>
    </row>
    <row r="13" spans="1:18" x14ac:dyDescent="0.5">
      <c r="A13" s="393" t="s">
        <v>914</v>
      </c>
      <c r="B13" s="392"/>
      <c r="C13" s="387"/>
      <c r="D13" s="387"/>
      <c r="F13" s="387"/>
      <c r="H13" s="375"/>
      <c r="J13" s="375"/>
      <c r="L13" s="375"/>
    </row>
    <row r="14" spans="1:18" x14ac:dyDescent="0.5">
      <c r="A14" s="393" t="s">
        <v>953</v>
      </c>
      <c r="B14" s="392"/>
      <c r="C14" s="387">
        <f>IncomeStatement!B11</f>
        <v>-1170472.8911400002</v>
      </c>
      <c r="D14" s="387">
        <f>IncomeStatement!C11</f>
        <v>-4772501.3241211111</v>
      </c>
      <c r="E14" s="387">
        <f>IncomeStatement!D11</f>
        <v>-4833100.0658711111</v>
      </c>
      <c r="F14" s="387">
        <f>IncomeStatement!E11</f>
        <v>-4206916.2033711122</v>
      </c>
      <c r="G14" s="387">
        <f>IncomeStatement!F11</f>
        <v>-5166877.0730586108</v>
      </c>
      <c r="H14" s="387">
        <f>IncomeStatement!G11</f>
        <v>-4838516.3698445484</v>
      </c>
      <c r="I14" s="387">
        <f>IncomeStatement!H11</f>
        <v>-4212359.5888644159</v>
      </c>
      <c r="J14" s="387">
        <f>IncomeStatement!I11</f>
        <v>-5172347.6754793823</v>
      </c>
      <c r="K14" s="387">
        <f>IncomeStatement!J11</f>
        <v>-4844014.3252774235</v>
      </c>
      <c r="L14" s="387">
        <f>IncomeStatement!K11</f>
        <v>-4217885.0340744555</v>
      </c>
    </row>
    <row r="15" spans="1:18" x14ac:dyDescent="0.5">
      <c r="A15" s="394" t="s">
        <v>915</v>
      </c>
      <c r="B15" s="392"/>
      <c r="C15" s="387">
        <f>IncomeStatement!B15+IncomeStatement!B14</f>
        <v>-85000</v>
      </c>
      <c r="D15" s="387">
        <f>IncomeStatement!C15+IncomeStatement!C14</f>
        <v>-127300</v>
      </c>
      <c r="E15" s="387">
        <f>IncomeStatement!D15+IncomeStatement!D14</f>
        <v>-127936.49999999997</v>
      </c>
      <c r="F15" s="387">
        <f>IncomeStatement!E15+IncomeStatement!E14</f>
        <v>-128576.18249999997</v>
      </c>
      <c r="G15" s="387">
        <f>IncomeStatement!F15+IncomeStatement!F14</f>
        <v>-129219.06341249995</v>
      </c>
      <c r="H15" s="387">
        <f>IncomeStatement!G15+IncomeStatement!G14</f>
        <v>-129865.15872956245</v>
      </c>
      <c r="I15" s="387">
        <f>IncomeStatement!H15+IncomeStatement!H14</f>
        <v>-130514.48452321024</v>
      </c>
      <c r="J15" s="387">
        <f>IncomeStatement!I15+IncomeStatement!I14</f>
        <v>-131167.05694582628</v>
      </c>
      <c r="K15" s="387">
        <f>IncomeStatement!J15+IncomeStatement!J14</f>
        <v>-131822.89223055542</v>
      </c>
      <c r="L15" s="387">
        <f>IncomeStatement!K15+IncomeStatement!K14</f>
        <v>-132482.00669170817</v>
      </c>
    </row>
    <row r="16" spans="1:18" x14ac:dyDescent="0.5">
      <c r="A16" s="394" t="s">
        <v>916</v>
      </c>
      <c r="B16" s="375"/>
      <c r="C16" s="395">
        <f>IncomeStatement!B20</f>
        <v>0</v>
      </c>
      <c r="D16" s="395">
        <f>IncomeStatement!C20</f>
        <v>0</v>
      </c>
      <c r="E16" s="395">
        <f>IncomeStatement!D20</f>
        <v>-94918.717754177778</v>
      </c>
      <c r="F16" s="395">
        <f>IncomeStatement!E20</f>
        <v>-153641.57755417767</v>
      </c>
      <c r="G16" s="395">
        <f>IncomeStatement!F20</f>
        <v>-86975.664988177814</v>
      </c>
      <c r="H16" s="395">
        <f>IncomeStatement!G20</f>
        <v>-117980.7718568478</v>
      </c>
      <c r="I16" s="395">
        <f>IncomeStatement!H20</f>
        <v>-168679.27192736114</v>
      </c>
      <c r="J16" s="395">
        <f>IncomeStatement!I20</f>
        <v>-92461.299433227061</v>
      </c>
      <c r="K16" s="395">
        <f>IncomeStatement!J20</f>
        <v>-118688.32607412232</v>
      </c>
      <c r="L16" s="395">
        <f>IncomeStatement!K20</f>
        <v>-207125.04551572198</v>
      </c>
    </row>
    <row r="17" spans="1:12" x14ac:dyDescent="0.5">
      <c r="A17" s="396" t="s">
        <v>917</v>
      </c>
      <c r="B17" s="392"/>
      <c r="C17" s="440">
        <f>SUM(C11:C16)</f>
        <v>19925.863749999786</v>
      </c>
      <c r="D17" s="440">
        <f>SUM(D11:D16)</f>
        <v>535248.65775000025</v>
      </c>
      <c r="E17" s="440">
        <f t="shared" ref="E17:L17" si="1">SUM(E11:E16)</f>
        <v>1280978.6982458225</v>
      </c>
      <c r="F17" s="440">
        <f t="shared" si="1"/>
        <v>1669300.0184458215</v>
      </c>
      <c r="G17" s="440">
        <f>SUM(G11:G16)</f>
        <v>1043112.1804118229</v>
      </c>
      <c r="H17" s="440">
        <f t="shared" si="1"/>
        <v>1250571.6814401527</v>
      </c>
      <c r="I17" s="440">
        <f t="shared" si="1"/>
        <v>1646880.6365561241</v>
      </c>
      <c r="J17" s="440">
        <f t="shared" si="1"/>
        <v>1030207.9500126756</v>
      </c>
      <c r="K17" s="440">
        <f t="shared" si="1"/>
        <v>1242408.4382890102</v>
      </c>
      <c r="L17" s="440">
        <f t="shared" si="1"/>
        <v>1957941.8955892257</v>
      </c>
    </row>
    <row r="18" spans="1:12" x14ac:dyDescent="0.5"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</row>
    <row r="19" spans="1:12" x14ac:dyDescent="0.5">
      <c r="A19" s="373" t="s">
        <v>918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</row>
    <row r="20" spans="1:12" x14ac:dyDescent="0.5">
      <c r="A20" s="368" t="s">
        <v>919</v>
      </c>
      <c r="B20" s="375">
        <f>CapitalInvestment!E21/10^3</f>
        <v>840300</v>
      </c>
      <c r="C20" s="375">
        <f>CapitalInvestment!AB12/1000</f>
        <v>2170000</v>
      </c>
      <c r="E20" s="375"/>
      <c r="F20" s="375"/>
      <c r="G20" s="375"/>
      <c r="H20" s="375"/>
      <c r="I20" s="375"/>
      <c r="J20" s="375"/>
      <c r="K20" s="375"/>
      <c r="L20" s="375"/>
    </row>
    <row r="21" spans="1:12" x14ac:dyDescent="0.5">
      <c r="A21" s="368" t="s">
        <v>920</v>
      </c>
      <c r="B21" s="635"/>
      <c r="C21" s="398">
        <f>CapitalInvestment!E22/10^3</f>
        <v>500000</v>
      </c>
      <c r="D21" s="398">
        <f>CapitalInvestment!AB13/1000</f>
        <v>520000</v>
      </c>
      <c r="E21" s="398"/>
      <c r="F21" s="398"/>
      <c r="G21" s="398"/>
      <c r="H21" s="398"/>
      <c r="I21" s="398"/>
      <c r="J21" s="398"/>
      <c r="K21" s="398"/>
      <c r="L21" s="398"/>
    </row>
    <row r="22" spans="1:12" x14ac:dyDescent="0.5">
      <c r="A22" s="396" t="s">
        <v>921</v>
      </c>
      <c r="B22" s="497">
        <f>SUM(B20:B21)</f>
        <v>840300</v>
      </c>
      <c r="C22" s="497">
        <f>SUM(C20:C21)</f>
        <v>2670000</v>
      </c>
      <c r="D22" s="497">
        <f>SUM(D20:D21)</f>
        <v>520000</v>
      </c>
      <c r="E22" s="497">
        <f t="shared" ref="E22:L22" si="2">SUM(E20:E21)</f>
        <v>0</v>
      </c>
      <c r="F22" s="497">
        <f t="shared" si="2"/>
        <v>0</v>
      </c>
      <c r="G22" s="497">
        <f t="shared" si="2"/>
        <v>0</v>
      </c>
      <c r="H22" s="497">
        <f t="shared" si="2"/>
        <v>0</v>
      </c>
      <c r="I22" s="497">
        <f t="shared" si="2"/>
        <v>0</v>
      </c>
      <c r="J22" s="497">
        <f t="shared" si="2"/>
        <v>0</v>
      </c>
      <c r="K22" s="497">
        <f t="shared" si="2"/>
        <v>0</v>
      </c>
      <c r="L22" s="497">
        <f t="shared" si="2"/>
        <v>0</v>
      </c>
    </row>
    <row r="23" spans="1:12" x14ac:dyDescent="0.5"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</row>
    <row r="24" spans="1:12" x14ac:dyDescent="0.5">
      <c r="A24" s="373" t="s">
        <v>922</v>
      </c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</row>
    <row r="25" spans="1:12" x14ac:dyDescent="0.5">
      <c r="A25" s="368" t="s">
        <v>923</v>
      </c>
      <c r="B25" s="387">
        <f>-1*B20</f>
        <v>-840300</v>
      </c>
      <c r="C25" s="387">
        <f>-1*C20</f>
        <v>-2170000</v>
      </c>
      <c r="E25" s="387"/>
      <c r="F25" s="387"/>
      <c r="G25" s="387"/>
      <c r="H25" s="387"/>
      <c r="I25" s="387"/>
      <c r="J25" s="387"/>
      <c r="K25" s="387"/>
      <c r="L25" s="387"/>
    </row>
    <row r="26" spans="1:12" x14ac:dyDescent="0.5">
      <c r="A26" s="368" t="s">
        <v>924</v>
      </c>
      <c r="B26" s="387"/>
      <c r="C26" s="387"/>
      <c r="D26" s="387">
        <f>-1*LoanInterest!K10</f>
        <v>-542500</v>
      </c>
      <c r="E26" s="387">
        <f>-1*LoanInterest!K11</f>
        <v>-542500</v>
      </c>
      <c r="F26" s="387">
        <f>-1*LoanInterest!K12</f>
        <v>-542500</v>
      </c>
      <c r="G26" s="387">
        <f>-1*LoanInterest!K13</f>
        <v>-542500</v>
      </c>
      <c r="H26" s="387"/>
      <c r="I26" s="387"/>
      <c r="J26" s="387"/>
      <c r="K26" s="387"/>
      <c r="L26" s="387"/>
    </row>
    <row r="27" spans="1:12" x14ac:dyDescent="0.5">
      <c r="A27" s="368" t="s">
        <v>925</v>
      </c>
      <c r="B27" s="387"/>
      <c r="C27" s="387"/>
      <c r="D27" s="387">
        <f>-1*LoanInterest!M10</f>
        <v>-317688</v>
      </c>
      <c r="E27" s="387">
        <f>-1*LoanInterest!M11</f>
        <v>-230888</v>
      </c>
      <c r="F27" s="387">
        <f>-1*LoanInterest!M12</f>
        <v>-144088</v>
      </c>
      <c r="G27" s="387">
        <f>-1*LoanInterest!M13</f>
        <v>-57288</v>
      </c>
      <c r="H27" s="387">
        <f>-1*LoanInterest!M14</f>
        <v>-13888</v>
      </c>
      <c r="I27" s="387"/>
      <c r="J27" s="387"/>
      <c r="K27" s="387"/>
      <c r="L27" s="387"/>
    </row>
    <row r="28" spans="1:12" x14ac:dyDescent="0.5">
      <c r="A28" s="368" t="s">
        <v>983</v>
      </c>
      <c r="B28" s="387"/>
      <c r="C28" s="387">
        <f>-1*Dividen!N11</f>
        <v>0</v>
      </c>
      <c r="D28" s="387">
        <f>-1*Dividen!N12</f>
        <v>0</v>
      </c>
      <c r="E28" s="387">
        <f>-1*Dividen!N13</f>
        <v>0</v>
      </c>
      <c r="F28" s="387">
        <f>-1*Dividen!N14</f>
        <v>0</v>
      </c>
      <c r="G28" s="387">
        <f>-1*Dividen!N15</f>
        <v>0</v>
      </c>
      <c r="H28" s="387">
        <f>-1*Dividen!N16</f>
        <v>-954571.69956904126</v>
      </c>
      <c r="I28" s="387">
        <f>-1*Dividen!N17</f>
        <v>-1364768.6546850128</v>
      </c>
      <c r="J28" s="387">
        <f>-1*Dividen!N18</f>
        <v>-748095.9681415644</v>
      </c>
      <c r="K28" s="387">
        <f>-1*Dividen!N19</f>
        <v>-960296.45641789876</v>
      </c>
      <c r="L28" s="387">
        <f>-1*Dividen!N20</f>
        <v>-1675829.9137181144</v>
      </c>
    </row>
    <row r="29" spans="1:12" x14ac:dyDescent="0.5">
      <c r="A29" s="396" t="s">
        <v>926</v>
      </c>
      <c r="B29" s="498">
        <f>SUM(B25:B28)</f>
        <v>-840300</v>
      </c>
      <c r="C29" s="498">
        <f>SUM(C25:C28)</f>
        <v>-2170000</v>
      </c>
      <c r="D29" s="498">
        <f>SUM(D25:D28)</f>
        <v>-860188</v>
      </c>
      <c r="E29" s="498">
        <f t="shared" ref="C29:L29" si="3">SUM(E25:E28)</f>
        <v>-773388</v>
      </c>
      <c r="F29" s="498">
        <f t="shared" si="3"/>
        <v>-686588</v>
      </c>
      <c r="G29" s="498">
        <f t="shared" si="3"/>
        <v>-599788</v>
      </c>
      <c r="H29" s="498">
        <f t="shared" si="3"/>
        <v>-968459.69956904126</v>
      </c>
      <c r="I29" s="498">
        <f t="shared" si="3"/>
        <v>-1364768.6546850128</v>
      </c>
      <c r="J29" s="498">
        <f t="shared" si="3"/>
        <v>-748095.9681415644</v>
      </c>
      <c r="K29" s="498">
        <f t="shared" si="3"/>
        <v>-960296.45641789876</v>
      </c>
      <c r="L29" s="498">
        <f t="shared" si="3"/>
        <v>-1675829.9137181144</v>
      </c>
    </row>
    <row r="30" spans="1:12" x14ac:dyDescent="0.5">
      <c r="B30" s="400"/>
      <c r="C30" s="400"/>
      <c r="D30" s="400"/>
      <c r="E30" s="400"/>
      <c r="F30" s="400"/>
      <c r="G30" s="400"/>
      <c r="H30" s="400"/>
      <c r="I30" s="400"/>
      <c r="J30" s="400"/>
      <c r="K30" s="400"/>
      <c r="L30" s="400"/>
    </row>
    <row r="31" spans="1:12" x14ac:dyDescent="0.5">
      <c r="A31" s="373" t="s">
        <v>927</v>
      </c>
      <c r="B31" s="387">
        <f>B17+B22+B29</f>
        <v>0</v>
      </c>
      <c r="C31" s="387">
        <f>C17+C22+C29</f>
        <v>519925.86374999955</v>
      </c>
      <c r="D31" s="387">
        <f>D17+D22+D29</f>
        <v>195060.65775000025</v>
      </c>
      <c r="E31" s="387">
        <f t="shared" ref="E31:L31" si="4">E17+E22+E29</f>
        <v>507590.69824582245</v>
      </c>
      <c r="F31" s="387">
        <f t="shared" si="4"/>
        <v>982712.01844582148</v>
      </c>
      <c r="G31" s="387">
        <f>G17+G22+G29</f>
        <v>443324.18041182286</v>
      </c>
      <c r="H31" s="387">
        <f t="shared" si="4"/>
        <v>282111.98187111143</v>
      </c>
      <c r="I31" s="387">
        <f t="shared" si="4"/>
        <v>282111.98187111132</v>
      </c>
      <c r="J31" s="387">
        <f t="shared" si="4"/>
        <v>282111.9818711112</v>
      </c>
      <c r="K31" s="387">
        <f t="shared" si="4"/>
        <v>282111.98187111143</v>
      </c>
      <c r="L31" s="387">
        <f t="shared" si="4"/>
        <v>282111.98187111132</v>
      </c>
    </row>
    <row r="32" spans="1:12" x14ac:dyDescent="0.5">
      <c r="A32" s="373" t="s">
        <v>928</v>
      </c>
      <c r="B32" s="387">
        <v>0</v>
      </c>
      <c r="C32" s="387">
        <f>B33</f>
        <v>0</v>
      </c>
      <c r="D32" s="387">
        <f>C33</f>
        <v>519925.86374999955</v>
      </c>
      <c r="E32" s="387">
        <f>D33</f>
        <v>714986.5214999998</v>
      </c>
      <c r="F32" s="387">
        <f t="shared" ref="F32:L32" si="5">E33</f>
        <v>1222577.2197458223</v>
      </c>
      <c r="G32" s="387">
        <f>F33</f>
        <v>2205289.2381916437</v>
      </c>
      <c r="H32" s="387">
        <f t="shared" si="5"/>
        <v>2648613.4186034668</v>
      </c>
      <c r="I32" s="387">
        <f t="shared" si="5"/>
        <v>2930725.4004745781</v>
      </c>
      <c r="J32" s="387">
        <f t="shared" si="5"/>
        <v>3212837.3823456895</v>
      </c>
      <c r="K32" s="387">
        <f t="shared" si="5"/>
        <v>3494949.3642168008</v>
      </c>
      <c r="L32" s="387">
        <f t="shared" si="5"/>
        <v>3777061.3460879121</v>
      </c>
    </row>
    <row r="33" spans="1:12" x14ac:dyDescent="0.5">
      <c r="A33" s="373" t="s">
        <v>929</v>
      </c>
      <c r="B33" s="440">
        <f>B32+B31</f>
        <v>0</v>
      </c>
      <c r="C33" s="440">
        <f>C32+C31</f>
        <v>519925.86374999955</v>
      </c>
      <c r="D33" s="440">
        <f t="shared" ref="D33:L33" si="6">D32+D31</f>
        <v>714986.5214999998</v>
      </c>
      <c r="E33" s="440">
        <f t="shared" si="6"/>
        <v>1222577.2197458223</v>
      </c>
      <c r="F33" s="440">
        <f t="shared" si="6"/>
        <v>2205289.2381916437</v>
      </c>
      <c r="G33" s="440">
        <f t="shared" si="6"/>
        <v>2648613.4186034668</v>
      </c>
      <c r="H33" s="440">
        <f t="shared" si="6"/>
        <v>2930725.4004745781</v>
      </c>
      <c r="I33" s="440">
        <f t="shared" si="6"/>
        <v>3212837.3823456895</v>
      </c>
      <c r="J33" s="440">
        <f t="shared" si="6"/>
        <v>3494949.3642168008</v>
      </c>
      <c r="K33" s="440">
        <f t="shared" si="6"/>
        <v>3777061.3460879121</v>
      </c>
      <c r="L33" s="440">
        <f t="shared" si="6"/>
        <v>4059173.3279590234</v>
      </c>
    </row>
    <row r="34" spans="1:12" x14ac:dyDescent="0.5">
      <c r="A34" s="401"/>
      <c r="B34" s="397"/>
      <c r="C34" s="401"/>
      <c r="D34" s="397"/>
      <c r="E34" s="397"/>
      <c r="F34" s="401"/>
      <c r="G34" s="397"/>
      <c r="H34" s="397"/>
      <c r="I34" s="397"/>
      <c r="J34" s="397"/>
      <c r="K34" s="397"/>
      <c r="L34" s="397"/>
    </row>
    <row r="35" spans="1:12" x14ac:dyDescent="0.5">
      <c r="D35" s="375"/>
      <c r="E35" s="375"/>
      <c r="F35" s="375"/>
      <c r="G35" s="375"/>
      <c r="H35" s="375"/>
    </row>
    <row r="36" spans="1:12" x14ac:dyDescent="0.5">
      <c r="D36" s="375"/>
      <c r="E36" s="375"/>
      <c r="F36" s="375"/>
      <c r="G36" s="375"/>
      <c r="H36" s="375"/>
    </row>
    <row r="37" spans="1:12" x14ac:dyDescent="0.5">
      <c r="D37" s="375"/>
      <c r="E37" s="375"/>
      <c r="F37" s="375"/>
      <c r="G37" s="375"/>
      <c r="H37" s="375"/>
    </row>
    <row r="38" spans="1:12" x14ac:dyDescent="0.5">
      <c r="D38" s="375"/>
      <c r="E38" s="375"/>
      <c r="F38" s="375"/>
      <c r="G38" s="375"/>
      <c r="H38" s="375"/>
    </row>
    <row r="39" spans="1:12" x14ac:dyDescent="0.5">
      <c r="D39" s="375"/>
      <c r="E39" s="375"/>
      <c r="F39" s="375"/>
      <c r="G39" s="375"/>
      <c r="H39" s="375"/>
    </row>
    <row r="40" spans="1:12" x14ac:dyDescent="0.5">
      <c r="D40" s="375"/>
      <c r="E40" s="375"/>
      <c r="F40" s="375"/>
      <c r="G40" s="375"/>
      <c r="H40" s="375"/>
    </row>
    <row r="41" spans="1:12" x14ac:dyDescent="0.5">
      <c r="D41" s="375"/>
      <c r="E41" s="375"/>
      <c r="F41" s="375"/>
      <c r="G41" s="375"/>
      <c r="H41" s="375"/>
    </row>
    <row r="57" spans="1:6" x14ac:dyDescent="0.5">
      <c r="F57" s="375"/>
    </row>
    <row r="58" spans="1:6" x14ac:dyDescent="0.5">
      <c r="F58" s="375"/>
    </row>
    <row r="59" spans="1:6" x14ac:dyDescent="0.5">
      <c r="A59" s="371"/>
      <c r="C59" s="375"/>
      <c r="D59" s="375"/>
      <c r="E59" s="375"/>
      <c r="F59" s="375"/>
    </row>
    <row r="60" spans="1:6" x14ac:dyDescent="0.5">
      <c r="A60" s="371"/>
      <c r="C60" s="375"/>
      <c r="D60" s="375"/>
      <c r="E60" s="375"/>
    </row>
    <row r="61" spans="1:6" x14ac:dyDescent="0.5">
      <c r="C61" s="375"/>
    </row>
    <row r="65" spans="3:3" x14ac:dyDescent="0.5">
      <c r="C65" s="37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G49"/>
  <sheetViews>
    <sheetView showGridLines="0" topLeftCell="A25" zoomScale="110" zoomScaleNormal="110" workbookViewId="0">
      <selection activeCell="M52" sqref="M52"/>
    </sheetView>
  </sheetViews>
  <sheetFormatPr defaultColWidth="8.81640625" defaultRowHeight="10.5" x14ac:dyDescent="0.35"/>
  <cols>
    <col min="1" max="2" width="8.81640625" style="4"/>
    <col min="3" max="3" width="13.36328125" style="4" customWidth="1"/>
    <col min="4" max="4" width="8.81640625" style="4"/>
    <col min="5" max="5" width="4.81640625" style="15" customWidth="1"/>
    <col min="6" max="6" width="23.81640625" style="4" bestFit="1" customWidth="1"/>
    <col min="7" max="7" width="9.26953125" style="4" bestFit="1" customWidth="1"/>
    <col min="8" max="16" width="8.7265625" style="4" bestFit="1" customWidth="1"/>
    <col min="17" max="18" width="7.81640625" style="4" bestFit="1" customWidth="1"/>
    <col min="19" max="19" width="1.81640625" style="4" customWidth="1"/>
    <col min="20" max="20" width="9.1796875" style="4" bestFit="1" customWidth="1"/>
    <col min="21" max="24" width="8.36328125" style="4" bestFit="1" customWidth="1"/>
    <col min="25" max="31" width="9.36328125" style="4" bestFit="1" customWidth="1"/>
    <col min="32" max="32" width="1.81640625" style="4" customWidth="1"/>
    <col min="33" max="44" width="9.36328125" style="4" bestFit="1" customWidth="1"/>
    <col min="45" max="45" width="1.81640625" style="4" customWidth="1"/>
    <col min="46" max="57" width="9.36328125" style="4" bestFit="1" customWidth="1"/>
    <col min="58" max="58" width="1.81640625" style="4" customWidth="1"/>
    <col min="59" max="70" width="9.36328125" style="4" bestFit="1" customWidth="1"/>
    <col min="71" max="71" width="1.81640625" style="4" customWidth="1"/>
    <col min="72" max="83" width="9.36328125" style="4" bestFit="1" customWidth="1"/>
    <col min="84" max="84" width="1.81640625" style="4" customWidth="1"/>
    <col min="85" max="96" width="9.36328125" style="4" bestFit="1" customWidth="1"/>
    <col min="97" max="97" width="1.81640625" style="4" customWidth="1"/>
    <col min="98" max="109" width="9.36328125" style="4" bestFit="1" customWidth="1"/>
    <col min="110" max="110" width="2.36328125" style="4" bestFit="1" customWidth="1"/>
    <col min="111" max="122" width="9.36328125" style="4" bestFit="1" customWidth="1"/>
    <col min="123" max="123" width="2.36328125" style="4" bestFit="1" customWidth="1"/>
    <col min="124" max="135" width="9.36328125" style="4" bestFit="1" customWidth="1"/>
    <col min="136" max="136" width="1.81640625" style="4" customWidth="1"/>
    <col min="137" max="16384" width="8.81640625" style="4"/>
  </cols>
  <sheetData>
    <row r="1" spans="1:137" x14ac:dyDescent="0.35">
      <c r="A1" s="69" t="str">
        <f>IncomeStatement!A1</f>
        <v>Peternakan Ayam Petelur</v>
      </c>
    </row>
    <row r="2" spans="1:137" x14ac:dyDescent="0.35">
      <c r="A2" s="69" t="str">
        <f>IncomeStatement!A2</f>
        <v>Financial Pre-Feasibility Study</v>
      </c>
    </row>
    <row r="3" spans="1:137" x14ac:dyDescent="0.35">
      <c r="A3" s="526" t="s">
        <v>142</v>
      </c>
    </row>
    <row r="4" spans="1:137" x14ac:dyDescent="0.35">
      <c r="A4" s="10" t="str">
        <f>Asumsi!A4</f>
        <v>Case-3: pakan diproduksi, Jumlah peliharaan di naikkan dari 3.000 menjadi 12.000 ekor</v>
      </c>
      <c r="G4" s="123"/>
      <c r="H4" s="123"/>
      <c r="K4" s="44"/>
      <c r="T4" s="123"/>
      <c r="U4" s="123"/>
    </row>
    <row r="5" spans="1:137" s="531" customFormat="1" ht="10.5" customHeight="1" x14ac:dyDescent="0.35">
      <c r="E5" s="177"/>
      <c r="F5" s="4"/>
      <c r="G5" s="4"/>
      <c r="H5" s="4"/>
      <c r="I5" s="4"/>
      <c r="J5" s="4"/>
      <c r="K5" s="4"/>
    </row>
    <row r="6" spans="1:137" s="531" customFormat="1" ht="10.5" customHeight="1" x14ac:dyDescent="0.35">
      <c r="C6" s="631"/>
      <c r="E6" s="177"/>
      <c r="F6" s="4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EE6" s="631"/>
    </row>
    <row r="7" spans="1:137" s="531" customFormat="1" ht="10.5" customHeight="1" x14ac:dyDescent="0.35">
      <c r="E7" s="624" t="s">
        <v>910</v>
      </c>
      <c r="F7" s="4"/>
      <c r="G7" s="4"/>
      <c r="H7" s="4"/>
      <c r="I7" s="4"/>
      <c r="J7" s="4"/>
      <c r="K7" s="4"/>
    </row>
    <row r="8" spans="1:137" x14ac:dyDescent="0.35">
      <c r="A8" s="116" t="s">
        <v>528</v>
      </c>
      <c r="B8" s="175"/>
      <c r="C8" s="175"/>
      <c r="E8" s="539" t="s">
        <v>1076</v>
      </c>
      <c r="F8" s="541"/>
      <c r="G8" s="541"/>
      <c r="H8" s="541"/>
      <c r="I8" s="541"/>
      <c r="J8" s="541"/>
      <c r="K8" s="541"/>
      <c r="L8" s="541"/>
      <c r="M8" s="541"/>
      <c r="N8" s="541"/>
      <c r="O8" s="541"/>
      <c r="P8" s="541"/>
      <c r="Q8" s="541"/>
      <c r="R8" s="541"/>
      <c r="S8" s="541"/>
      <c r="T8" s="541"/>
      <c r="U8" s="541"/>
      <c r="V8" s="541"/>
      <c r="W8" s="541"/>
      <c r="X8" s="541"/>
      <c r="Y8" s="541"/>
      <c r="Z8" s="541"/>
      <c r="AA8" s="541"/>
      <c r="AB8" s="541"/>
      <c r="AC8" s="541"/>
      <c r="AD8" s="541"/>
      <c r="AE8" s="541"/>
      <c r="AF8" s="541"/>
      <c r="AG8" s="541"/>
      <c r="AH8" s="541"/>
      <c r="AI8" s="541"/>
      <c r="AJ8" s="541"/>
      <c r="AK8" s="541"/>
      <c r="AL8" s="541"/>
      <c r="AM8" s="541"/>
      <c r="AN8" s="541"/>
      <c r="AO8" s="541"/>
      <c r="AP8" s="541"/>
      <c r="AQ8" s="541"/>
      <c r="AR8" s="541"/>
      <c r="AS8" s="541"/>
      <c r="AT8" s="541"/>
      <c r="AU8" s="541"/>
      <c r="AV8" s="541"/>
      <c r="AW8" s="541"/>
      <c r="AX8" s="541"/>
      <c r="AY8" s="541"/>
      <c r="AZ8" s="541"/>
      <c r="BA8" s="541"/>
      <c r="BB8" s="541"/>
      <c r="BC8" s="541"/>
      <c r="BD8" s="541"/>
      <c r="BE8" s="541"/>
      <c r="BF8" s="541"/>
      <c r="BG8" s="541"/>
      <c r="BH8" s="541"/>
      <c r="BI8" s="541"/>
      <c r="BJ8" s="541"/>
      <c r="BK8" s="541"/>
      <c r="BL8" s="541"/>
      <c r="BM8" s="541"/>
      <c r="BN8" s="541"/>
      <c r="BO8" s="541"/>
      <c r="BP8" s="541"/>
      <c r="BQ8" s="541"/>
      <c r="BR8" s="541"/>
      <c r="BS8" s="541"/>
      <c r="BT8" s="541"/>
      <c r="BU8" s="541"/>
      <c r="BV8" s="541"/>
      <c r="BW8" s="541"/>
      <c r="BX8" s="541"/>
      <c r="BY8" s="541"/>
      <c r="BZ8" s="541"/>
      <c r="CA8" s="541"/>
      <c r="CB8" s="541"/>
      <c r="CC8" s="541"/>
      <c r="CD8" s="541"/>
      <c r="CE8" s="541"/>
      <c r="CF8" s="541"/>
      <c r="CG8" s="541"/>
      <c r="CH8" s="541"/>
      <c r="CI8" s="541"/>
      <c r="CJ8" s="541"/>
      <c r="CK8" s="541"/>
      <c r="CL8" s="541"/>
      <c r="CM8" s="541"/>
      <c r="CN8" s="541"/>
      <c r="CO8" s="541"/>
      <c r="CP8" s="541"/>
      <c r="CQ8" s="541"/>
      <c r="CR8" s="541"/>
      <c r="CS8" s="541"/>
      <c r="CT8" s="541"/>
      <c r="CU8" s="541"/>
      <c r="CV8" s="541"/>
      <c r="CW8" s="541"/>
      <c r="CX8" s="541"/>
      <c r="CY8" s="541"/>
      <c r="CZ8" s="541"/>
      <c r="DA8" s="541"/>
      <c r="DB8" s="541"/>
      <c r="DC8" s="541"/>
      <c r="DD8" s="541"/>
      <c r="DE8" s="541"/>
      <c r="DF8" s="541"/>
      <c r="DG8" s="541"/>
      <c r="DH8" s="541"/>
      <c r="DI8" s="541"/>
      <c r="DJ8" s="541"/>
      <c r="DK8" s="541"/>
      <c r="DL8" s="541"/>
      <c r="DM8" s="541"/>
      <c r="DN8" s="541"/>
      <c r="DO8" s="541"/>
      <c r="DP8" s="541"/>
      <c r="DQ8" s="541"/>
      <c r="DR8" s="541"/>
      <c r="DS8" s="541"/>
      <c r="DT8" s="541"/>
      <c r="DU8" s="541"/>
      <c r="DV8" s="541"/>
      <c r="DW8" s="541"/>
      <c r="DX8" s="541"/>
      <c r="DY8" s="541"/>
      <c r="DZ8" s="541"/>
      <c r="EA8" s="541"/>
      <c r="EB8" s="541"/>
      <c r="EC8" s="541"/>
      <c r="ED8" s="541"/>
      <c r="EE8" s="541"/>
      <c r="EF8" s="541"/>
    </row>
    <row r="9" spans="1:137" x14ac:dyDescent="0.35">
      <c r="A9" s="175"/>
      <c r="B9" s="175"/>
      <c r="C9" s="175"/>
      <c r="E9" s="544" t="s">
        <v>269</v>
      </c>
      <c r="F9" s="545"/>
      <c r="G9" s="546">
        <v>1</v>
      </c>
      <c r="H9" s="546"/>
      <c r="I9" s="546"/>
      <c r="J9" s="546"/>
      <c r="K9" s="546"/>
      <c r="L9" s="546"/>
      <c r="M9" s="546"/>
      <c r="N9" s="546"/>
      <c r="O9" s="546"/>
      <c r="P9" s="546"/>
      <c r="Q9" s="546"/>
      <c r="R9" s="546"/>
      <c r="S9" s="623"/>
      <c r="T9" s="546">
        <v>2</v>
      </c>
      <c r="U9" s="546"/>
      <c r="V9" s="546"/>
      <c r="W9" s="546"/>
      <c r="X9" s="546"/>
      <c r="Y9" s="546"/>
      <c r="Z9" s="546"/>
      <c r="AA9" s="546"/>
      <c r="AB9" s="546"/>
      <c r="AC9" s="546"/>
      <c r="AD9" s="546"/>
      <c r="AE9" s="546"/>
      <c r="AF9" s="623"/>
      <c r="AG9" s="546">
        <v>3</v>
      </c>
      <c r="AH9" s="546"/>
      <c r="AI9" s="546"/>
      <c r="AJ9" s="546"/>
      <c r="AK9" s="546"/>
      <c r="AL9" s="546"/>
      <c r="AM9" s="546"/>
      <c r="AN9" s="546"/>
      <c r="AO9" s="546"/>
      <c r="AP9" s="546"/>
      <c r="AQ9" s="546"/>
      <c r="AR9" s="546"/>
      <c r="AS9" s="623"/>
      <c r="AT9" s="546">
        <v>4</v>
      </c>
      <c r="AU9" s="546"/>
      <c r="AV9" s="546"/>
      <c r="AW9" s="546"/>
      <c r="AX9" s="546"/>
      <c r="AY9" s="546"/>
      <c r="AZ9" s="546"/>
      <c r="BA9" s="546"/>
      <c r="BB9" s="546"/>
      <c r="BC9" s="546"/>
      <c r="BD9" s="546"/>
      <c r="BE9" s="546"/>
      <c r="BF9" s="623"/>
      <c r="BG9" s="546">
        <v>5</v>
      </c>
      <c r="BH9" s="546"/>
      <c r="BI9" s="546"/>
      <c r="BJ9" s="546"/>
      <c r="BK9" s="546"/>
      <c r="BL9" s="546"/>
      <c r="BM9" s="546"/>
      <c r="BN9" s="546"/>
      <c r="BO9" s="546"/>
      <c r="BP9" s="546"/>
      <c r="BQ9" s="546"/>
      <c r="BR9" s="546"/>
      <c r="BS9" s="623"/>
      <c r="BT9" s="546">
        <v>6</v>
      </c>
      <c r="BU9" s="546"/>
      <c r="BV9" s="546"/>
      <c r="BW9" s="546"/>
      <c r="BX9" s="546"/>
      <c r="BY9" s="546"/>
      <c r="BZ9" s="546"/>
      <c r="CA9" s="546"/>
      <c r="CB9" s="546"/>
      <c r="CC9" s="546"/>
      <c r="CD9" s="546"/>
      <c r="CE9" s="546"/>
      <c r="CF9" s="623"/>
      <c r="CG9" s="546">
        <v>7</v>
      </c>
      <c r="CH9" s="546"/>
      <c r="CI9" s="546"/>
      <c r="CJ9" s="546"/>
      <c r="CK9" s="546"/>
      <c r="CL9" s="546"/>
      <c r="CM9" s="546"/>
      <c r="CN9" s="546"/>
      <c r="CO9" s="546"/>
      <c r="CP9" s="546"/>
      <c r="CQ9" s="546"/>
      <c r="CR9" s="546"/>
      <c r="CS9" s="623"/>
      <c r="CT9" s="546">
        <v>8</v>
      </c>
      <c r="CU9" s="546"/>
      <c r="CV9" s="546"/>
      <c r="CW9" s="546"/>
      <c r="CX9" s="546"/>
      <c r="CY9" s="546"/>
      <c r="CZ9" s="546"/>
      <c r="DA9" s="546"/>
      <c r="DB9" s="546"/>
      <c r="DC9" s="546"/>
      <c r="DD9" s="546"/>
      <c r="DE9" s="546"/>
      <c r="DF9" s="623"/>
      <c r="DG9" s="546">
        <v>9</v>
      </c>
      <c r="DH9" s="546"/>
      <c r="DI9" s="546"/>
      <c r="DJ9" s="546"/>
      <c r="DK9" s="546"/>
      <c r="DL9" s="546"/>
      <c r="DM9" s="546"/>
      <c r="DN9" s="546"/>
      <c r="DO9" s="546"/>
      <c r="DP9" s="546"/>
      <c r="DQ9" s="546"/>
      <c r="DR9" s="546"/>
      <c r="DS9" s="623"/>
      <c r="DT9" s="546">
        <v>10</v>
      </c>
      <c r="DU9" s="546"/>
      <c r="DV9" s="546"/>
      <c r="DW9" s="546"/>
      <c r="DX9" s="546"/>
      <c r="DY9" s="546"/>
      <c r="DZ9" s="546"/>
      <c r="EA9" s="546"/>
      <c r="EB9" s="546"/>
      <c r="EC9" s="546"/>
      <c r="ED9" s="546"/>
      <c r="EE9" s="546"/>
      <c r="EF9" s="623"/>
    </row>
    <row r="10" spans="1:137" x14ac:dyDescent="0.35">
      <c r="A10" s="72"/>
      <c r="B10" s="72"/>
      <c r="C10" s="72"/>
      <c r="E10" s="573" t="s">
        <v>443</v>
      </c>
      <c r="F10" s="574"/>
      <c r="G10" s="629">
        <v>1</v>
      </c>
      <c r="H10" s="629">
        <v>2</v>
      </c>
      <c r="I10" s="629">
        <v>3</v>
      </c>
      <c r="J10" s="629">
        <v>4</v>
      </c>
      <c r="K10" s="629">
        <v>5</v>
      </c>
      <c r="L10" s="629">
        <v>6</v>
      </c>
      <c r="M10" s="629">
        <v>7</v>
      </c>
      <c r="N10" s="629">
        <v>8</v>
      </c>
      <c r="O10" s="629">
        <v>9</v>
      </c>
      <c r="P10" s="629">
        <v>10</v>
      </c>
      <c r="Q10" s="629">
        <v>11</v>
      </c>
      <c r="R10" s="629">
        <v>12</v>
      </c>
      <c r="S10" s="623"/>
      <c r="T10" s="567">
        <v>1</v>
      </c>
      <c r="U10" s="567">
        <v>2</v>
      </c>
      <c r="V10" s="567">
        <v>3</v>
      </c>
      <c r="W10" s="567">
        <v>4</v>
      </c>
      <c r="X10" s="567">
        <v>5</v>
      </c>
      <c r="Y10" s="567">
        <v>6</v>
      </c>
      <c r="Z10" s="567">
        <v>7</v>
      </c>
      <c r="AA10" s="567">
        <v>8</v>
      </c>
      <c r="AB10" s="567">
        <v>9</v>
      </c>
      <c r="AC10" s="567">
        <v>10</v>
      </c>
      <c r="AD10" s="567">
        <v>11</v>
      </c>
      <c r="AE10" s="567">
        <v>12</v>
      </c>
      <c r="AF10" s="623"/>
      <c r="AG10" s="567">
        <v>1</v>
      </c>
      <c r="AH10" s="567">
        <v>2</v>
      </c>
      <c r="AI10" s="567">
        <v>3</v>
      </c>
      <c r="AJ10" s="567">
        <v>4</v>
      </c>
      <c r="AK10" s="567">
        <v>5</v>
      </c>
      <c r="AL10" s="567">
        <v>6</v>
      </c>
      <c r="AM10" s="567">
        <v>7</v>
      </c>
      <c r="AN10" s="567">
        <v>8</v>
      </c>
      <c r="AO10" s="567">
        <v>9</v>
      </c>
      <c r="AP10" s="567">
        <v>10</v>
      </c>
      <c r="AQ10" s="567">
        <v>11</v>
      </c>
      <c r="AR10" s="567">
        <v>12</v>
      </c>
      <c r="AS10" s="623"/>
      <c r="AT10" s="567">
        <v>1</v>
      </c>
      <c r="AU10" s="567">
        <v>2</v>
      </c>
      <c r="AV10" s="567">
        <v>3</v>
      </c>
      <c r="AW10" s="567">
        <v>4</v>
      </c>
      <c r="AX10" s="567">
        <v>5</v>
      </c>
      <c r="AY10" s="567">
        <v>6</v>
      </c>
      <c r="AZ10" s="567">
        <v>7</v>
      </c>
      <c r="BA10" s="567">
        <v>8</v>
      </c>
      <c r="BB10" s="567">
        <v>9</v>
      </c>
      <c r="BC10" s="567">
        <v>10</v>
      </c>
      <c r="BD10" s="567">
        <v>11</v>
      </c>
      <c r="BE10" s="567">
        <v>12</v>
      </c>
      <c r="BF10" s="623"/>
      <c r="BG10" s="567">
        <v>1</v>
      </c>
      <c r="BH10" s="567">
        <v>2</v>
      </c>
      <c r="BI10" s="567">
        <v>3</v>
      </c>
      <c r="BJ10" s="567">
        <v>4</v>
      </c>
      <c r="BK10" s="567">
        <v>5</v>
      </c>
      <c r="BL10" s="567">
        <v>6</v>
      </c>
      <c r="BM10" s="567">
        <v>7</v>
      </c>
      <c r="BN10" s="567">
        <v>8</v>
      </c>
      <c r="BO10" s="567">
        <v>9</v>
      </c>
      <c r="BP10" s="567">
        <v>10</v>
      </c>
      <c r="BQ10" s="567">
        <v>11</v>
      </c>
      <c r="BR10" s="567">
        <v>12</v>
      </c>
      <c r="BS10" s="623"/>
      <c r="BT10" s="567">
        <v>1</v>
      </c>
      <c r="BU10" s="567">
        <v>2</v>
      </c>
      <c r="BV10" s="567">
        <v>3</v>
      </c>
      <c r="BW10" s="567">
        <v>4</v>
      </c>
      <c r="BX10" s="567">
        <v>5</v>
      </c>
      <c r="BY10" s="567">
        <v>6</v>
      </c>
      <c r="BZ10" s="567">
        <v>7</v>
      </c>
      <c r="CA10" s="567">
        <v>8</v>
      </c>
      <c r="CB10" s="567">
        <v>9</v>
      </c>
      <c r="CC10" s="567">
        <v>10</v>
      </c>
      <c r="CD10" s="567">
        <v>11</v>
      </c>
      <c r="CE10" s="567">
        <v>12</v>
      </c>
      <c r="CF10" s="623"/>
      <c r="CG10" s="567">
        <v>1</v>
      </c>
      <c r="CH10" s="567">
        <v>2</v>
      </c>
      <c r="CI10" s="567">
        <v>3</v>
      </c>
      <c r="CJ10" s="567">
        <v>4</v>
      </c>
      <c r="CK10" s="567">
        <v>5</v>
      </c>
      <c r="CL10" s="567">
        <v>6</v>
      </c>
      <c r="CM10" s="567">
        <v>7</v>
      </c>
      <c r="CN10" s="567">
        <v>8</v>
      </c>
      <c r="CO10" s="567">
        <v>9</v>
      </c>
      <c r="CP10" s="567">
        <v>10</v>
      </c>
      <c r="CQ10" s="567">
        <v>11</v>
      </c>
      <c r="CR10" s="567">
        <v>12</v>
      </c>
      <c r="CS10" s="623"/>
      <c r="CT10" s="567">
        <v>1</v>
      </c>
      <c r="CU10" s="567">
        <v>2</v>
      </c>
      <c r="CV10" s="567">
        <v>3</v>
      </c>
      <c r="CW10" s="567">
        <v>4</v>
      </c>
      <c r="CX10" s="567">
        <v>5</v>
      </c>
      <c r="CY10" s="567">
        <v>6</v>
      </c>
      <c r="CZ10" s="567">
        <v>7</v>
      </c>
      <c r="DA10" s="567">
        <v>8</v>
      </c>
      <c r="DB10" s="567">
        <v>9</v>
      </c>
      <c r="DC10" s="567">
        <v>10</v>
      </c>
      <c r="DD10" s="567">
        <v>11</v>
      </c>
      <c r="DE10" s="567">
        <v>12</v>
      </c>
      <c r="DF10" s="623"/>
      <c r="DG10" s="567">
        <v>1</v>
      </c>
      <c r="DH10" s="567">
        <v>2</v>
      </c>
      <c r="DI10" s="567">
        <v>3</v>
      </c>
      <c r="DJ10" s="567">
        <v>4</v>
      </c>
      <c r="DK10" s="567">
        <v>5</v>
      </c>
      <c r="DL10" s="567">
        <v>6</v>
      </c>
      <c r="DM10" s="567">
        <v>7</v>
      </c>
      <c r="DN10" s="567">
        <v>8</v>
      </c>
      <c r="DO10" s="567">
        <v>9</v>
      </c>
      <c r="DP10" s="567">
        <v>10</v>
      </c>
      <c r="DQ10" s="567">
        <v>11</v>
      </c>
      <c r="DR10" s="567">
        <v>12</v>
      </c>
      <c r="DS10" s="623"/>
      <c r="DT10" s="567">
        <v>1</v>
      </c>
      <c r="DU10" s="567">
        <v>2</v>
      </c>
      <c r="DV10" s="567">
        <v>3</v>
      </c>
      <c r="DW10" s="567">
        <v>4</v>
      </c>
      <c r="DX10" s="567">
        <v>5</v>
      </c>
      <c r="DY10" s="567">
        <v>6</v>
      </c>
      <c r="DZ10" s="567">
        <v>7</v>
      </c>
      <c r="EA10" s="567">
        <v>8</v>
      </c>
      <c r="EB10" s="567">
        <v>9</v>
      </c>
      <c r="EC10" s="567">
        <v>10</v>
      </c>
      <c r="ED10" s="567">
        <v>11</v>
      </c>
      <c r="EE10" s="567">
        <v>12</v>
      </c>
      <c r="EF10" s="623"/>
    </row>
    <row r="11" spans="1:137" x14ac:dyDescent="0.35">
      <c r="A11" s="11" t="s">
        <v>529</v>
      </c>
      <c r="E11" s="177" t="s">
        <v>520</v>
      </c>
      <c r="G11" s="327">
        <v>0</v>
      </c>
      <c r="H11" s="327">
        <f>G36</f>
        <v>212678.25833333336</v>
      </c>
      <c r="I11" s="327">
        <f t="shared" ref="I11:R11" si="0">H36</f>
        <v>141826.51666666669</v>
      </c>
      <c r="J11" s="327">
        <f t="shared" si="0"/>
        <v>179387.45137500006</v>
      </c>
      <c r="K11" s="327">
        <f t="shared" si="0"/>
        <v>218073.3860833334</v>
      </c>
      <c r="L11" s="327">
        <f t="shared" si="0"/>
        <v>256759.32079166675</v>
      </c>
      <c r="M11" s="327">
        <f t="shared" si="0"/>
        <v>295445.25550000009</v>
      </c>
      <c r="N11" s="327">
        <f t="shared" si="0"/>
        <v>334131.19020833343</v>
      </c>
      <c r="O11" s="327">
        <f t="shared" si="0"/>
        <v>368182.12491666677</v>
      </c>
      <c r="P11" s="327">
        <f t="shared" si="0"/>
        <v>406868.05962500011</v>
      </c>
      <c r="Q11" s="327">
        <f t="shared" si="0"/>
        <v>445553.99433333345</v>
      </c>
      <c r="R11" s="327">
        <f t="shared" si="0"/>
        <v>484239.92904166679</v>
      </c>
      <c r="S11" s="623"/>
      <c r="T11" s="327">
        <f>R36</f>
        <v>519925.86375000014</v>
      </c>
      <c r="U11" s="327">
        <f>T36</f>
        <v>237084.90679166687</v>
      </c>
      <c r="V11" s="327">
        <f t="shared" ref="V11:AE11" si="1">U36</f>
        <v>83703.949833333492</v>
      </c>
      <c r="W11" s="327">
        <f t="shared" si="1"/>
        <v>255637.02200000011</v>
      </c>
      <c r="X11" s="327">
        <f t="shared" si="1"/>
        <v>430870.09416666673</v>
      </c>
      <c r="Y11" s="327">
        <f t="shared" si="1"/>
        <v>606103.16633333336</v>
      </c>
      <c r="Z11" s="327">
        <f t="shared" si="1"/>
        <v>781336.23849999998</v>
      </c>
      <c r="AA11" s="327">
        <f t="shared" si="1"/>
        <v>690544.23566666665</v>
      </c>
      <c r="AB11" s="327">
        <f t="shared" si="1"/>
        <v>798117.23283333331</v>
      </c>
      <c r="AC11" s="327">
        <f t="shared" si="1"/>
        <v>1061475.3049999999</v>
      </c>
      <c r="AD11" s="327">
        <f t="shared" si="1"/>
        <v>1236708.3771666666</v>
      </c>
      <c r="AE11" s="327">
        <f t="shared" si="1"/>
        <v>1411941.4493333332</v>
      </c>
      <c r="AF11" s="623"/>
      <c r="AG11" s="327">
        <f>AE36</f>
        <v>714986.5214999998</v>
      </c>
      <c r="AH11" s="327">
        <f>AG36</f>
        <v>877172.67699999979</v>
      </c>
      <c r="AI11" s="327">
        <f t="shared" ref="AI11:AR11" si="2">AH36</f>
        <v>1047572.8324999997</v>
      </c>
      <c r="AJ11" s="327">
        <f t="shared" si="2"/>
        <v>1222607.9879999994</v>
      </c>
      <c r="AK11" s="327">
        <f t="shared" si="2"/>
        <v>1397643.1434999993</v>
      </c>
      <c r="AL11" s="327">
        <f t="shared" si="2"/>
        <v>1572678.2989999992</v>
      </c>
      <c r="AM11" s="327">
        <f t="shared" si="2"/>
        <v>1747713.4544999991</v>
      </c>
      <c r="AN11" s="327">
        <f t="shared" si="2"/>
        <v>1124673.3849999991</v>
      </c>
      <c r="AO11" s="327">
        <f t="shared" si="2"/>
        <v>1138293.3154999991</v>
      </c>
      <c r="AP11" s="327">
        <f t="shared" si="2"/>
        <v>1577778.470999999</v>
      </c>
      <c r="AQ11" s="327">
        <f t="shared" si="2"/>
        <v>1752813.6264999988</v>
      </c>
      <c r="AR11" s="327">
        <f t="shared" si="2"/>
        <v>1927848.7819999987</v>
      </c>
      <c r="AS11" s="623"/>
      <c r="AT11" s="327">
        <f>AR36</f>
        <v>1222577.2197458209</v>
      </c>
      <c r="AU11" s="327">
        <f>AT36</f>
        <v>1118490.1489958209</v>
      </c>
      <c r="AV11" s="327">
        <f>AU36</f>
        <v>1225666.3232458211</v>
      </c>
      <c r="AW11" s="327">
        <f t="shared" ref="AW11:BE11" si="3">AV36</f>
        <v>1488627.5724958209</v>
      </c>
      <c r="AX11" s="327">
        <f t="shared" si="3"/>
        <v>1663463.8217458208</v>
      </c>
      <c r="AY11" s="327">
        <f t="shared" si="3"/>
        <v>1838300.0709958207</v>
      </c>
      <c r="AZ11" s="327">
        <f t="shared" si="3"/>
        <v>2013136.3202458206</v>
      </c>
      <c r="BA11" s="327">
        <f t="shared" si="3"/>
        <v>2187972.5694958204</v>
      </c>
      <c r="BB11" s="327">
        <f t="shared" si="3"/>
        <v>2358173.8187458203</v>
      </c>
      <c r="BC11" s="327">
        <f t="shared" si="3"/>
        <v>2533010.0679958202</v>
      </c>
      <c r="BD11" s="327">
        <f t="shared" si="3"/>
        <v>2707846.3172458201</v>
      </c>
      <c r="BE11" s="327">
        <f t="shared" si="3"/>
        <v>2882682.5664958199</v>
      </c>
      <c r="BF11" s="623"/>
      <c r="BG11" s="327">
        <f>BE36</f>
        <v>2205289.2381916423</v>
      </c>
      <c r="BH11" s="327">
        <f>BG36</f>
        <v>1568902.6254353924</v>
      </c>
      <c r="BI11" s="327">
        <f t="shared" ref="BI11:BR11" si="4">BH36</f>
        <v>1582123.7489041425</v>
      </c>
      <c r="BJ11" s="327">
        <f t="shared" si="4"/>
        <v>2021210.0973728925</v>
      </c>
      <c r="BK11" s="327">
        <f t="shared" si="4"/>
        <v>2195846.4458416421</v>
      </c>
      <c r="BL11" s="327">
        <f t="shared" si="4"/>
        <v>2370482.7943103919</v>
      </c>
      <c r="BM11" s="327">
        <f t="shared" si="4"/>
        <v>2545119.1427791417</v>
      </c>
      <c r="BN11" s="327">
        <f t="shared" si="4"/>
        <v>2453730.4162478917</v>
      </c>
      <c r="BO11" s="327">
        <f t="shared" si="4"/>
        <v>2560706.6897166418</v>
      </c>
      <c r="BP11" s="327">
        <f t="shared" si="4"/>
        <v>2823468.0381853916</v>
      </c>
      <c r="BQ11" s="327">
        <f t="shared" si="4"/>
        <v>2998104.3866541414</v>
      </c>
      <c r="BR11" s="327">
        <f t="shared" si="4"/>
        <v>3172740.7351228911</v>
      </c>
      <c r="BS11" s="623"/>
      <c r="BT11" s="327">
        <f>BR36</f>
        <v>2648613.4186034631</v>
      </c>
      <c r="BU11" s="327">
        <f>BT36</f>
        <v>2810051.3918809318</v>
      </c>
      <c r="BV11" s="327">
        <f t="shared" ref="BV11:CE11" si="5">BU36</f>
        <v>2984486.8400645256</v>
      </c>
      <c r="BW11" s="327">
        <f t="shared" si="5"/>
        <v>3154287.2882481194</v>
      </c>
      <c r="BX11" s="327">
        <f t="shared" si="5"/>
        <v>3328722.7364317132</v>
      </c>
      <c r="BY11" s="327">
        <f t="shared" si="5"/>
        <v>3503158.184615307</v>
      </c>
      <c r="BZ11" s="327">
        <f t="shared" si="5"/>
        <v>3677593.6327989008</v>
      </c>
      <c r="CA11" s="327">
        <f t="shared" si="5"/>
        <v>3053953.8559824945</v>
      </c>
      <c r="CB11" s="327">
        <f t="shared" si="5"/>
        <v>3066974.0791660883</v>
      </c>
      <c r="CC11" s="327">
        <f t="shared" si="5"/>
        <v>3505859.5273496821</v>
      </c>
      <c r="CD11" s="327">
        <f t="shared" si="5"/>
        <v>3680294.9755332759</v>
      </c>
      <c r="CE11" s="327">
        <f t="shared" si="5"/>
        <v>3854730.4237168697</v>
      </c>
      <c r="CF11" s="623"/>
      <c r="CG11" s="327">
        <f>CE36</f>
        <v>2930725.400474574</v>
      </c>
      <c r="CH11" s="327">
        <f>CG36</f>
        <v>2825886.4065909302</v>
      </c>
      <c r="CI11" s="327">
        <f t="shared" ref="CI11:CR11" si="6">CH36</f>
        <v>2946314.8749879422</v>
      </c>
      <c r="CJ11" s="327">
        <f t="shared" si="6"/>
        <v>3194818.4183849539</v>
      </c>
      <c r="CK11" s="327">
        <f t="shared" si="6"/>
        <v>3369051.9617819656</v>
      </c>
      <c r="CL11" s="327">
        <f t="shared" si="6"/>
        <v>3543285.5051789773</v>
      </c>
      <c r="CM11" s="327">
        <f t="shared" si="6"/>
        <v>3717519.048575989</v>
      </c>
      <c r="CN11" s="327">
        <f t="shared" si="6"/>
        <v>3891752.5919730007</v>
      </c>
      <c r="CO11" s="327">
        <f t="shared" si="6"/>
        <v>4061351.1353700128</v>
      </c>
      <c r="CP11" s="327">
        <f t="shared" si="6"/>
        <v>4235584.6787670245</v>
      </c>
      <c r="CQ11" s="327">
        <f t="shared" si="6"/>
        <v>4409818.2221640367</v>
      </c>
      <c r="CR11" s="327">
        <f t="shared" si="6"/>
        <v>4584051.7655610489</v>
      </c>
      <c r="CS11" s="623"/>
      <c r="CT11" s="327">
        <f>CR36</f>
        <v>3212837.3823456867</v>
      </c>
      <c r="CU11" s="327">
        <f>CT36</f>
        <v>2575695.0868401248</v>
      </c>
      <c r="CV11" s="327">
        <f t="shared" ref="CV11:DE11" si="7">CU36</f>
        <v>2588310.4909266215</v>
      </c>
      <c r="CW11" s="327">
        <f t="shared" si="7"/>
        <v>3026791.1200131183</v>
      </c>
      <c r="CX11" s="327">
        <f t="shared" si="7"/>
        <v>3200821.749099615</v>
      </c>
      <c r="CY11" s="327">
        <f t="shared" si="7"/>
        <v>3374852.3781861118</v>
      </c>
      <c r="CZ11" s="327">
        <f t="shared" si="7"/>
        <v>3548883.0072726086</v>
      </c>
      <c r="DA11" s="327">
        <f t="shared" si="7"/>
        <v>3456888.5613591056</v>
      </c>
      <c r="DB11" s="327">
        <f t="shared" si="7"/>
        <v>3563259.1154456027</v>
      </c>
      <c r="DC11" s="327">
        <f t="shared" si="7"/>
        <v>3825414.7445320995</v>
      </c>
      <c r="DD11" s="327">
        <f t="shared" si="7"/>
        <v>3999445.3736185958</v>
      </c>
      <c r="DE11" s="327">
        <f t="shared" si="7"/>
        <v>4173476.0027050921</v>
      </c>
      <c r="DF11" s="623"/>
      <c r="DG11" s="327">
        <f>DE36</f>
        <v>3494949.3642167971</v>
      </c>
      <c r="DH11" s="327">
        <f>DG36</f>
        <v>3655627.8763312073</v>
      </c>
      <c r="DI11" s="327">
        <f t="shared" ref="DI11:DR11" si="8">DH36</f>
        <v>3824819.5765356366</v>
      </c>
      <c r="DJ11" s="327">
        <f t="shared" si="8"/>
        <v>3998646.2767400658</v>
      </c>
      <c r="DK11" s="327">
        <f t="shared" si="8"/>
        <v>4172472.976944495</v>
      </c>
      <c r="DL11" s="327">
        <f t="shared" si="8"/>
        <v>4346299.6771489242</v>
      </c>
      <c r="DM11" s="327">
        <f t="shared" si="8"/>
        <v>4520126.3773533534</v>
      </c>
      <c r="DN11" s="327">
        <f t="shared" si="8"/>
        <v>3895877.8525577825</v>
      </c>
      <c r="DO11" s="327">
        <f t="shared" si="8"/>
        <v>3908289.3277622117</v>
      </c>
      <c r="DP11" s="327">
        <f t="shared" si="8"/>
        <v>4346566.0279666409</v>
      </c>
      <c r="DQ11" s="327">
        <f t="shared" si="8"/>
        <v>4520392.7281710701</v>
      </c>
      <c r="DR11" s="327">
        <f t="shared" si="8"/>
        <v>4694219.4283754993</v>
      </c>
      <c r="DS11" s="623"/>
      <c r="DT11" s="327">
        <f>DR36</f>
        <v>3777061.3460879074</v>
      </c>
      <c r="DU11" s="327">
        <f>DT36</f>
        <v>3671459.0937353894</v>
      </c>
      <c r="DV11" s="327">
        <f t="shared" ref="DV11:EE11" si="9">DU36</f>
        <v>3777420.770413341</v>
      </c>
      <c r="DW11" s="327">
        <f t="shared" si="9"/>
        <v>4039167.5220912923</v>
      </c>
      <c r="DX11" s="327">
        <f t="shared" si="9"/>
        <v>4212789.2737692436</v>
      </c>
      <c r="DY11" s="327">
        <f t="shared" si="9"/>
        <v>4386411.0254471954</v>
      </c>
      <c r="DZ11" s="327">
        <f t="shared" si="9"/>
        <v>4560032.7771251472</v>
      </c>
      <c r="EA11" s="327">
        <f t="shared" si="9"/>
        <v>4733654.5288030989</v>
      </c>
      <c r="EB11" s="327">
        <f t="shared" si="9"/>
        <v>4902641.2804810507</v>
      </c>
      <c r="EC11" s="327">
        <f t="shared" si="9"/>
        <v>5076263.0321590025</v>
      </c>
      <c r="ED11" s="327">
        <f t="shared" si="9"/>
        <v>5249884.7838369543</v>
      </c>
      <c r="EE11" s="327">
        <f t="shared" si="9"/>
        <v>5423506.535514906</v>
      </c>
      <c r="EF11" s="623"/>
    </row>
    <row r="12" spans="1:137" x14ac:dyDescent="0.35">
      <c r="A12" s="156" t="s">
        <v>26</v>
      </c>
      <c r="B12" s="156" t="s">
        <v>443</v>
      </c>
      <c r="C12" s="176" t="s">
        <v>24</v>
      </c>
      <c r="E12" s="177" t="s">
        <v>523</v>
      </c>
      <c r="G12" s="378">
        <v>500000</v>
      </c>
      <c r="H12" s="328"/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623"/>
      <c r="T12" s="378">
        <v>520000</v>
      </c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623"/>
      <c r="AG12" s="328"/>
      <c r="AH12" s="328"/>
      <c r="AI12" s="328"/>
      <c r="AJ12" s="328"/>
      <c r="AK12" s="328"/>
      <c r="AL12" s="328"/>
      <c r="AM12" s="328"/>
      <c r="AN12" s="328"/>
      <c r="AO12" s="328"/>
      <c r="AP12" s="328"/>
      <c r="AQ12" s="328"/>
      <c r="AR12" s="328"/>
      <c r="AS12" s="623"/>
      <c r="AT12" s="328"/>
      <c r="AU12" s="328"/>
      <c r="AV12" s="328"/>
      <c r="AW12" s="328"/>
      <c r="AX12" s="328"/>
      <c r="AY12" s="328"/>
      <c r="AZ12" s="328"/>
      <c r="BA12" s="328"/>
      <c r="BB12" s="328"/>
      <c r="BC12" s="328"/>
      <c r="BD12" s="328"/>
      <c r="BE12" s="328"/>
      <c r="BF12" s="623"/>
      <c r="BG12" s="328"/>
      <c r="BH12" s="328"/>
      <c r="BI12" s="328"/>
      <c r="BJ12" s="328"/>
      <c r="BK12" s="328"/>
      <c r="BL12" s="328"/>
      <c r="BM12" s="328"/>
      <c r="BN12" s="328"/>
      <c r="BO12" s="328"/>
      <c r="BP12" s="328"/>
      <c r="BQ12" s="328"/>
      <c r="BR12" s="328"/>
      <c r="BS12" s="623"/>
      <c r="BT12" s="328"/>
      <c r="BU12" s="328"/>
      <c r="BV12" s="328"/>
      <c r="BW12" s="328"/>
      <c r="BX12" s="328"/>
      <c r="BY12" s="328"/>
      <c r="BZ12" s="328"/>
      <c r="CA12" s="328"/>
      <c r="CB12" s="328"/>
      <c r="CC12" s="328"/>
      <c r="CD12" s="328"/>
      <c r="CE12" s="328"/>
      <c r="CF12" s="623"/>
      <c r="CG12" s="328"/>
      <c r="CH12" s="328"/>
      <c r="CI12" s="328"/>
      <c r="CJ12" s="328"/>
      <c r="CK12" s="328"/>
      <c r="CL12" s="328"/>
      <c r="CM12" s="328"/>
      <c r="CN12" s="328"/>
      <c r="CO12" s="328"/>
      <c r="CP12" s="328"/>
      <c r="CQ12" s="328"/>
      <c r="CR12" s="328"/>
      <c r="CS12" s="623"/>
      <c r="CT12" s="328"/>
      <c r="CU12" s="328"/>
      <c r="CV12" s="328"/>
      <c r="CW12" s="328"/>
      <c r="CX12" s="328"/>
      <c r="CY12" s="328"/>
      <c r="CZ12" s="328"/>
      <c r="DA12" s="328"/>
      <c r="DB12" s="328"/>
      <c r="DC12" s="328"/>
      <c r="DD12" s="328"/>
      <c r="DE12" s="328"/>
      <c r="DF12" s="623"/>
      <c r="DG12" s="328"/>
      <c r="DH12" s="328"/>
      <c r="DI12" s="328"/>
      <c r="DJ12" s="328"/>
      <c r="DK12" s="328"/>
      <c r="DL12" s="328"/>
      <c r="DM12" s="328"/>
      <c r="DN12" s="328"/>
      <c r="DO12" s="328"/>
      <c r="DP12" s="328"/>
      <c r="DQ12" s="328"/>
      <c r="DR12" s="328"/>
      <c r="DS12" s="623"/>
      <c r="DT12" s="328"/>
      <c r="DU12" s="328"/>
      <c r="DV12" s="328"/>
      <c r="DW12" s="328"/>
      <c r="DX12" s="328"/>
      <c r="DY12" s="328"/>
      <c r="DZ12" s="328"/>
      <c r="EA12" s="328"/>
      <c r="EB12" s="328"/>
      <c r="EC12" s="328"/>
      <c r="ED12" s="328"/>
      <c r="EE12" s="328"/>
      <c r="EF12" s="623"/>
    </row>
    <row r="13" spans="1:137" x14ac:dyDescent="0.35">
      <c r="A13" s="12" t="s">
        <v>143</v>
      </c>
      <c r="B13" s="4" t="s">
        <v>530</v>
      </c>
      <c r="C13" s="18">
        <f>G12*1000</f>
        <v>500000000</v>
      </c>
      <c r="E13" s="177" t="s">
        <v>521</v>
      </c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623"/>
      <c r="AF13" s="623"/>
      <c r="AS13" s="623"/>
      <c r="BF13" s="623"/>
      <c r="BS13" s="623"/>
      <c r="CF13" s="623"/>
      <c r="CS13" s="623"/>
      <c r="DF13" s="623"/>
      <c r="DS13" s="623"/>
      <c r="EF13" s="623"/>
    </row>
    <row r="14" spans="1:137" x14ac:dyDescent="0.35">
      <c r="A14" s="12" t="s">
        <v>1097</v>
      </c>
      <c r="B14" s="4" t="s">
        <v>530</v>
      </c>
      <c r="C14" s="18">
        <f>T12*1000</f>
        <v>520000000</v>
      </c>
      <c r="E14" s="15" t="s">
        <v>9</v>
      </c>
      <c r="F14" s="12" t="s">
        <v>1268</v>
      </c>
      <c r="G14" s="328">
        <f>'Prod&amp;Consp'!L83*Asumsi!$C$25/1000</f>
        <v>0</v>
      </c>
      <c r="H14" s="328">
        <f>'Prod&amp;Consp'!M83*Asumsi!$C$25/1000</f>
        <v>0</v>
      </c>
      <c r="I14" s="328">
        <f>'Prod&amp;Consp'!N83*Asumsi!$C$25/1000</f>
        <v>120564</v>
      </c>
      <c r="J14" s="328">
        <f>'Prod&amp;Consp'!O83*Asumsi!$C$25/1000</f>
        <v>120564</v>
      </c>
      <c r="K14" s="328">
        <f>'Prod&amp;Consp'!P83*Asumsi!$C$25/1000</f>
        <v>120564</v>
      </c>
      <c r="L14" s="328">
        <f>'Prod&amp;Consp'!Q83*Asumsi!$C$25/1000</f>
        <v>120564</v>
      </c>
      <c r="M14" s="328">
        <f>'Prod&amp;Consp'!R83*Asumsi!$C$25/1000</f>
        <v>120564</v>
      </c>
      <c r="N14" s="328">
        <f>'Prod&amp;Consp'!S83*Asumsi!$C$25/1000</f>
        <v>120564</v>
      </c>
      <c r="O14" s="328">
        <f>'Prod&amp;Consp'!T83*Asumsi!$C$25/1000</f>
        <v>120564</v>
      </c>
      <c r="P14" s="328">
        <f>'Prod&amp;Consp'!U83*Asumsi!$C$25/1000</f>
        <v>120564</v>
      </c>
      <c r="Q14" s="328">
        <f>'Prod&amp;Consp'!V83*Asumsi!$C$25/1000</f>
        <v>120564</v>
      </c>
      <c r="R14" s="328">
        <f>'Prod&amp;Consp'!W83*Asumsi!$C$25/1000</f>
        <v>120564</v>
      </c>
      <c r="S14" s="623"/>
      <c r="T14" s="328">
        <f>'Prod&amp;Consp'!Z83*Asumsi!$C$25/1000</f>
        <v>120564</v>
      </c>
      <c r="U14" s="328">
        <f>'Prod&amp;Consp'!AA83*Asumsi!$C$25/1000</f>
        <v>120564</v>
      </c>
      <c r="V14" s="328">
        <f>'Prod&amp;Consp'!AB83*Asumsi!$C$25/1000</f>
        <v>482256</v>
      </c>
      <c r="W14" s="328">
        <f>'Prod&amp;Consp'!AC83*Asumsi!$C$25/1000</f>
        <v>482256</v>
      </c>
      <c r="X14" s="328">
        <f>'Prod&amp;Consp'!AD83*Asumsi!$C$25/1000</f>
        <v>482256</v>
      </c>
      <c r="Y14" s="328">
        <f>'Prod&amp;Consp'!AE83*Asumsi!$C$25/1000</f>
        <v>482256</v>
      </c>
      <c r="Z14" s="328">
        <f>'Prod&amp;Consp'!AF83*Asumsi!$C$25/1000</f>
        <v>482256</v>
      </c>
      <c r="AA14" s="328">
        <f>'Prod&amp;Consp'!AG83*Asumsi!$C$25/1000</f>
        <v>482256</v>
      </c>
      <c r="AB14" s="328">
        <f>'Prod&amp;Consp'!AH83*Asumsi!$C$25/1000</f>
        <v>482256</v>
      </c>
      <c r="AC14" s="328">
        <f>'Prod&amp;Consp'!AI83*Asumsi!$C$25/1000</f>
        <v>482256</v>
      </c>
      <c r="AD14" s="328">
        <f>'Prod&amp;Consp'!AJ83*Asumsi!$C$25/1000</f>
        <v>482256</v>
      </c>
      <c r="AE14" s="328">
        <f>'Prod&amp;Consp'!AK83*Asumsi!$C$25/1000</f>
        <v>482256</v>
      </c>
      <c r="AF14" s="623"/>
      <c r="AG14" s="328">
        <f>'Prod&amp;Consp'!AN83*Asumsi!$C$25/1000</f>
        <v>482256</v>
      </c>
      <c r="AH14" s="328">
        <f>'Prod&amp;Consp'!AO83*Asumsi!$C$25/1000</f>
        <v>482256</v>
      </c>
      <c r="AI14" s="328">
        <f>'Prod&amp;Consp'!AP83*Asumsi!$C$25/1000</f>
        <v>482256</v>
      </c>
      <c r="AJ14" s="328">
        <f>'Prod&amp;Consp'!AQ83*Asumsi!$C$25/1000</f>
        <v>482256</v>
      </c>
      <c r="AK14" s="328">
        <f>'Prod&amp;Consp'!AR83*Asumsi!$C$25/1000</f>
        <v>482256</v>
      </c>
      <c r="AL14" s="328">
        <f>'Prod&amp;Consp'!AS83*Asumsi!$C$25/1000</f>
        <v>482256</v>
      </c>
      <c r="AM14" s="328">
        <f>'Prod&amp;Consp'!AT83*Asumsi!$C$25/1000</f>
        <v>482256</v>
      </c>
      <c r="AN14" s="328">
        <f>'Prod&amp;Consp'!AU83*Asumsi!$C$25/1000</f>
        <v>482256</v>
      </c>
      <c r="AO14" s="328">
        <f>'Prod&amp;Consp'!AV83*Asumsi!$C$25/1000</f>
        <v>482256</v>
      </c>
      <c r="AP14" s="328">
        <f>'Prod&amp;Consp'!AW83*Asumsi!$C$25/1000</f>
        <v>482256</v>
      </c>
      <c r="AQ14" s="328">
        <f>'Prod&amp;Consp'!AX83*Asumsi!$C$25/1000</f>
        <v>482256</v>
      </c>
      <c r="AR14" s="328">
        <f>'Prod&amp;Consp'!AY83*Asumsi!$C$25/1000</f>
        <v>482256</v>
      </c>
      <c r="AS14" s="623"/>
      <c r="AT14" s="328">
        <f>'Prod&amp;Consp'!BB83*Asumsi!$C$25/1000</f>
        <v>482256</v>
      </c>
      <c r="AU14" s="328">
        <f>'Prod&amp;Consp'!BC83*Asumsi!$C$25/1000</f>
        <v>482256</v>
      </c>
      <c r="AV14" s="328">
        <f>'Prod&amp;Consp'!BD83*Asumsi!$C$25/1000</f>
        <v>482256</v>
      </c>
      <c r="AW14" s="328">
        <f>'Prod&amp;Consp'!BE83*Asumsi!$C$25/1000</f>
        <v>482256</v>
      </c>
      <c r="AX14" s="328">
        <f>'Prod&amp;Consp'!BF83*Asumsi!$C$25/1000</f>
        <v>482256</v>
      </c>
      <c r="AY14" s="328">
        <f>'Prod&amp;Consp'!BG83*Asumsi!$C$25/1000</f>
        <v>482256</v>
      </c>
      <c r="AZ14" s="328">
        <f>'Prod&amp;Consp'!BH83*Asumsi!$C$25/1000</f>
        <v>482256</v>
      </c>
      <c r="BA14" s="328">
        <f>'Prod&amp;Consp'!BI83*Asumsi!$C$25/1000</f>
        <v>482256</v>
      </c>
      <c r="BB14" s="328">
        <f>'Prod&amp;Consp'!BJ83*Asumsi!$C$25/1000</f>
        <v>482256</v>
      </c>
      <c r="BC14" s="328">
        <f>'Prod&amp;Consp'!BK83*Asumsi!$C$25/1000</f>
        <v>482256</v>
      </c>
      <c r="BD14" s="328">
        <f>'Prod&amp;Consp'!BL83*Asumsi!$C$25/1000</f>
        <v>482256</v>
      </c>
      <c r="BE14" s="328">
        <f>'Prod&amp;Consp'!BM83*Asumsi!$C$25/1000</f>
        <v>482256</v>
      </c>
      <c r="BF14" s="623"/>
      <c r="BG14" s="328">
        <f>'Prod&amp;Consp'!BP83*Asumsi!$C$25/1000</f>
        <v>482256</v>
      </c>
      <c r="BH14" s="328">
        <f>'Prod&amp;Consp'!BQ83*Asumsi!$C$25/1000</f>
        <v>482256</v>
      </c>
      <c r="BI14" s="328">
        <f>'Prod&amp;Consp'!BR83*Asumsi!$C$25/1000</f>
        <v>482256</v>
      </c>
      <c r="BJ14" s="328">
        <f>'Prod&amp;Consp'!BS83*Asumsi!$C$25/1000</f>
        <v>482256</v>
      </c>
      <c r="BK14" s="328">
        <f>'Prod&amp;Consp'!BT83*Asumsi!$C$25/1000</f>
        <v>482256</v>
      </c>
      <c r="BL14" s="328">
        <f>'Prod&amp;Consp'!BU83*Asumsi!$C$25/1000</f>
        <v>482256</v>
      </c>
      <c r="BM14" s="328">
        <f>'Prod&amp;Consp'!BV83*Asumsi!$C$25/1000</f>
        <v>482256</v>
      </c>
      <c r="BN14" s="328">
        <f>'Prod&amp;Consp'!BW83*Asumsi!$C$25/1000</f>
        <v>482256</v>
      </c>
      <c r="BO14" s="328">
        <f>'Prod&amp;Consp'!BX83*Asumsi!$C$25/1000</f>
        <v>482256</v>
      </c>
      <c r="BP14" s="328">
        <f>'Prod&amp;Consp'!BY83*Asumsi!$C$25/1000</f>
        <v>482256</v>
      </c>
      <c r="BQ14" s="328">
        <f>'Prod&amp;Consp'!BZ83*Asumsi!$C$25/1000</f>
        <v>482256</v>
      </c>
      <c r="BR14" s="328">
        <f>'Prod&amp;Consp'!CA83*Asumsi!$C$25/1000</f>
        <v>482256</v>
      </c>
      <c r="BS14" s="623"/>
      <c r="BT14" s="328">
        <f>'Prod&amp;Consp'!CD83*Asumsi!$C$25/1000</f>
        <v>482256</v>
      </c>
      <c r="BU14" s="328">
        <f>'Prod&amp;Consp'!CE83*Asumsi!$C$25/1000</f>
        <v>482256</v>
      </c>
      <c r="BV14" s="328">
        <f>'Prod&amp;Consp'!CF83*Asumsi!$C$25/1000</f>
        <v>482256</v>
      </c>
      <c r="BW14" s="328">
        <f>'Prod&amp;Consp'!CG83*Asumsi!$C$25/1000</f>
        <v>482256</v>
      </c>
      <c r="BX14" s="328">
        <f>'Prod&amp;Consp'!CH83*Asumsi!$C$25/1000</f>
        <v>482256</v>
      </c>
      <c r="BY14" s="328">
        <f>'Prod&amp;Consp'!CI83*Asumsi!$C$25/1000</f>
        <v>482256</v>
      </c>
      <c r="BZ14" s="328">
        <f>'Prod&amp;Consp'!CJ83*Asumsi!$C$25/1000</f>
        <v>482256</v>
      </c>
      <c r="CA14" s="328">
        <f>'Prod&amp;Consp'!CK83*Asumsi!$C$25/1000</f>
        <v>482256</v>
      </c>
      <c r="CB14" s="328">
        <f>'Prod&amp;Consp'!CL83*Asumsi!$C$25/1000</f>
        <v>482256</v>
      </c>
      <c r="CC14" s="328">
        <f>'Prod&amp;Consp'!CM83*Asumsi!$C$25/1000</f>
        <v>482256</v>
      </c>
      <c r="CD14" s="328">
        <f>'Prod&amp;Consp'!CN83*Asumsi!$C$25/1000</f>
        <v>482256</v>
      </c>
      <c r="CE14" s="328">
        <f>'Prod&amp;Consp'!CO83*Asumsi!$C$25/1000</f>
        <v>482256</v>
      </c>
      <c r="CF14" s="623"/>
      <c r="CG14" s="328">
        <f>'Prod&amp;Consp'!CR83*Asumsi!$C$25/1000</f>
        <v>482256</v>
      </c>
      <c r="CH14" s="328">
        <f>'Prod&amp;Consp'!CS83*Asumsi!$C$25/1000</f>
        <v>482256</v>
      </c>
      <c r="CI14" s="328">
        <f>'Prod&amp;Consp'!CT83*Asumsi!$C$25/1000</f>
        <v>482256</v>
      </c>
      <c r="CJ14" s="328">
        <f>'Prod&amp;Consp'!CU83*Asumsi!$C$25/1000</f>
        <v>482256</v>
      </c>
      <c r="CK14" s="328">
        <f>'Prod&amp;Consp'!CV83*Asumsi!$C$25/1000</f>
        <v>482256</v>
      </c>
      <c r="CL14" s="328">
        <f>'Prod&amp;Consp'!CW83*Asumsi!$C$25/1000</f>
        <v>482256</v>
      </c>
      <c r="CM14" s="328">
        <f>'Prod&amp;Consp'!CX83*Asumsi!$C$25/1000</f>
        <v>482256</v>
      </c>
      <c r="CN14" s="328">
        <f>'Prod&amp;Consp'!CY83*Asumsi!$C$25/1000</f>
        <v>482256</v>
      </c>
      <c r="CO14" s="328">
        <f>'Prod&amp;Consp'!CZ83*Asumsi!$C$25/1000</f>
        <v>482256</v>
      </c>
      <c r="CP14" s="328">
        <f>'Prod&amp;Consp'!DA83*Asumsi!$C$25/1000</f>
        <v>482256</v>
      </c>
      <c r="CQ14" s="328">
        <f>'Prod&amp;Consp'!DB83*Asumsi!$C$25/1000</f>
        <v>482256</v>
      </c>
      <c r="CR14" s="328">
        <f>'Prod&amp;Consp'!DC83*Asumsi!$C$25/1000</f>
        <v>482256</v>
      </c>
      <c r="CS14" s="623"/>
      <c r="CT14" s="328">
        <f>'Prod&amp;Consp'!DF83*Asumsi!$C$25/1000</f>
        <v>482256</v>
      </c>
      <c r="CU14" s="328">
        <f>'Prod&amp;Consp'!DG83*Asumsi!$C$25/1000</f>
        <v>482256</v>
      </c>
      <c r="CV14" s="328">
        <f>'Prod&amp;Consp'!DH83*Asumsi!$C$25/1000</f>
        <v>482256</v>
      </c>
      <c r="CW14" s="328">
        <f>'Prod&amp;Consp'!DI83*Asumsi!$C$25/1000</f>
        <v>482256</v>
      </c>
      <c r="CX14" s="328">
        <f>'Prod&amp;Consp'!DJ83*Asumsi!$C$25/1000</f>
        <v>482256</v>
      </c>
      <c r="CY14" s="328">
        <f>'Prod&amp;Consp'!DK83*Asumsi!$C$25/1000</f>
        <v>482256</v>
      </c>
      <c r="CZ14" s="328">
        <f>'Prod&amp;Consp'!DL83*Asumsi!$C$25/1000</f>
        <v>482256</v>
      </c>
      <c r="DA14" s="328">
        <f>'Prod&amp;Consp'!DM83*Asumsi!$C$25/1000</f>
        <v>482256</v>
      </c>
      <c r="DB14" s="328">
        <f>'Prod&amp;Consp'!DN83*Asumsi!$C$25/1000</f>
        <v>482256</v>
      </c>
      <c r="DC14" s="328">
        <f>'Prod&amp;Consp'!DO83*Asumsi!$C$25/1000</f>
        <v>482256</v>
      </c>
      <c r="DD14" s="328">
        <f>'Prod&amp;Consp'!DP83*Asumsi!$C$25/1000</f>
        <v>482256</v>
      </c>
      <c r="DE14" s="328">
        <f>'Prod&amp;Consp'!DQ83*Asumsi!$C$25/1000</f>
        <v>482256</v>
      </c>
      <c r="DF14" s="623"/>
      <c r="DG14" s="328">
        <f>'Prod&amp;Consp'!DT83*Asumsi!$C$25/1000</f>
        <v>482256</v>
      </c>
      <c r="DH14" s="328">
        <f>'Prod&amp;Consp'!DU83*Asumsi!$C$25/1000</f>
        <v>482256</v>
      </c>
      <c r="DI14" s="328">
        <f>'Prod&amp;Consp'!DV83*Asumsi!$C$25/1000</f>
        <v>482256</v>
      </c>
      <c r="DJ14" s="328">
        <f>'Prod&amp;Consp'!DW83*Asumsi!$C$25/1000</f>
        <v>482256</v>
      </c>
      <c r="DK14" s="328">
        <f>'Prod&amp;Consp'!DX83*Asumsi!$C$25/1000</f>
        <v>482256</v>
      </c>
      <c r="DL14" s="328">
        <f>'Prod&amp;Consp'!DY83*Asumsi!$C$25/1000</f>
        <v>482256</v>
      </c>
      <c r="DM14" s="328">
        <f>'Prod&amp;Consp'!DZ83*Asumsi!$C$25/1000</f>
        <v>482256</v>
      </c>
      <c r="DN14" s="328">
        <f>'Prod&amp;Consp'!EA83*Asumsi!$C$25/1000</f>
        <v>482256</v>
      </c>
      <c r="DO14" s="328">
        <f>'Prod&amp;Consp'!EB83*Asumsi!$C$25/1000</f>
        <v>482256</v>
      </c>
      <c r="DP14" s="328">
        <f>'Prod&amp;Consp'!EC83*Asumsi!$C$25/1000</f>
        <v>482256</v>
      </c>
      <c r="DQ14" s="328">
        <f>'Prod&amp;Consp'!ED83*Asumsi!$C$25/1000</f>
        <v>482256</v>
      </c>
      <c r="DR14" s="328">
        <f>'Prod&amp;Consp'!EE83*Asumsi!$C$25/1000</f>
        <v>482256</v>
      </c>
      <c r="DS14" s="623"/>
      <c r="DT14" s="328">
        <f>'Prod&amp;Consp'!EH83*Asumsi!$C$25/1000</f>
        <v>482256</v>
      </c>
      <c r="DU14" s="328">
        <f>'Prod&amp;Consp'!EI83*Asumsi!$C$25/1000</f>
        <v>482256</v>
      </c>
      <c r="DV14" s="328">
        <f>'Prod&amp;Consp'!EJ83*Asumsi!$C$25/1000</f>
        <v>482256</v>
      </c>
      <c r="DW14" s="328">
        <f>'Prod&amp;Consp'!EK83*Asumsi!$C$25/1000</f>
        <v>482256</v>
      </c>
      <c r="DX14" s="328">
        <f>'Prod&amp;Consp'!EL83*Asumsi!$C$25/1000</f>
        <v>482256</v>
      </c>
      <c r="DY14" s="328">
        <f>'Prod&amp;Consp'!EM83*Asumsi!$C$25/1000</f>
        <v>482256</v>
      </c>
      <c r="DZ14" s="328">
        <f>'Prod&amp;Consp'!EN83*Asumsi!$C$25/1000</f>
        <v>482256</v>
      </c>
      <c r="EA14" s="328">
        <f>'Prod&amp;Consp'!EO83*Asumsi!$C$25/1000</f>
        <v>482256</v>
      </c>
      <c r="EB14" s="328">
        <f>'Prod&amp;Consp'!EP83*Asumsi!$C$25/1000</f>
        <v>482256</v>
      </c>
      <c r="EC14" s="328">
        <f>'Prod&amp;Consp'!EQ83*Asumsi!$C$25/1000</f>
        <v>482256</v>
      </c>
      <c r="ED14" s="328">
        <f>'Prod&amp;Consp'!ER83*Asumsi!$C$25/1000</f>
        <v>482256</v>
      </c>
      <c r="EE14" s="328">
        <f>'Prod&amp;Consp'!ES83*Asumsi!$C$25/1000</f>
        <v>482256</v>
      </c>
      <c r="EF14" s="623"/>
      <c r="EG14" s="123"/>
    </row>
    <row r="15" spans="1:137" x14ac:dyDescent="0.35">
      <c r="E15" s="15" t="s">
        <v>10</v>
      </c>
      <c r="F15" s="12" t="s">
        <v>1269</v>
      </c>
      <c r="G15" s="328">
        <f>'Prod&amp;Consp'!L82*Asumsi!$C$24/1000</f>
        <v>0</v>
      </c>
      <c r="H15" s="328">
        <f>'Prod&amp;Consp'!M82*Asumsi!$C$24/1000</f>
        <v>0</v>
      </c>
      <c r="I15" s="328">
        <f>'Prod&amp;Consp'!N82*Asumsi!$C$24/1000</f>
        <v>0</v>
      </c>
      <c r="J15" s="328">
        <f>'Prod&amp;Consp'!O82*Asumsi!$C$24/1000</f>
        <v>0</v>
      </c>
      <c r="K15" s="328">
        <f>'Prod&amp;Consp'!P82*Asumsi!$C$24/1000</f>
        <v>0</v>
      </c>
      <c r="L15" s="328">
        <f>'Prod&amp;Consp'!Q82*Asumsi!$C$24/1000</f>
        <v>0</v>
      </c>
      <c r="M15" s="328">
        <f>'Prod&amp;Consp'!R82*Asumsi!$C$24/1000</f>
        <v>0</v>
      </c>
      <c r="N15" s="328">
        <f>'Prod&amp;Consp'!S82*Asumsi!$C$24/1000</f>
        <v>0</v>
      </c>
      <c r="O15" s="328">
        <f>'Prod&amp;Consp'!T82*Asumsi!$C$24/1000</f>
        <v>0</v>
      </c>
      <c r="P15" s="328">
        <f>'Prod&amp;Consp'!U82*Asumsi!$C$24/1000</f>
        <v>0</v>
      </c>
      <c r="Q15" s="328">
        <f>'Prod&amp;Consp'!V82*Asumsi!$C$24/1000</f>
        <v>0</v>
      </c>
      <c r="R15" s="328">
        <f>'Prod&amp;Consp'!W82*Asumsi!$C$24/1000</f>
        <v>0</v>
      </c>
      <c r="S15" s="623"/>
      <c r="T15" s="328">
        <f>'Prod&amp;Consp'!Z82*Asumsi!$C$24/1000</f>
        <v>0</v>
      </c>
      <c r="U15" s="328">
        <f>'Prod&amp;Consp'!AA82*Asumsi!$C$24/1000</f>
        <v>0</v>
      </c>
      <c r="V15" s="328">
        <f>'Prod&amp;Consp'!AB82*Asumsi!$C$24/1000</f>
        <v>0</v>
      </c>
      <c r="W15" s="328">
        <f>'Prod&amp;Consp'!AC82*Asumsi!$C$24/1000</f>
        <v>0</v>
      </c>
      <c r="X15" s="328">
        <f>'Prod&amp;Consp'!AD82*Asumsi!$C$24/1000</f>
        <v>0</v>
      </c>
      <c r="Y15" s="328">
        <f>'Prod&amp;Consp'!AE82*Asumsi!$C$24/1000</f>
        <v>0</v>
      </c>
      <c r="Z15" s="328">
        <f>'Prod&amp;Consp'!AF82*Asumsi!$C$24/1000</f>
        <v>0</v>
      </c>
      <c r="AA15" s="328">
        <f>'Prod&amp;Consp'!AG82*Asumsi!$C$24/1000</f>
        <v>0</v>
      </c>
      <c r="AB15" s="328">
        <f>'Prod&amp;Consp'!AH82*Asumsi!$C$24/1000</f>
        <v>89250</v>
      </c>
      <c r="AC15" s="328">
        <f>'Prod&amp;Consp'!AI82*Asumsi!$C$24/1000</f>
        <v>0</v>
      </c>
      <c r="AD15" s="328">
        <f>'Prod&amp;Consp'!AJ82*Asumsi!$C$24/1000</f>
        <v>0</v>
      </c>
      <c r="AE15" s="328">
        <f>'Prod&amp;Consp'!AK82*Asumsi!$C$24/1000</f>
        <v>0</v>
      </c>
      <c r="AF15" s="623"/>
      <c r="AG15" s="328">
        <f>'Prod&amp;Consp'!AN82*Asumsi!$C$24/1000</f>
        <v>0</v>
      </c>
      <c r="AH15" s="328">
        <f>'Prod&amp;Consp'!AO82*Asumsi!$C$24/1000</f>
        <v>0</v>
      </c>
      <c r="AI15" s="328">
        <f>'Prod&amp;Consp'!AP82*Asumsi!$C$24/1000</f>
        <v>0</v>
      </c>
      <c r="AJ15" s="328">
        <f>'Prod&amp;Consp'!AQ82*Asumsi!$C$24/1000</f>
        <v>0</v>
      </c>
      <c r="AK15" s="328">
        <f>'Prod&amp;Consp'!AR82*Asumsi!$C$24/1000</f>
        <v>0</v>
      </c>
      <c r="AL15" s="328">
        <f>'Prod&amp;Consp'!AS82*Asumsi!$C$24/1000</f>
        <v>0</v>
      </c>
      <c r="AM15" s="328">
        <f>'Prod&amp;Consp'!AT82*Asumsi!$C$24/1000</f>
        <v>0</v>
      </c>
      <c r="AN15" s="328">
        <f>'Prod&amp;Consp'!AU82*Asumsi!$C$24/1000</f>
        <v>0</v>
      </c>
      <c r="AO15" s="328">
        <f>'Prod&amp;Consp'!AV82*Asumsi!$C$24/1000</f>
        <v>267750</v>
      </c>
      <c r="AP15" s="328">
        <f>'Prod&amp;Consp'!AW82*Asumsi!$C$24/1000</f>
        <v>0</v>
      </c>
      <c r="AQ15" s="328">
        <f>'Prod&amp;Consp'!AX82*Asumsi!$C$24/1000</f>
        <v>0</v>
      </c>
      <c r="AR15" s="328">
        <f>'Prod&amp;Consp'!AY82*Asumsi!$C$24/1000</f>
        <v>0</v>
      </c>
      <c r="AS15" s="623"/>
      <c r="AT15" s="328">
        <f>'Prod&amp;Consp'!BB82*Asumsi!$C$24/1000</f>
        <v>0</v>
      </c>
      <c r="AU15" s="328">
        <f>'Prod&amp;Consp'!BC82*Asumsi!$C$24/1000</f>
        <v>0</v>
      </c>
      <c r="AV15" s="328">
        <f>'Prod&amp;Consp'!BD82*Asumsi!$C$24/1000</f>
        <v>89250</v>
      </c>
      <c r="AW15" s="328">
        <f>'Prod&amp;Consp'!BE82*Asumsi!$C$24/1000</f>
        <v>0</v>
      </c>
      <c r="AX15" s="328">
        <f>'Prod&amp;Consp'!BF82*Asumsi!$C$24/1000</f>
        <v>0</v>
      </c>
      <c r="AY15" s="328">
        <f>'Prod&amp;Consp'!BG82*Asumsi!$C$24/1000</f>
        <v>0</v>
      </c>
      <c r="AZ15" s="328">
        <f>'Prod&amp;Consp'!BH82*Asumsi!$C$24/1000</f>
        <v>0</v>
      </c>
      <c r="BA15" s="328">
        <f>'Prod&amp;Consp'!BI82*Asumsi!$C$24/1000</f>
        <v>0</v>
      </c>
      <c r="BB15" s="328">
        <f>'Prod&amp;Consp'!BJ82*Asumsi!$C$24/1000</f>
        <v>0</v>
      </c>
      <c r="BC15" s="328">
        <f>'Prod&amp;Consp'!BK82*Asumsi!$C$24/1000</f>
        <v>0</v>
      </c>
      <c r="BD15" s="328">
        <f>'Prod&amp;Consp'!BL82*Asumsi!$C$24/1000</f>
        <v>0</v>
      </c>
      <c r="BE15" s="328">
        <f>'Prod&amp;Consp'!BM82*Asumsi!$C$24/1000</f>
        <v>0</v>
      </c>
      <c r="BF15" s="623"/>
      <c r="BG15" s="328">
        <f>'Prod&amp;Consp'!BP82*Asumsi!$C$24/1000</f>
        <v>0</v>
      </c>
      <c r="BH15" s="328">
        <f>'Prod&amp;Consp'!BQ82*Asumsi!$C$24/1000</f>
        <v>0</v>
      </c>
      <c r="BI15" s="328">
        <f>'Prod&amp;Consp'!BR82*Asumsi!$C$24/1000</f>
        <v>267750</v>
      </c>
      <c r="BJ15" s="328">
        <f>'Prod&amp;Consp'!BS82*Asumsi!$C$24/1000</f>
        <v>0</v>
      </c>
      <c r="BK15" s="328">
        <f>'Prod&amp;Consp'!BT82*Asumsi!$C$24/1000</f>
        <v>0</v>
      </c>
      <c r="BL15" s="328">
        <f>'Prod&amp;Consp'!BU82*Asumsi!$C$24/1000</f>
        <v>0</v>
      </c>
      <c r="BM15" s="328">
        <f>'Prod&amp;Consp'!BV82*Asumsi!$C$24/1000</f>
        <v>0</v>
      </c>
      <c r="BN15" s="328">
        <f>'Prod&amp;Consp'!BW82*Asumsi!$C$24/1000</f>
        <v>0</v>
      </c>
      <c r="BO15" s="328">
        <f>'Prod&amp;Consp'!BX82*Asumsi!$C$24/1000</f>
        <v>89250</v>
      </c>
      <c r="BP15" s="328">
        <f>'Prod&amp;Consp'!BY82*Asumsi!$C$24/1000</f>
        <v>0</v>
      </c>
      <c r="BQ15" s="328">
        <f>'Prod&amp;Consp'!BZ82*Asumsi!$C$24/1000</f>
        <v>0</v>
      </c>
      <c r="BR15" s="328">
        <f>'Prod&amp;Consp'!CA82*Asumsi!$C$24/1000</f>
        <v>0</v>
      </c>
      <c r="BS15" s="623"/>
      <c r="BT15" s="328">
        <f>'Prod&amp;Consp'!CD82*Asumsi!$C$24/1000</f>
        <v>0</v>
      </c>
      <c r="BU15" s="328">
        <f>'Prod&amp;Consp'!CE82*Asumsi!$C$24/1000</f>
        <v>0</v>
      </c>
      <c r="BV15" s="328">
        <f>'Prod&amp;Consp'!CF82*Asumsi!$C$24/1000</f>
        <v>0</v>
      </c>
      <c r="BW15" s="328">
        <f>'Prod&amp;Consp'!CG82*Asumsi!$C$24/1000</f>
        <v>0</v>
      </c>
      <c r="BX15" s="328">
        <f>'Prod&amp;Consp'!CH82*Asumsi!$C$24/1000</f>
        <v>0</v>
      </c>
      <c r="BY15" s="328">
        <f>'Prod&amp;Consp'!CI82*Asumsi!$C$24/1000</f>
        <v>0</v>
      </c>
      <c r="BZ15" s="328">
        <f>'Prod&amp;Consp'!CJ82*Asumsi!$C$24/1000</f>
        <v>0</v>
      </c>
      <c r="CA15" s="328">
        <f>'Prod&amp;Consp'!CK82*Asumsi!$C$24/1000</f>
        <v>0</v>
      </c>
      <c r="CB15" s="328">
        <f>'Prod&amp;Consp'!CL82*Asumsi!$C$24/1000</f>
        <v>267750</v>
      </c>
      <c r="CC15" s="328">
        <f>'Prod&amp;Consp'!CM82*Asumsi!$C$24/1000</f>
        <v>0</v>
      </c>
      <c r="CD15" s="328">
        <f>'Prod&amp;Consp'!CN82*Asumsi!$C$24/1000</f>
        <v>0</v>
      </c>
      <c r="CE15" s="328">
        <f>'Prod&amp;Consp'!CO82*Asumsi!$C$24/1000</f>
        <v>0</v>
      </c>
      <c r="CF15" s="623"/>
      <c r="CG15" s="328">
        <f>'Prod&amp;Consp'!CR82*Asumsi!$C$24/1000</f>
        <v>0</v>
      </c>
      <c r="CH15" s="328">
        <f>'Prod&amp;Consp'!CS82*Asumsi!$C$24/1000</f>
        <v>0</v>
      </c>
      <c r="CI15" s="328">
        <f>'Prod&amp;Consp'!CT82*Asumsi!$C$24/1000</f>
        <v>89250</v>
      </c>
      <c r="CJ15" s="328">
        <f>'Prod&amp;Consp'!CU82*Asumsi!$C$24/1000</f>
        <v>0</v>
      </c>
      <c r="CK15" s="328">
        <f>'Prod&amp;Consp'!CV82*Asumsi!$C$24/1000</f>
        <v>0</v>
      </c>
      <c r="CL15" s="328">
        <f>'Prod&amp;Consp'!CW82*Asumsi!$C$24/1000</f>
        <v>0</v>
      </c>
      <c r="CM15" s="328">
        <f>'Prod&amp;Consp'!CX82*Asumsi!$C$24/1000</f>
        <v>0</v>
      </c>
      <c r="CN15" s="328">
        <f>'Prod&amp;Consp'!CY82*Asumsi!$C$24/1000</f>
        <v>0</v>
      </c>
      <c r="CO15" s="328">
        <f>'Prod&amp;Consp'!CZ82*Asumsi!$C$24/1000</f>
        <v>0</v>
      </c>
      <c r="CP15" s="328">
        <f>'Prod&amp;Consp'!DA82*Asumsi!$C$24/1000</f>
        <v>0</v>
      </c>
      <c r="CQ15" s="328">
        <f>'Prod&amp;Consp'!DB82*Asumsi!$C$24/1000</f>
        <v>0</v>
      </c>
      <c r="CR15" s="328">
        <f>'Prod&amp;Consp'!DC82*Asumsi!$C$24/1000</f>
        <v>0</v>
      </c>
      <c r="CS15" s="623"/>
      <c r="CT15" s="328">
        <f>'Prod&amp;Consp'!DF82*Asumsi!$C$24/1000</f>
        <v>0</v>
      </c>
      <c r="CU15" s="328">
        <f>'Prod&amp;Consp'!DG82*Asumsi!$C$24/1000</f>
        <v>0</v>
      </c>
      <c r="CV15" s="328">
        <f>'Prod&amp;Consp'!DH82*Asumsi!$C$24/1000</f>
        <v>267750</v>
      </c>
      <c r="CW15" s="328">
        <f>'Prod&amp;Consp'!DI82*Asumsi!$C$24/1000</f>
        <v>0</v>
      </c>
      <c r="CX15" s="328">
        <f>'Prod&amp;Consp'!DJ82*Asumsi!$C$24/1000</f>
        <v>0</v>
      </c>
      <c r="CY15" s="328">
        <f>'Prod&amp;Consp'!DK82*Asumsi!$C$24/1000</f>
        <v>0</v>
      </c>
      <c r="CZ15" s="328">
        <f>'Prod&amp;Consp'!DL82*Asumsi!$C$24/1000</f>
        <v>0</v>
      </c>
      <c r="DA15" s="328">
        <f>'Prod&amp;Consp'!DM82*Asumsi!$C$24/1000</f>
        <v>0</v>
      </c>
      <c r="DB15" s="328">
        <f>'Prod&amp;Consp'!DN82*Asumsi!$C$24/1000</f>
        <v>89250</v>
      </c>
      <c r="DC15" s="328">
        <f>'Prod&amp;Consp'!DO82*Asumsi!$C$24/1000</f>
        <v>0</v>
      </c>
      <c r="DD15" s="328">
        <f>'Prod&amp;Consp'!DP82*Asumsi!$C$24/1000</f>
        <v>0</v>
      </c>
      <c r="DE15" s="328">
        <f>'Prod&amp;Consp'!DQ82*Asumsi!$C$24/1000</f>
        <v>0</v>
      </c>
      <c r="DF15" s="623"/>
      <c r="DG15" s="328">
        <f>'Prod&amp;Consp'!DT82*Asumsi!$C$24/1000</f>
        <v>0</v>
      </c>
      <c r="DH15" s="328">
        <f>'Prod&amp;Consp'!DU82*Asumsi!$C$24/1000</f>
        <v>0</v>
      </c>
      <c r="DI15" s="328">
        <f>'Prod&amp;Consp'!DV82*Asumsi!$C$24/1000</f>
        <v>0</v>
      </c>
      <c r="DJ15" s="328">
        <f>'Prod&amp;Consp'!DW82*Asumsi!$C$24/1000</f>
        <v>0</v>
      </c>
      <c r="DK15" s="328">
        <f>'Prod&amp;Consp'!DX82*Asumsi!$C$24/1000</f>
        <v>0</v>
      </c>
      <c r="DL15" s="328">
        <f>'Prod&amp;Consp'!DY82*Asumsi!$C$24/1000</f>
        <v>0</v>
      </c>
      <c r="DM15" s="328">
        <f>'Prod&amp;Consp'!DZ82*Asumsi!$C$24/1000</f>
        <v>0</v>
      </c>
      <c r="DN15" s="328">
        <f>'Prod&amp;Consp'!EA82*Asumsi!$C$24/1000</f>
        <v>0</v>
      </c>
      <c r="DO15" s="328">
        <f>'Prod&amp;Consp'!EB82*Asumsi!$C$24/1000</f>
        <v>267750</v>
      </c>
      <c r="DP15" s="328">
        <f>'Prod&amp;Consp'!EC82*Asumsi!$C$24/1000</f>
        <v>0</v>
      </c>
      <c r="DQ15" s="328">
        <f>'Prod&amp;Consp'!ED82*Asumsi!$C$24/1000</f>
        <v>0</v>
      </c>
      <c r="DR15" s="328">
        <f>'Prod&amp;Consp'!EE82*Asumsi!$C$24/1000</f>
        <v>0</v>
      </c>
      <c r="DS15" s="623"/>
      <c r="DT15" s="328">
        <f>'Prod&amp;Consp'!EH82*Asumsi!$C$24/1000</f>
        <v>0</v>
      </c>
      <c r="DU15" s="328">
        <f>'Prod&amp;Consp'!EI82*Asumsi!$C$24/1000</f>
        <v>0</v>
      </c>
      <c r="DV15" s="328">
        <f>'Prod&amp;Consp'!EJ82*Asumsi!$C$24/1000</f>
        <v>89250</v>
      </c>
      <c r="DW15" s="328">
        <f>'Prod&amp;Consp'!EK82*Asumsi!$C$24/1000</f>
        <v>0</v>
      </c>
      <c r="DX15" s="328">
        <f>'Prod&amp;Consp'!EL82*Asumsi!$C$24/1000</f>
        <v>0</v>
      </c>
      <c r="DY15" s="328">
        <f>'Prod&amp;Consp'!EM82*Asumsi!$C$24/1000</f>
        <v>0</v>
      </c>
      <c r="DZ15" s="328">
        <f>'Prod&amp;Consp'!EN82*Asumsi!$C$24/1000</f>
        <v>0</v>
      </c>
      <c r="EA15" s="328">
        <f>'Prod&amp;Consp'!EO82*Asumsi!$C$24/1000</f>
        <v>0</v>
      </c>
      <c r="EB15" s="328">
        <f>'Prod&amp;Consp'!EP82*Asumsi!$C$24/1000</f>
        <v>0</v>
      </c>
      <c r="EC15" s="328">
        <f>'Prod&amp;Consp'!EQ82*Asumsi!$C$24/1000</f>
        <v>0</v>
      </c>
      <c r="ED15" s="328">
        <f>'Prod&amp;Consp'!ER82*Asumsi!$C$24/1000</f>
        <v>0</v>
      </c>
      <c r="EE15" s="328">
        <f>'Prod&amp;Consp'!ES82*Asumsi!$C$24/1000</f>
        <v>357000</v>
      </c>
      <c r="EF15" s="623"/>
      <c r="EG15" s="123"/>
    </row>
    <row r="16" spans="1:137" x14ac:dyDescent="0.35">
      <c r="G16" s="630">
        <f>G14+G15</f>
        <v>0</v>
      </c>
      <c r="H16" s="630">
        <f t="shared" ref="H16:R16" si="10">H14+H15</f>
        <v>0</v>
      </c>
      <c r="I16" s="630">
        <f t="shared" si="10"/>
        <v>120564</v>
      </c>
      <c r="J16" s="630">
        <f t="shared" si="10"/>
        <v>120564</v>
      </c>
      <c r="K16" s="630">
        <f t="shared" si="10"/>
        <v>120564</v>
      </c>
      <c r="L16" s="630">
        <f t="shared" si="10"/>
        <v>120564</v>
      </c>
      <c r="M16" s="630">
        <f t="shared" si="10"/>
        <v>120564</v>
      </c>
      <c r="N16" s="630">
        <f t="shared" si="10"/>
        <v>120564</v>
      </c>
      <c r="O16" s="630">
        <f t="shared" si="10"/>
        <v>120564</v>
      </c>
      <c r="P16" s="630">
        <f t="shared" si="10"/>
        <v>120564</v>
      </c>
      <c r="Q16" s="630">
        <f t="shared" si="10"/>
        <v>120564</v>
      </c>
      <c r="R16" s="630">
        <f t="shared" si="10"/>
        <v>120564</v>
      </c>
      <c r="S16" s="623"/>
      <c r="T16" s="630">
        <f>T14+T15</f>
        <v>120564</v>
      </c>
      <c r="U16" s="630">
        <f t="shared" ref="U16" si="11">U14+U15</f>
        <v>120564</v>
      </c>
      <c r="V16" s="630">
        <f t="shared" ref="V16" si="12">V14+V15</f>
        <v>482256</v>
      </c>
      <c r="W16" s="630">
        <f t="shared" ref="W16" si="13">W14+W15</f>
        <v>482256</v>
      </c>
      <c r="X16" s="630">
        <f t="shared" ref="X16" si="14">X14+X15</f>
        <v>482256</v>
      </c>
      <c r="Y16" s="630">
        <f t="shared" ref="Y16" si="15">Y14+Y15</f>
        <v>482256</v>
      </c>
      <c r="Z16" s="630">
        <f t="shared" ref="Z16" si="16">Z14+Z15</f>
        <v>482256</v>
      </c>
      <c r="AA16" s="630">
        <f t="shared" ref="AA16" si="17">AA14+AA15</f>
        <v>482256</v>
      </c>
      <c r="AB16" s="630">
        <f t="shared" ref="AB16" si="18">AB14+AB15</f>
        <v>571506</v>
      </c>
      <c r="AC16" s="630">
        <f t="shared" ref="AC16" si="19">AC14+AC15</f>
        <v>482256</v>
      </c>
      <c r="AD16" s="630">
        <f t="shared" ref="AD16" si="20">AD14+AD15</f>
        <v>482256</v>
      </c>
      <c r="AE16" s="630">
        <f t="shared" ref="AE16" si="21">AE14+AE15</f>
        <v>482256</v>
      </c>
      <c r="AF16" s="623"/>
      <c r="AG16" s="630">
        <f>AG14+AG15</f>
        <v>482256</v>
      </c>
      <c r="AH16" s="630">
        <f t="shared" ref="AH16" si="22">AH14+AH15</f>
        <v>482256</v>
      </c>
      <c r="AI16" s="630">
        <f t="shared" ref="AI16" si="23">AI14+AI15</f>
        <v>482256</v>
      </c>
      <c r="AJ16" s="630">
        <f t="shared" ref="AJ16" si="24">AJ14+AJ15</f>
        <v>482256</v>
      </c>
      <c r="AK16" s="630">
        <f t="shared" ref="AK16" si="25">AK14+AK15</f>
        <v>482256</v>
      </c>
      <c r="AL16" s="630">
        <f t="shared" ref="AL16" si="26">AL14+AL15</f>
        <v>482256</v>
      </c>
      <c r="AM16" s="630">
        <f t="shared" ref="AM16" si="27">AM14+AM15</f>
        <v>482256</v>
      </c>
      <c r="AN16" s="630">
        <f t="shared" ref="AN16" si="28">AN14+AN15</f>
        <v>482256</v>
      </c>
      <c r="AO16" s="630">
        <f t="shared" ref="AO16" si="29">AO14+AO15</f>
        <v>750006</v>
      </c>
      <c r="AP16" s="630">
        <f t="shared" ref="AP16" si="30">AP14+AP15</f>
        <v>482256</v>
      </c>
      <c r="AQ16" s="630">
        <f t="shared" ref="AQ16" si="31">AQ14+AQ15</f>
        <v>482256</v>
      </c>
      <c r="AR16" s="630">
        <f t="shared" ref="AR16" si="32">AR14+AR15</f>
        <v>482256</v>
      </c>
      <c r="AS16" s="623"/>
      <c r="AT16" s="630">
        <f>AT14+AT15</f>
        <v>482256</v>
      </c>
      <c r="AU16" s="630">
        <f t="shared" ref="AU16" si="33">AU14+AU15</f>
        <v>482256</v>
      </c>
      <c r="AV16" s="630">
        <f t="shared" ref="AV16" si="34">AV14+AV15</f>
        <v>571506</v>
      </c>
      <c r="AW16" s="630">
        <f t="shared" ref="AW16" si="35">AW14+AW15</f>
        <v>482256</v>
      </c>
      <c r="AX16" s="630">
        <f t="shared" ref="AX16" si="36">AX14+AX15</f>
        <v>482256</v>
      </c>
      <c r="AY16" s="630">
        <f t="shared" ref="AY16" si="37">AY14+AY15</f>
        <v>482256</v>
      </c>
      <c r="AZ16" s="630">
        <f t="shared" ref="AZ16" si="38">AZ14+AZ15</f>
        <v>482256</v>
      </c>
      <c r="BA16" s="630">
        <f t="shared" ref="BA16" si="39">BA14+BA15</f>
        <v>482256</v>
      </c>
      <c r="BB16" s="630">
        <f t="shared" ref="BB16" si="40">BB14+BB15</f>
        <v>482256</v>
      </c>
      <c r="BC16" s="630">
        <f t="shared" ref="BC16" si="41">BC14+BC15</f>
        <v>482256</v>
      </c>
      <c r="BD16" s="630">
        <f t="shared" ref="BD16" si="42">BD14+BD15</f>
        <v>482256</v>
      </c>
      <c r="BE16" s="630">
        <f t="shared" ref="BE16" si="43">BE14+BE15</f>
        <v>482256</v>
      </c>
      <c r="BF16" s="623"/>
      <c r="BG16" s="630">
        <f>BG14+BG15</f>
        <v>482256</v>
      </c>
      <c r="BH16" s="630">
        <f t="shared" ref="BH16" si="44">BH14+BH15</f>
        <v>482256</v>
      </c>
      <c r="BI16" s="630">
        <f t="shared" ref="BI16" si="45">BI14+BI15</f>
        <v>750006</v>
      </c>
      <c r="BJ16" s="630">
        <f t="shared" ref="BJ16" si="46">BJ14+BJ15</f>
        <v>482256</v>
      </c>
      <c r="BK16" s="630">
        <f t="shared" ref="BK16" si="47">BK14+BK15</f>
        <v>482256</v>
      </c>
      <c r="BL16" s="630">
        <f t="shared" ref="BL16" si="48">BL14+BL15</f>
        <v>482256</v>
      </c>
      <c r="BM16" s="630">
        <f t="shared" ref="BM16" si="49">BM14+BM15</f>
        <v>482256</v>
      </c>
      <c r="BN16" s="630">
        <f t="shared" ref="BN16" si="50">BN14+BN15</f>
        <v>482256</v>
      </c>
      <c r="BO16" s="630">
        <f t="shared" ref="BO16" si="51">BO14+BO15</f>
        <v>571506</v>
      </c>
      <c r="BP16" s="630">
        <f t="shared" ref="BP16" si="52">BP14+BP15</f>
        <v>482256</v>
      </c>
      <c r="BQ16" s="630">
        <f t="shared" ref="BQ16" si="53">BQ14+BQ15</f>
        <v>482256</v>
      </c>
      <c r="BR16" s="630">
        <f t="shared" ref="BR16" si="54">BR14+BR15</f>
        <v>482256</v>
      </c>
      <c r="BS16" s="623"/>
      <c r="BT16" s="630">
        <f>BT14+BT15</f>
        <v>482256</v>
      </c>
      <c r="BU16" s="630">
        <f t="shared" ref="BU16" si="55">BU14+BU15</f>
        <v>482256</v>
      </c>
      <c r="BV16" s="630">
        <f t="shared" ref="BV16" si="56">BV14+BV15</f>
        <v>482256</v>
      </c>
      <c r="BW16" s="630">
        <f t="shared" ref="BW16" si="57">BW14+BW15</f>
        <v>482256</v>
      </c>
      <c r="BX16" s="630">
        <f t="shared" ref="BX16" si="58">BX14+BX15</f>
        <v>482256</v>
      </c>
      <c r="BY16" s="630">
        <f t="shared" ref="BY16" si="59">BY14+BY15</f>
        <v>482256</v>
      </c>
      <c r="BZ16" s="630">
        <f t="shared" ref="BZ16" si="60">BZ14+BZ15</f>
        <v>482256</v>
      </c>
      <c r="CA16" s="630">
        <f t="shared" ref="CA16" si="61">CA14+CA15</f>
        <v>482256</v>
      </c>
      <c r="CB16" s="630">
        <f t="shared" ref="CB16" si="62">CB14+CB15</f>
        <v>750006</v>
      </c>
      <c r="CC16" s="630">
        <f t="shared" ref="CC16" si="63">CC14+CC15</f>
        <v>482256</v>
      </c>
      <c r="CD16" s="630">
        <f t="shared" ref="CD16" si="64">CD14+CD15</f>
        <v>482256</v>
      </c>
      <c r="CE16" s="630">
        <f t="shared" ref="CE16" si="65">CE14+CE15</f>
        <v>482256</v>
      </c>
      <c r="CF16" s="623"/>
      <c r="CG16" s="630">
        <f>CG14+CG15</f>
        <v>482256</v>
      </c>
      <c r="CH16" s="630">
        <f t="shared" ref="CH16" si="66">CH14+CH15</f>
        <v>482256</v>
      </c>
      <c r="CI16" s="630">
        <f t="shared" ref="CI16" si="67">CI14+CI15</f>
        <v>571506</v>
      </c>
      <c r="CJ16" s="630">
        <f t="shared" ref="CJ16" si="68">CJ14+CJ15</f>
        <v>482256</v>
      </c>
      <c r="CK16" s="630">
        <f t="shared" ref="CK16" si="69">CK14+CK15</f>
        <v>482256</v>
      </c>
      <c r="CL16" s="630">
        <f t="shared" ref="CL16" si="70">CL14+CL15</f>
        <v>482256</v>
      </c>
      <c r="CM16" s="630">
        <f t="shared" ref="CM16" si="71">CM14+CM15</f>
        <v>482256</v>
      </c>
      <c r="CN16" s="630">
        <f t="shared" ref="CN16" si="72">CN14+CN15</f>
        <v>482256</v>
      </c>
      <c r="CO16" s="630">
        <f t="shared" ref="CO16" si="73">CO14+CO15</f>
        <v>482256</v>
      </c>
      <c r="CP16" s="630">
        <f t="shared" ref="CP16" si="74">CP14+CP15</f>
        <v>482256</v>
      </c>
      <c r="CQ16" s="630">
        <f t="shared" ref="CQ16" si="75">CQ14+CQ15</f>
        <v>482256</v>
      </c>
      <c r="CR16" s="630">
        <f t="shared" ref="CR16" si="76">CR14+CR15</f>
        <v>482256</v>
      </c>
      <c r="CS16" s="623"/>
      <c r="CT16" s="630">
        <f>CT14+CT15</f>
        <v>482256</v>
      </c>
      <c r="CU16" s="630">
        <f t="shared" ref="CU16" si="77">CU14+CU15</f>
        <v>482256</v>
      </c>
      <c r="CV16" s="630">
        <f t="shared" ref="CV16" si="78">CV14+CV15</f>
        <v>750006</v>
      </c>
      <c r="CW16" s="630">
        <f t="shared" ref="CW16" si="79">CW14+CW15</f>
        <v>482256</v>
      </c>
      <c r="CX16" s="630">
        <f t="shared" ref="CX16" si="80">CX14+CX15</f>
        <v>482256</v>
      </c>
      <c r="CY16" s="630">
        <f t="shared" ref="CY16" si="81">CY14+CY15</f>
        <v>482256</v>
      </c>
      <c r="CZ16" s="630">
        <f t="shared" ref="CZ16" si="82">CZ14+CZ15</f>
        <v>482256</v>
      </c>
      <c r="DA16" s="630">
        <f t="shared" ref="DA16" si="83">DA14+DA15</f>
        <v>482256</v>
      </c>
      <c r="DB16" s="630">
        <f t="shared" ref="DB16" si="84">DB14+DB15</f>
        <v>571506</v>
      </c>
      <c r="DC16" s="630">
        <f t="shared" ref="DC16" si="85">DC14+DC15</f>
        <v>482256</v>
      </c>
      <c r="DD16" s="630">
        <f t="shared" ref="DD16" si="86">DD14+DD15</f>
        <v>482256</v>
      </c>
      <c r="DE16" s="630">
        <f t="shared" ref="DE16" si="87">DE14+DE15</f>
        <v>482256</v>
      </c>
      <c r="DF16" s="623"/>
      <c r="DG16" s="630">
        <f>DG14+DG15</f>
        <v>482256</v>
      </c>
      <c r="DH16" s="630">
        <f t="shared" ref="DH16" si="88">DH14+DH15</f>
        <v>482256</v>
      </c>
      <c r="DI16" s="630">
        <f t="shared" ref="DI16" si="89">DI14+DI15</f>
        <v>482256</v>
      </c>
      <c r="DJ16" s="630">
        <f t="shared" ref="DJ16" si="90">DJ14+DJ15</f>
        <v>482256</v>
      </c>
      <c r="DK16" s="630">
        <f t="shared" ref="DK16" si="91">DK14+DK15</f>
        <v>482256</v>
      </c>
      <c r="DL16" s="630">
        <f t="shared" ref="DL16" si="92">DL14+DL15</f>
        <v>482256</v>
      </c>
      <c r="DM16" s="630">
        <f t="shared" ref="DM16" si="93">DM14+DM15</f>
        <v>482256</v>
      </c>
      <c r="DN16" s="630">
        <f t="shared" ref="DN16" si="94">DN14+DN15</f>
        <v>482256</v>
      </c>
      <c r="DO16" s="630">
        <f t="shared" ref="DO16" si="95">DO14+DO15</f>
        <v>750006</v>
      </c>
      <c r="DP16" s="630">
        <f t="shared" ref="DP16" si="96">DP14+DP15</f>
        <v>482256</v>
      </c>
      <c r="DQ16" s="630">
        <f t="shared" ref="DQ16" si="97">DQ14+DQ15</f>
        <v>482256</v>
      </c>
      <c r="DR16" s="630">
        <f t="shared" ref="DR16" si="98">DR14+DR15</f>
        <v>482256</v>
      </c>
      <c r="DS16" s="623"/>
      <c r="DT16" s="630">
        <f>DT14+DT15</f>
        <v>482256</v>
      </c>
      <c r="DU16" s="630">
        <f t="shared" ref="DU16" si="99">DU14+DU15</f>
        <v>482256</v>
      </c>
      <c r="DV16" s="630">
        <f t="shared" ref="DV16" si="100">DV14+DV15</f>
        <v>571506</v>
      </c>
      <c r="DW16" s="630">
        <f t="shared" ref="DW16" si="101">DW14+DW15</f>
        <v>482256</v>
      </c>
      <c r="DX16" s="630">
        <f t="shared" ref="DX16" si="102">DX14+DX15</f>
        <v>482256</v>
      </c>
      <c r="DY16" s="630">
        <f t="shared" ref="DY16" si="103">DY14+DY15</f>
        <v>482256</v>
      </c>
      <c r="DZ16" s="630">
        <f t="shared" ref="DZ16" si="104">DZ14+DZ15</f>
        <v>482256</v>
      </c>
      <c r="EA16" s="630">
        <f t="shared" ref="EA16" si="105">EA14+EA15</f>
        <v>482256</v>
      </c>
      <c r="EB16" s="630">
        <f t="shared" ref="EB16" si="106">EB14+EB15</f>
        <v>482256</v>
      </c>
      <c r="EC16" s="630">
        <f t="shared" ref="EC16" si="107">EC14+EC15</f>
        <v>482256</v>
      </c>
      <c r="ED16" s="630">
        <f t="shared" ref="ED16" si="108">ED14+ED15</f>
        <v>482256</v>
      </c>
      <c r="EE16" s="630">
        <f t="shared" ref="EE16" si="109">EE14+EE15</f>
        <v>839256</v>
      </c>
      <c r="EF16" s="623"/>
    </row>
    <row r="17" spans="3:136" x14ac:dyDescent="0.35">
      <c r="E17" s="177" t="s">
        <v>522</v>
      </c>
      <c r="G17" s="329">
        <f>G11+G12+G16</f>
        <v>500000</v>
      </c>
      <c r="H17" s="329">
        <f t="shared" ref="H17:R17" si="110">H11+H12+H16</f>
        <v>212678.25833333336</v>
      </c>
      <c r="I17" s="329">
        <f t="shared" si="110"/>
        <v>262390.51666666672</v>
      </c>
      <c r="J17" s="329">
        <f t="shared" si="110"/>
        <v>299951.45137500006</v>
      </c>
      <c r="K17" s="329">
        <f t="shared" si="110"/>
        <v>338637.3860833334</v>
      </c>
      <c r="L17" s="329">
        <f t="shared" si="110"/>
        <v>377323.32079166675</v>
      </c>
      <c r="M17" s="329">
        <f t="shared" si="110"/>
        <v>416009.25550000009</v>
      </c>
      <c r="N17" s="329">
        <f t="shared" si="110"/>
        <v>454695.19020833343</v>
      </c>
      <c r="O17" s="329">
        <f t="shared" si="110"/>
        <v>488746.12491666677</v>
      </c>
      <c r="P17" s="329">
        <f t="shared" si="110"/>
        <v>527432.05962500011</v>
      </c>
      <c r="Q17" s="329">
        <f t="shared" si="110"/>
        <v>566117.99433333345</v>
      </c>
      <c r="R17" s="329">
        <f t="shared" si="110"/>
        <v>604803.92904166679</v>
      </c>
      <c r="S17" s="623"/>
      <c r="T17" s="329">
        <f t="shared" ref="T17:BY17" si="111">T11+T12+T16</f>
        <v>1160489.86375</v>
      </c>
      <c r="U17" s="329">
        <f t="shared" ref="U17" si="112">U11+U12+U16</f>
        <v>357648.90679166687</v>
      </c>
      <c r="V17" s="329">
        <f t="shared" ref="V17" si="113">V11+V12+V16</f>
        <v>565959.94983333349</v>
      </c>
      <c r="W17" s="329">
        <f t="shared" ref="W17" si="114">W11+W12+W16</f>
        <v>737893.02200000011</v>
      </c>
      <c r="X17" s="329">
        <f t="shared" ref="X17" si="115">X11+X12+X16</f>
        <v>913126.09416666673</v>
      </c>
      <c r="Y17" s="329">
        <f t="shared" ref="Y17" si="116">Y11+Y12+Y16</f>
        <v>1088359.1663333334</v>
      </c>
      <c r="Z17" s="329">
        <f t="shared" ref="Z17" si="117">Z11+Z12+Z16</f>
        <v>1263592.2385</v>
      </c>
      <c r="AA17" s="329">
        <f t="shared" ref="AA17" si="118">AA11+AA12+AA16</f>
        <v>1172800.2356666666</v>
      </c>
      <c r="AB17" s="329">
        <f t="shared" ref="AB17" si="119">AB11+AB12+AB16</f>
        <v>1369623.2328333333</v>
      </c>
      <c r="AC17" s="329">
        <f t="shared" ref="AC17" si="120">AC11+AC12+AC16</f>
        <v>1543731.3049999999</v>
      </c>
      <c r="AD17" s="329">
        <f t="shared" ref="AD17" si="121">AD11+AD12+AD16</f>
        <v>1718964.3771666666</v>
      </c>
      <c r="AE17" s="329">
        <f t="shared" ref="AE17" si="122">AE11+AE12+AE16</f>
        <v>1894197.4493333332</v>
      </c>
      <c r="AF17" s="623"/>
      <c r="AG17" s="329">
        <f t="shared" si="111"/>
        <v>1197242.5214999998</v>
      </c>
      <c r="AH17" s="329">
        <f t="shared" si="111"/>
        <v>1359428.6769999997</v>
      </c>
      <c r="AI17" s="329">
        <f t="shared" si="111"/>
        <v>1529828.8324999996</v>
      </c>
      <c r="AJ17" s="329">
        <f t="shared" si="111"/>
        <v>1704863.9879999994</v>
      </c>
      <c r="AK17" s="329">
        <f t="shared" si="111"/>
        <v>1879899.1434999993</v>
      </c>
      <c r="AL17" s="329">
        <f t="shared" si="111"/>
        <v>2054934.2989999992</v>
      </c>
      <c r="AM17" s="329">
        <f t="shared" si="111"/>
        <v>2229969.4544999991</v>
      </c>
      <c r="AN17" s="329">
        <f t="shared" si="111"/>
        <v>1606929.3849999991</v>
      </c>
      <c r="AO17" s="329">
        <f t="shared" si="111"/>
        <v>1888299.3154999991</v>
      </c>
      <c r="AP17" s="329">
        <f t="shared" si="111"/>
        <v>2060034.470999999</v>
      </c>
      <c r="AQ17" s="329">
        <f t="shared" si="111"/>
        <v>2235069.6264999988</v>
      </c>
      <c r="AR17" s="329">
        <f t="shared" si="111"/>
        <v>2410104.7819999987</v>
      </c>
      <c r="AS17" s="623"/>
      <c r="AT17" s="329">
        <f t="shared" si="111"/>
        <v>1704833.2197458209</v>
      </c>
      <c r="AU17" s="329">
        <f t="shared" si="111"/>
        <v>1600746.1489958209</v>
      </c>
      <c r="AV17" s="329">
        <f t="shared" si="111"/>
        <v>1797172.3232458211</v>
      </c>
      <c r="AW17" s="329">
        <f t="shared" si="111"/>
        <v>1970883.5724958209</v>
      </c>
      <c r="AX17" s="329">
        <f t="shared" si="111"/>
        <v>2145719.8217458208</v>
      </c>
      <c r="AY17" s="329">
        <f t="shared" si="111"/>
        <v>2320556.0709958207</v>
      </c>
      <c r="AZ17" s="329">
        <f t="shared" si="111"/>
        <v>2495392.3202458206</v>
      </c>
      <c r="BA17" s="329">
        <f t="shared" si="111"/>
        <v>2670228.5694958204</v>
      </c>
      <c r="BB17" s="329">
        <f t="shared" si="111"/>
        <v>2840429.8187458203</v>
      </c>
      <c r="BC17" s="329">
        <f t="shared" si="111"/>
        <v>3015266.0679958202</v>
      </c>
      <c r="BD17" s="329">
        <f t="shared" si="111"/>
        <v>3190102.3172458201</v>
      </c>
      <c r="BE17" s="329">
        <f t="shared" si="111"/>
        <v>3364938.5664958199</v>
      </c>
      <c r="BF17" s="623"/>
      <c r="BG17" s="329">
        <f t="shared" si="111"/>
        <v>2687545.2381916423</v>
      </c>
      <c r="BH17" s="329">
        <f t="shared" si="111"/>
        <v>2051158.6254353924</v>
      </c>
      <c r="BI17" s="329">
        <f t="shared" si="111"/>
        <v>2332129.7489041425</v>
      </c>
      <c r="BJ17" s="329">
        <f t="shared" si="111"/>
        <v>2503466.0973728923</v>
      </c>
      <c r="BK17" s="329">
        <f t="shared" si="111"/>
        <v>2678102.4458416421</v>
      </c>
      <c r="BL17" s="329">
        <f t="shared" si="111"/>
        <v>2852738.7943103919</v>
      </c>
      <c r="BM17" s="329">
        <f t="shared" si="111"/>
        <v>3027375.1427791417</v>
      </c>
      <c r="BN17" s="329">
        <f t="shared" si="111"/>
        <v>2935986.4162478917</v>
      </c>
      <c r="BO17" s="329">
        <f t="shared" si="111"/>
        <v>3132212.6897166418</v>
      </c>
      <c r="BP17" s="329">
        <f t="shared" si="111"/>
        <v>3305724.0381853916</v>
      </c>
      <c r="BQ17" s="329">
        <f t="shared" si="111"/>
        <v>3480360.3866541414</v>
      </c>
      <c r="BR17" s="329">
        <f t="shared" si="111"/>
        <v>3654996.7351228911</v>
      </c>
      <c r="BS17" s="623"/>
      <c r="BT17" s="329">
        <f t="shared" si="111"/>
        <v>3130869.4186034631</v>
      </c>
      <c r="BU17" s="329">
        <f t="shared" si="111"/>
        <v>3292307.3918809318</v>
      </c>
      <c r="BV17" s="329">
        <f t="shared" si="111"/>
        <v>3466742.8400645256</v>
      </c>
      <c r="BW17" s="329">
        <f t="shared" si="111"/>
        <v>3636543.2882481194</v>
      </c>
      <c r="BX17" s="329">
        <f t="shared" si="111"/>
        <v>3810978.7364317132</v>
      </c>
      <c r="BY17" s="329">
        <f t="shared" si="111"/>
        <v>3985414.184615307</v>
      </c>
      <c r="BZ17" s="329">
        <f t="shared" ref="BZ17:EE17" si="123">BZ11+BZ12+BZ16</f>
        <v>4159849.6327989008</v>
      </c>
      <c r="CA17" s="329">
        <f t="shared" si="123"/>
        <v>3536209.8559824945</v>
      </c>
      <c r="CB17" s="329">
        <f t="shared" si="123"/>
        <v>3816980.0791660883</v>
      </c>
      <c r="CC17" s="329">
        <f t="shared" si="123"/>
        <v>3988115.5273496821</v>
      </c>
      <c r="CD17" s="329">
        <f t="shared" si="123"/>
        <v>4162550.9755332759</v>
      </c>
      <c r="CE17" s="329">
        <f t="shared" si="123"/>
        <v>4336986.4237168692</v>
      </c>
      <c r="CF17" s="623"/>
      <c r="CG17" s="329">
        <f t="shared" si="123"/>
        <v>3412981.400474574</v>
      </c>
      <c r="CH17" s="329">
        <f t="shared" si="123"/>
        <v>3308142.4065909302</v>
      </c>
      <c r="CI17" s="329">
        <f t="shared" si="123"/>
        <v>3517820.8749879422</v>
      </c>
      <c r="CJ17" s="329">
        <f t="shared" si="123"/>
        <v>3677074.4183849539</v>
      </c>
      <c r="CK17" s="329">
        <f t="shared" si="123"/>
        <v>3851307.9617819656</v>
      </c>
      <c r="CL17" s="329">
        <f t="shared" si="123"/>
        <v>4025541.5051789773</v>
      </c>
      <c r="CM17" s="329">
        <f t="shared" si="123"/>
        <v>4199775.048575989</v>
      </c>
      <c r="CN17" s="329">
        <f t="shared" si="123"/>
        <v>4374008.5919730011</v>
      </c>
      <c r="CO17" s="329">
        <f t="shared" si="123"/>
        <v>4543607.1353700124</v>
      </c>
      <c r="CP17" s="329">
        <f t="shared" si="123"/>
        <v>4717840.6787670245</v>
      </c>
      <c r="CQ17" s="329">
        <f t="shared" si="123"/>
        <v>4892074.2221640367</v>
      </c>
      <c r="CR17" s="329">
        <f t="shared" si="123"/>
        <v>5066307.7655610489</v>
      </c>
      <c r="CS17" s="623"/>
      <c r="CT17" s="329">
        <f t="shared" si="123"/>
        <v>3695093.3823456867</v>
      </c>
      <c r="CU17" s="329">
        <f t="shared" si="123"/>
        <v>3057951.0868401248</v>
      </c>
      <c r="CV17" s="329">
        <f t="shared" si="123"/>
        <v>3338316.4909266215</v>
      </c>
      <c r="CW17" s="329">
        <f t="shared" si="123"/>
        <v>3509047.1200131183</v>
      </c>
      <c r="CX17" s="329">
        <f t="shared" si="123"/>
        <v>3683077.749099615</v>
      </c>
      <c r="CY17" s="329">
        <f t="shared" si="123"/>
        <v>3857108.3781861118</v>
      </c>
      <c r="CZ17" s="329">
        <f t="shared" si="123"/>
        <v>4031139.0072726086</v>
      </c>
      <c r="DA17" s="329">
        <f t="shared" si="123"/>
        <v>3939144.5613591056</v>
      </c>
      <c r="DB17" s="329">
        <f t="shared" si="123"/>
        <v>4134765.1154456027</v>
      </c>
      <c r="DC17" s="329">
        <f t="shared" si="123"/>
        <v>4307670.744532099</v>
      </c>
      <c r="DD17" s="329">
        <f t="shared" si="123"/>
        <v>4481701.3736185953</v>
      </c>
      <c r="DE17" s="329">
        <f t="shared" si="123"/>
        <v>4655732.0027050916</v>
      </c>
      <c r="DF17" s="623"/>
      <c r="DG17" s="329">
        <f t="shared" si="123"/>
        <v>3977205.3642167971</v>
      </c>
      <c r="DH17" s="329">
        <f t="shared" si="123"/>
        <v>4137883.8763312073</v>
      </c>
      <c r="DI17" s="329">
        <f t="shared" si="123"/>
        <v>4307075.5765356366</v>
      </c>
      <c r="DJ17" s="329">
        <f t="shared" si="123"/>
        <v>4480902.2767400658</v>
      </c>
      <c r="DK17" s="329">
        <f t="shared" si="123"/>
        <v>4654728.976944495</v>
      </c>
      <c r="DL17" s="329">
        <f t="shared" si="123"/>
        <v>4828555.6771489242</v>
      </c>
      <c r="DM17" s="329">
        <f t="shared" si="123"/>
        <v>5002382.3773533534</v>
      </c>
      <c r="DN17" s="329">
        <f t="shared" si="123"/>
        <v>4378133.8525577821</v>
      </c>
      <c r="DO17" s="329">
        <f t="shared" si="123"/>
        <v>4658295.3277622117</v>
      </c>
      <c r="DP17" s="329">
        <f t="shared" si="123"/>
        <v>4828822.0279666409</v>
      </c>
      <c r="DQ17" s="329">
        <f t="shared" si="123"/>
        <v>5002648.7281710701</v>
      </c>
      <c r="DR17" s="329">
        <f t="shared" si="123"/>
        <v>5176475.4283754993</v>
      </c>
      <c r="DS17" s="623"/>
      <c r="DT17" s="329">
        <f t="shared" si="123"/>
        <v>4259317.3460879074</v>
      </c>
      <c r="DU17" s="329">
        <f t="shared" si="123"/>
        <v>4153715.0937353894</v>
      </c>
      <c r="DV17" s="329">
        <f t="shared" si="123"/>
        <v>4348926.770413341</v>
      </c>
      <c r="DW17" s="329">
        <f t="shared" si="123"/>
        <v>4521423.5220912918</v>
      </c>
      <c r="DX17" s="329">
        <f t="shared" si="123"/>
        <v>4695045.2737692436</v>
      </c>
      <c r="DY17" s="329">
        <f t="shared" si="123"/>
        <v>4868667.0254471954</v>
      </c>
      <c r="DZ17" s="329">
        <f t="shared" si="123"/>
        <v>5042288.7771251472</v>
      </c>
      <c r="EA17" s="329">
        <f t="shared" si="123"/>
        <v>5215910.5288030989</v>
      </c>
      <c r="EB17" s="329">
        <f t="shared" si="123"/>
        <v>5384897.2804810507</v>
      </c>
      <c r="EC17" s="329">
        <f t="shared" si="123"/>
        <v>5558519.0321590025</v>
      </c>
      <c r="ED17" s="329">
        <f t="shared" si="123"/>
        <v>5732140.7838369543</v>
      </c>
      <c r="EE17" s="329">
        <f t="shared" si="123"/>
        <v>6262762.535514906</v>
      </c>
      <c r="EF17" s="623"/>
    </row>
    <row r="18" spans="3:136" x14ac:dyDescent="0.35">
      <c r="E18" s="177" t="s">
        <v>524</v>
      </c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623"/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623"/>
      <c r="AG18" s="330"/>
      <c r="AH18" s="330"/>
      <c r="AI18" s="330"/>
      <c r="AJ18" s="330"/>
      <c r="AK18" s="330"/>
      <c r="AL18" s="330"/>
      <c r="AM18" s="330"/>
      <c r="AN18" s="330"/>
      <c r="AO18" s="330"/>
      <c r="AP18" s="330"/>
      <c r="AQ18" s="330"/>
      <c r="AR18" s="330"/>
      <c r="AS18" s="623"/>
      <c r="AT18" s="330"/>
      <c r="AU18" s="330"/>
      <c r="AV18" s="330"/>
      <c r="AW18" s="330"/>
      <c r="AX18" s="330"/>
      <c r="AY18" s="330"/>
      <c r="AZ18" s="330"/>
      <c r="BA18" s="330"/>
      <c r="BB18" s="330"/>
      <c r="BC18" s="330"/>
      <c r="BD18" s="330"/>
      <c r="BE18" s="330"/>
      <c r="BF18" s="623"/>
      <c r="BG18" s="330"/>
      <c r="BH18" s="330"/>
      <c r="BI18" s="330"/>
      <c r="BJ18" s="330"/>
      <c r="BK18" s="330"/>
      <c r="BL18" s="330"/>
      <c r="BM18" s="330"/>
      <c r="BN18" s="330"/>
      <c r="BO18" s="330"/>
      <c r="BP18" s="330"/>
      <c r="BQ18" s="330"/>
      <c r="BR18" s="330"/>
      <c r="BS18" s="623"/>
      <c r="BT18" s="330"/>
      <c r="BU18" s="330"/>
      <c r="BV18" s="330"/>
      <c r="BW18" s="330"/>
      <c r="BX18" s="330"/>
      <c r="BY18" s="330"/>
      <c r="BZ18" s="330"/>
      <c r="CA18" s="330"/>
      <c r="CB18" s="330"/>
      <c r="CC18" s="330"/>
      <c r="CD18" s="330"/>
      <c r="CE18" s="330"/>
      <c r="CF18" s="623"/>
      <c r="CG18" s="330"/>
      <c r="CH18" s="330"/>
      <c r="CI18" s="330"/>
      <c r="CJ18" s="330"/>
      <c r="CK18" s="330"/>
      <c r="CL18" s="330"/>
      <c r="CM18" s="330"/>
      <c r="CN18" s="330"/>
      <c r="CO18" s="330"/>
      <c r="CP18" s="330"/>
      <c r="CQ18" s="330"/>
      <c r="CR18" s="330"/>
      <c r="CS18" s="623"/>
      <c r="CT18" s="330"/>
      <c r="CU18" s="330"/>
      <c r="CV18" s="330"/>
      <c r="CW18" s="330"/>
      <c r="CX18" s="330"/>
      <c r="CY18" s="330"/>
      <c r="CZ18" s="330"/>
      <c r="DA18" s="330"/>
      <c r="DB18" s="330"/>
      <c r="DC18" s="330"/>
      <c r="DD18" s="330"/>
      <c r="DE18" s="330"/>
      <c r="DF18" s="623"/>
      <c r="DG18" s="330"/>
      <c r="DH18" s="330"/>
      <c r="DI18" s="330"/>
      <c r="DJ18" s="330"/>
      <c r="DK18" s="330"/>
      <c r="DL18" s="330"/>
      <c r="DM18" s="330"/>
      <c r="DN18" s="330"/>
      <c r="DO18" s="330"/>
      <c r="DP18" s="330"/>
      <c r="DQ18" s="330"/>
      <c r="DR18" s="330"/>
      <c r="DS18" s="623"/>
      <c r="DT18" s="330"/>
      <c r="DU18" s="330"/>
      <c r="DV18" s="330"/>
      <c r="DW18" s="330"/>
      <c r="DX18" s="330"/>
      <c r="DY18" s="330"/>
      <c r="DZ18" s="330"/>
      <c r="EA18" s="330"/>
      <c r="EB18" s="330"/>
      <c r="EC18" s="330"/>
      <c r="ED18" s="330"/>
      <c r="EE18" s="330"/>
      <c r="EF18" s="623"/>
    </row>
    <row r="19" spans="3:136" x14ac:dyDescent="0.35">
      <c r="C19" s="123">
        <f>SUM(G19:R19)</f>
        <v>994094.13625000021</v>
      </c>
      <c r="E19" s="15" t="s">
        <v>9</v>
      </c>
      <c r="F19" s="4" t="s">
        <v>1164</v>
      </c>
      <c r="G19" s="328">
        <f>VariableCost!I63</f>
        <v>268395.07499999995</v>
      </c>
      <c r="H19" s="328">
        <f>VariableCost!J63</f>
        <v>55425.074999999997</v>
      </c>
      <c r="I19" s="328">
        <f>VariableCost!K63</f>
        <v>67576.398625000002</v>
      </c>
      <c r="J19" s="328">
        <f>VariableCost!L63</f>
        <v>66451.398625000002</v>
      </c>
      <c r="K19" s="328">
        <f>VariableCost!M63</f>
        <v>66451.398625000002</v>
      </c>
      <c r="L19" s="328">
        <f>VariableCost!N63</f>
        <v>66451.398625000002</v>
      </c>
      <c r="M19" s="328">
        <f>VariableCost!O63</f>
        <v>66451.398625000002</v>
      </c>
      <c r="N19" s="328">
        <f>VariableCost!P63</f>
        <v>71086.398625000002</v>
      </c>
      <c r="O19" s="328">
        <f>VariableCost!Q63</f>
        <v>66451.398625000002</v>
      </c>
      <c r="P19" s="328">
        <f>VariableCost!R63</f>
        <v>66451.398625000002</v>
      </c>
      <c r="Q19" s="328">
        <f>VariableCost!S63</f>
        <v>66451.398625000002</v>
      </c>
      <c r="R19" s="328">
        <f>VariableCost!T63</f>
        <v>66451.398625000002</v>
      </c>
      <c r="S19" s="623"/>
      <c r="T19" s="328">
        <f>VariableCost!W63</f>
        <v>872386.62362499989</v>
      </c>
      <c r="U19" s="328">
        <f>VariableCost!X63</f>
        <v>232726.62362500001</v>
      </c>
      <c r="V19" s="328">
        <f>VariableCost!Y63</f>
        <v>269104.59450000001</v>
      </c>
      <c r="W19" s="328">
        <f>VariableCost!Z63</f>
        <v>265804.59450000001</v>
      </c>
      <c r="X19" s="328">
        <f>VariableCost!AA63</f>
        <v>265804.59450000001</v>
      </c>
      <c r="Y19" s="328">
        <f>VariableCost!AB63</f>
        <v>265804.59450000001</v>
      </c>
      <c r="Z19" s="328">
        <f>VariableCost!AC63</f>
        <v>531829.66950000008</v>
      </c>
      <c r="AA19" s="328">
        <f>VariableCost!AD63</f>
        <v>333464.66949999996</v>
      </c>
      <c r="AB19" s="328">
        <f>VariableCost!AE63</f>
        <v>266929.59450000001</v>
      </c>
      <c r="AC19" s="328">
        <f>VariableCost!AF63</f>
        <v>265804.59450000001</v>
      </c>
      <c r="AD19" s="328">
        <f>VariableCost!AG63</f>
        <v>265804.59450000001</v>
      </c>
      <c r="AE19" s="328">
        <f>VariableCost!AH63</f>
        <v>265804.59450000001</v>
      </c>
      <c r="AF19" s="623"/>
      <c r="AG19" s="328">
        <f>VariableCost!AK63</f>
        <v>268804.59450000001</v>
      </c>
      <c r="AH19" s="328">
        <f>VariableCost!AL63</f>
        <v>270439.59450000001</v>
      </c>
      <c r="AI19" s="328">
        <f>VariableCost!AM63</f>
        <v>265804.59450000001</v>
      </c>
      <c r="AJ19" s="328">
        <f>VariableCost!AN63</f>
        <v>265804.59450000001</v>
      </c>
      <c r="AK19" s="328">
        <f>VariableCost!AO63</f>
        <v>265804.59450000001</v>
      </c>
      <c r="AL19" s="328">
        <f>VariableCost!AP63</f>
        <v>265804.59450000001</v>
      </c>
      <c r="AM19" s="328">
        <f>VariableCost!AQ63</f>
        <v>1063879.8195</v>
      </c>
      <c r="AN19" s="328">
        <f>VariableCost!AR63</f>
        <v>427219.81949999998</v>
      </c>
      <c r="AO19" s="328">
        <f>VariableCost!AS63</f>
        <v>269104.59450000001</v>
      </c>
      <c r="AP19" s="328">
        <f>VariableCost!AT63</f>
        <v>265804.59450000001</v>
      </c>
      <c r="AQ19" s="328">
        <f>VariableCost!AU63</f>
        <v>265804.59450000001</v>
      </c>
      <c r="AR19" s="328">
        <f>VariableCost!AV63</f>
        <v>265804.59450000001</v>
      </c>
      <c r="AS19" s="623"/>
      <c r="AT19" s="328">
        <f>VariableCost!AY63</f>
        <v>534829.66950000008</v>
      </c>
      <c r="AU19" s="328">
        <f>VariableCost!AZ63</f>
        <v>333464.66949999996</v>
      </c>
      <c r="AV19" s="328">
        <f>VariableCost!BA63</f>
        <v>266929.59450000001</v>
      </c>
      <c r="AW19" s="328">
        <f>VariableCost!BB63</f>
        <v>265804.59450000001</v>
      </c>
      <c r="AX19" s="328">
        <f>VariableCost!BC63</f>
        <v>265804.59450000001</v>
      </c>
      <c r="AY19" s="328">
        <f>VariableCost!BD63</f>
        <v>265804.59450000001</v>
      </c>
      <c r="AZ19" s="328">
        <f>VariableCost!BE63</f>
        <v>265804.59450000001</v>
      </c>
      <c r="BA19" s="328">
        <f>VariableCost!BF63</f>
        <v>270439.59450000001</v>
      </c>
      <c r="BB19" s="328">
        <f>VariableCost!BG63</f>
        <v>265804.59450000001</v>
      </c>
      <c r="BC19" s="328">
        <f>VariableCost!BH63</f>
        <v>265804.59450000001</v>
      </c>
      <c r="BD19" s="328">
        <f>VariableCost!BI63</f>
        <v>265804.59450000001</v>
      </c>
      <c r="BE19" s="328">
        <f>VariableCost!BJ63</f>
        <v>265804.59450000001</v>
      </c>
      <c r="BF19" s="623"/>
      <c r="BG19" s="328">
        <f>VariableCost!BM63</f>
        <v>1066879.8195</v>
      </c>
      <c r="BH19" s="328">
        <f>VariableCost!BN63</f>
        <v>427219.81949999998</v>
      </c>
      <c r="BI19" s="328">
        <f>VariableCost!BO63</f>
        <v>269104.59450000001</v>
      </c>
      <c r="BJ19" s="328">
        <f>VariableCost!BP63</f>
        <v>265804.59450000001</v>
      </c>
      <c r="BK19" s="328">
        <f>VariableCost!BQ63</f>
        <v>265804.59450000001</v>
      </c>
      <c r="BL19" s="328">
        <f>VariableCost!BR63</f>
        <v>265804.59450000001</v>
      </c>
      <c r="BM19" s="328">
        <f>VariableCost!BS63</f>
        <v>531829.66950000008</v>
      </c>
      <c r="BN19" s="328">
        <f>VariableCost!BT63</f>
        <v>333464.66949999996</v>
      </c>
      <c r="BO19" s="328">
        <f>VariableCost!BU63</f>
        <v>266929.59450000001</v>
      </c>
      <c r="BP19" s="328">
        <f>VariableCost!BV63</f>
        <v>265804.59450000001</v>
      </c>
      <c r="BQ19" s="328">
        <f>VariableCost!BW63</f>
        <v>265804.59450000001</v>
      </c>
      <c r="BR19" s="328">
        <f>VariableCost!BX63</f>
        <v>265804.59450000001</v>
      </c>
      <c r="BS19" s="623"/>
      <c r="BT19" s="328">
        <f>VariableCost!CA63</f>
        <v>268804.59450000001</v>
      </c>
      <c r="BU19" s="328">
        <f>VariableCost!CB63</f>
        <v>265804.59450000001</v>
      </c>
      <c r="BV19" s="328">
        <f>VariableCost!CC63</f>
        <v>270439.59450000001</v>
      </c>
      <c r="BW19" s="328">
        <f>VariableCost!CD63</f>
        <v>265804.59450000001</v>
      </c>
      <c r="BX19" s="328">
        <f>VariableCost!CE63</f>
        <v>265804.59450000001</v>
      </c>
      <c r="BY19" s="328">
        <f>VariableCost!CF63</f>
        <v>265804.59450000001</v>
      </c>
      <c r="BZ19" s="328">
        <f>VariableCost!CG63</f>
        <v>1063879.8195</v>
      </c>
      <c r="CA19" s="328">
        <f>VariableCost!CH63</f>
        <v>427219.81949999998</v>
      </c>
      <c r="CB19" s="328">
        <f>VariableCost!CI63</f>
        <v>269104.59450000001</v>
      </c>
      <c r="CC19" s="328">
        <f>VariableCost!CJ63</f>
        <v>265804.59450000001</v>
      </c>
      <c r="CD19" s="328">
        <f>VariableCost!CK63</f>
        <v>265804.59450000001</v>
      </c>
      <c r="CE19" s="328">
        <f>VariableCost!CL63</f>
        <v>265804.59450000001</v>
      </c>
      <c r="CF19" s="623"/>
      <c r="CG19" s="328">
        <f>VariableCost!CO63</f>
        <v>534829.66950000008</v>
      </c>
      <c r="CH19" s="328">
        <f>VariableCost!CP63</f>
        <v>319609.66949999996</v>
      </c>
      <c r="CI19" s="328">
        <f>VariableCost!CQ63</f>
        <v>280784.59450000001</v>
      </c>
      <c r="CJ19" s="328">
        <f>VariableCost!CR63</f>
        <v>265804.59450000001</v>
      </c>
      <c r="CK19" s="328">
        <f>VariableCost!CS63</f>
        <v>265804.59450000001</v>
      </c>
      <c r="CL19" s="328">
        <f>VariableCost!CT63</f>
        <v>265804.59450000001</v>
      </c>
      <c r="CM19" s="328">
        <f>VariableCost!CU63</f>
        <v>265804.59450000001</v>
      </c>
      <c r="CN19" s="328">
        <f>VariableCost!CV63</f>
        <v>270439.59450000001</v>
      </c>
      <c r="CO19" s="328">
        <f>VariableCost!CW63</f>
        <v>265804.59450000001</v>
      </c>
      <c r="CP19" s="328">
        <f>VariableCost!CX63</f>
        <v>265804.59450000001</v>
      </c>
      <c r="CQ19" s="328">
        <f>VariableCost!CY63</f>
        <v>265804.59450000001</v>
      </c>
      <c r="CR19" s="328">
        <f>VariableCost!CZ63</f>
        <v>265804.59450000001</v>
      </c>
      <c r="CS19" s="623"/>
      <c r="CT19" s="328">
        <f>VariableCost!DC63</f>
        <v>1066879.8195</v>
      </c>
      <c r="CU19" s="328">
        <f>VariableCost!DD63</f>
        <v>427219.81949999998</v>
      </c>
      <c r="CV19" s="328">
        <f>VariableCost!DE63</f>
        <v>269104.59450000001</v>
      </c>
      <c r="CW19" s="328">
        <f>VariableCost!DF63</f>
        <v>265804.59450000001</v>
      </c>
      <c r="CX19" s="328">
        <f>VariableCost!DG63</f>
        <v>265804.59450000001</v>
      </c>
      <c r="CY19" s="328">
        <f>VariableCost!DH63</f>
        <v>265804.59450000001</v>
      </c>
      <c r="CZ19" s="328">
        <f>VariableCost!DI63</f>
        <v>531829.66950000008</v>
      </c>
      <c r="DA19" s="328">
        <f>VariableCost!DJ63</f>
        <v>333464.66949999996</v>
      </c>
      <c r="DB19" s="328">
        <f>VariableCost!DK63</f>
        <v>266929.59450000001</v>
      </c>
      <c r="DC19" s="328">
        <f>VariableCost!DL63</f>
        <v>265804.59450000001</v>
      </c>
      <c r="DD19" s="328">
        <f>VariableCost!DM63</f>
        <v>265804.59450000001</v>
      </c>
      <c r="DE19" s="328">
        <f>VariableCost!DN63</f>
        <v>265804.59450000001</v>
      </c>
      <c r="DF19" s="623"/>
      <c r="DG19" s="328">
        <f>VariableCost!DQ63</f>
        <v>268804.59450000001</v>
      </c>
      <c r="DH19" s="328">
        <f>VariableCost!DR63</f>
        <v>270439.59450000001</v>
      </c>
      <c r="DI19" s="328">
        <f>VariableCost!DS63</f>
        <v>265804.59450000001</v>
      </c>
      <c r="DJ19" s="328">
        <f>VariableCost!DT63</f>
        <v>265804.59450000001</v>
      </c>
      <c r="DK19" s="328">
        <f>VariableCost!DU63</f>
        <v>265804.59450000001</v>
      </c>
      <c r="DL19" s="328">
        <f>VariableCost!DV63</f>
        <v>265804.59450000001</v>
      </c>
      <c r="DM19" s="328">
        <f>VariableCost!DW63</f>
        <v>1063879.8195</v>
      </c>
      <c r="DN19" s="328">
        <f>VariableCost!DX63</f>
        <v>427219.81949999998</v>
      </c>
      <c r="DO19" s="328">
        <f>VariableCost!DY63</f>
        <v>269104.59450000001</v>
      </c>
      <c r="DP19" s="328">
        <f>VariableCost!DZ63</f>
        <v>265804.59450000001</v>
      </c>
      <c r="DQ19" s="328">
        <f>VariableCost!EA63</f>
        <v>265804.59450000001</v>
      </c>
      <c r="DR19" s="328">
        <f>VariableCost!EB63</f>
        <v>265804.59450000001</v>
      </c>
      <c r="DS19" s="623"/>
      <c r="DT19" s="328">
        <f>VariableCost!EE63</f>
        <v>534829.66950000008</v>
      </c>
      <c r="DU19" s="328">
        <f>VariableCost!EF63</f>
        <v>333464.66949999996</v>
      </c>
      <c r="DV19" s="328">
        <f>VariableCost!EG63</f>
        <v>266929.59450000001</v>
      </c>
      <c r="DW19" s="328">
        <f>VariableCost!EH63</f>
        <v>265804.59450000001</v>
      </c>
      <c r="DX19" s="328">
        <f>VariableCost!EI63</f>
        <v>265804.59450000001</v>
      </c>
      <c r="DY19" s="328">
        <f>VariableCost!EJ63</f>
        <v>265804.59450000001</v>
      </c>
      <c r="DZ19" s="328">
        <f>VariableCost!EK63</f>
        <v>265804.59450000001</v>
      </c>
      <c r="EA19" s="328">
        <f>VariableCost!EL63</f>
        <v>270439.59450000001</v>
      </c>
      <c r="EB19" s="328">
        <f>VariableCost!EM63</f>
        <v>265804.59450000001</v>
      </c>
      <c r="EC19" s="328">
        <f>VariableCost!EN63</f>
        <v>265804.59450000001</v>
      </c>
      <c r="ED19" s="328">
        <f>VariableCost!EO63</f>
        <v>265804.59450000001</v>
      </c>
      <c r="EE19" s="328">
        <f>VariableCost!EP63</f>
        <v>265804.59450000001</v>
      </c>
      <c r="EF19" s="623"/>
    </row>
    <row r="20" spans="3:136" x14ac:dyDescent="0.35">
      <c r="E20" s="15" t="s">
        <v>10</v>
      </c>
      <c r="F20" s="4" t="s">
        <v>890</v>
      </c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623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623"/>
      <c r="AG20" s="328"/>
      <c r="AH20" s="328"/>
      <c r="AI20" s="328"/>
      <c r="AJ20" s="328"/>
      <c r="AK20" s="328"/>
      <c r="AL20" s="328"/>
      <c r="AM20" s="328"/>
      <c r="AN20" s="328"/>
      <c r="AO20" s="328"/>
      <c r="AP20" s="328"/>
      <c r="AQ20" s="328"/>
      <c r="AR20" s="328"/>
      <c r="AS20" s="623"/>
      <c r="AT20" s="328"/>
      <c r="AU20" s="328"/>
      <c r="AV20" s="328"/>
      <c r="AW20" s="328"/>
      <c r="AX20" s="328"/>
      <c r="AY20" s="328"/>
      <c r="AZ20" s="328"/>
      <c r="BA20" s="328"/>
      <c r="BB20" s="328"/>
      <c r="BC20" s="328"/>
      <c r="BD20" s="328"/>
      <c r="BE20" s="328"/>
      <c r="BF20" s="623"/>
      <c r="BG20" s="328"/>
      <c r="BH20" s="328"/>
      <c r="BI20" s="328"/>
      <c r="BJ20" s="328"/>
      <c r="BK20" s="328"/>
      <c r="BL20" s="328"/>
      <c r="BM20" s="328"/>
      <c r="BN20" s="328"/>
      <c r="BO20" s="328"/>
      <c r="BP20" s="328"/>
      <c r="BQ20" s="328"/>
      <c r="BR20" s="328"/>
      <c r="BS20" s="623"/>
      <c r="BT20" s="328"/>
      <c r="BU20" s="328"/>
      <c r="BV20" s="328"/>
      <c r="BW20" s="328"/>
      <c r="BX20" s="328"/>
      <c r="BY20" s="328"/>
      <c r="BZ20" s="328"/>
      <c r="CA20" s="328"/>
      <c r="CB20" s="328"/>
      <c r="CC20" s="328"/>
      <c r="CD20" s="328"/>
      <c r="CE20" s="328"/>
      <c r="CF20" s="623"/>
      <c r="CG20" s="328"/>
      <c r="CH20" s="328"/>
      <c r="CI20" s="328"/>
      <c r="CJ20" s="328"/>
      <c r="CK20" s="328"/>
      <c r="CL20" s="328"/>
      <c r="CM20" s="328"/>
      <c r="CN20" s="328"/>
      <c r="CO20" s="328"/>
      <c r="CP20" s="328"/>
      <c r="CQ20" s="328"/>
      <c r="CR20" s="328"/>
      <c r="CS20" s="623"/>
      <c r="CT20" s="328"/>
      <c r="CU20" s="328"/>
      <c r="CV20" s="328"/>
      <c r="CW20" s="328"/>
      <c r="CX20" s="328"/>
      <c r="CY20" s="328"/>
      <c r="CZ20" s="328"/>
      <c r="DA20" s="328"/>
      <c r="DB20" s="328"/>
      <c r="DC20" s="328"/>
      <c r="DD20" s="328"/>
      <c r="DE20" s="328"/>
      <c r="DF20" s="623"/>
      <c r="DG20" s="328"/>
      <c r="DH20" s="328"/>
      <c r="DI20" s="328"/>
      <c r="DJ20" s="328"/>
      <c r="DK20" s="328"/>
      <c r="DL20" s="328"/>
      <c r="DM20" s="328"/>
      <c r="DN20" s="328"/>
      <c r="DO20" s="328"/>
      <c r="DP20" s="328"/>
      <c r="DQ20" s="328"/>
      <c r="DR20" s="328"/>
      <c r="DS20" s="623"/>
      <c r="DT20" s="328"/>
      <c r="DU20" s="328"/>
      <c r="DV20" s="328"/>
      <c r="DW20" s="328"/>
      <c r="DX20" s="328"/>
      <c r="DY20" s="328"/>
      <c r="DZ20" s="328"/>
      <c r="EA20" s="328"/>
      <c r="EB20" s="328"/>
      <c r="EC20" s="328"/>
      <c r="ED20" s="328"/>
      <c r="EE20" s="328"/>
      <c r="EF20" s="623"/>
    </row>
    <row r="21" spans="3:136" x14ac:dyDescent="0.35">
      <c r="F21" s="12" t="s">
        <v>891</v>
      </c>
      <c r="G21" s="328">
        <f>PlantOVH!J9/12</f>
        <v>8125</v>
      </c>
      <c r="H21" s="328">
        <f>G21</f>
        <v>8125</v>
      </c>
      <c r="I21" s="328">
        <f t="shared" ref="I21:R21" si="124">H21</f>
        <v>8125</v>
      </c>
      <c r="J21" s="328">
        <f t="shared" si="124"/>
        <v>8125</v>
      </c>
      <c r="K21" s="328">
        <f t="shared" si="124"/>
        <v>8125</v>
      </c>
      <c r="L21" s="328">
        <f t="shared" si="124"/>
        <v>8125</v>
      </c>
      <c r="M21" s="328">
        <f t="shared" si="124"/>
        <v>8125</v>
      </c>
      <c r="N21" s="328">
        <f t="shared" si="124"/>
        <v>8125</v>
      </c>
      <c r="O21" s="328">
        <f t="shared" si="124"/>
        <v>8125</v>
      </c>
      <c r="P21" s="328">
        <f t="shared" si="124"/>
        <v>8125</v>
      </c>
      <c r="Q21" s="328">
        <f t="shared" si="124"/>
        <v>8125</v>
      </c>
      <c r="R21" s="328">
        <f t="shared" si="124"/>
        <v>8125</v>
      </c>
      <c r="S21" s="623"/>
      <c r="T21" s="328">
        <f>PlantOVH!J10/12</f>
        <v>29791.666666666668</v>
      </c>
      <c r="U21" s="328">
        <f>T21</f>
        <v>29791.666666666668</v>
      </c>
      <c r="V21" s="328">
        <f t="shared" ref="V21:AD21" si="125">U21</f>
        <v>29791.666666666668</v>
      </c>
      <c r="W21" s="328">
        <f t="shared" si="125"/>
        <v>29791.666666666668</v>
      </c>
      <c r="X21" s="328">
        <f t="shared" si="125"/>
        <v>29791.666666666668</v>
      </c>
      <c r="Y21" s="328">
        <f t="shared" si="125"/>
        <v>29791.666666666668</v>
      </c>
      <c r="Z21" s="328">
        <f t="shared" si="125"/>
        <v>29791.666666666668</v>
      </c>
      <c r="AA21" s="328">
        <f t="shared" si="125"/>
        <v>29791.666666666668</v>
      </c>
      <c r="AB21" s="328">
        <f t="shared" si="125"/>
        <v>29791.666666666668</v>
      </c>
      <c r="AC21" s="328">
        <f t="shared" si="125"/>
        <v>29791.666666666668</v>
      </c>
      <c r="AD21" s="328">
        <f t="shared" si="125"/>
        <v>29791.666666666668</v>
      </c>
      <c r="AE21" s="328">
        <f>AD21</f>
        <v>29791.666666666668</v>
      </c>
      <c r="AF21" s="623"/>
      <c r="AG21" s="328">
        <f>PlantOVH!J11/12</f>
        <v>29940.624999999996</v>
      </c>
      <c r="AH21" s="328">
        <f>AG21</f>
        <v>29940.624999999996</v>
      </c>
      <c r="AI21" s="328">
        <f t="shared" ref="AI21:AR21" si="126">AH21</f>
        <v>29940.624999999996</v>
      </c>
      <c r="AJ21" s="328">
        <f t="shared" si="126"/>
        <v>29940.624999999996</v>
      </c>
      <c r="AK21" s="328">
        <f t="shared" si="126"/>
        <v>29940.624999999996</v>
      </c>
      <c r="AL21" s="328">
        <f t="shared" si="126"/>
        <v>29940.624999999996</v>
      </c>
      <c r="AM21" s="328">
        <f t="shared" si="126"/>
        <v>29940.624999999996</v>
      </c>
      <c r="AN21" s="328">
        <f t="shared" si="126"/>
        <v>29940.624999999996</v>
      </c>
      <c r="AO21" s="328">
        <f t="shared" si="126"/>
        <v>29940.624999999996</v>
      </c>
      <c r="AP21" s="328">
        <f t="shared" si="126"/>
        <v>29940.624999999996</v>
      </c>
      <c r="AQ21" s="328">
        <f t="shared" si="126"/>
        <v>29940.624999999996</v>
      </c>
      <c r="AR21" s="328">
        <f t="shared" si="126"/>
        <v>29940.624999999996</v>
      </c>
      <c r="AS21" s="623"/>
      <c r="AT21" s="328">
        <f>PlantOVH!J12/12</f>
        <v>30090.328124999989</v>
      </c>
      <c r="AU21" s="328">
        <f>AT21</f>
        <v>30090.328124999989</v>
      </c>
      <c r="AV21" s="328">
        <f t="shared" ref="AV21:BE21" si="127">AU21</f>
        <v>30090.328124999989</v>
      </c>
      <c r="AW21" s="328">
        <f t="shared" si="127"/>
        <v>30090.328124999989</v>
      </c>
      <c r="AX21" s="328">
        <f t="shared" si="127"/>
        <v>30090.328124999989</v>
      </c>
      <c r="AY21" s="328">
        <f t="shared" si="127"/>
        <v>30090.328124999989</v>
      </c>
      <c r="AZ21" s="328">
        <f t="shared" si="127"/>
        <v>30090.328124999989</v>
      </c>
      <c r="BA21" s="328">
        <f t="shared" si="127"/>
        <v>30090.328124999989</v>
      </c>
      <c r="BB21" s="328">
        <f t="shared" si="127"/>
        <v>30090.328124999989</v>
      </c>
      <c r="BC21" s="328">
        <f t="shared" si="127"/>
        <v>30090.328124999989</v>
      </c>
      <c r="BD21" s="328">
        <f t="shared" si="127"/>
        <v>30090.328124999989</v>
      </c>
      <c r="BE21" s="328">
        <f t="shared" si="127"/>
        <v>30090.328124999989</v>
      </c>
      <c r="BF21" s="623"/>
      <c r="BG21" s="328">
        <f>PlantOVH!J13/12</f>
        <v>30240.779765624986</v>
      </c>
      <c r="BH21" s="328">
        <f>BG21</f>
        <v>30240.779765624986</v>
      </c>
      <c r="BI21" s="328">
        <f t="shared" ref="BI21:BQ21" si="128">BH21</f>
        <v>30240.779765624986</v>
      </c>
      <c r="BJ21" s="328">
        <f t="shared" si="128"/>
        <v>30240.779765624986</v>
      </c>
      <c r="BK21" s="328">
        <f t="shared" si="128"/>
        <v>30240.779765624986</v>
      </c>
      <c r="BL21" s="328">
        <f t="shared" si="128"/>
        <v>30240.779765624986</v>
      </c>
      <c r="BM21" s="328">
        <f t="shared" si="128"/>
        <v>30240.779765624986</v>
      </c>
      <c r="BN21" s="328">
        <f t="shared" si="128"/>
        <v>30240.779765624986</v>
      </c>
      <c r="BO21" s="328">
        <f t="shared" si="128"/>
        <v>30240.779765624986</v>
      </c>
      <c r="BP21" s="328">
        <f t="shared" si="128"/>
        <v>30240.779765624986</v>
      </c>
      <c r="BQ21" s="328">
        <f t="shared" si="128"/>
        <v>30240.779765624986</v>
      </c>
      <c r="BR21" s="328">
        <f>BQ21</f>
        <v>30240.779765624986</v>
      </c>
      <c r="BS21" s="623"/>
      <c r="BT21" s="328">
        <f>PlantOVH!J14/12</f>
        <v>30391.983664453106</v>
      </c>
      <c r="BU21" s="328">
        <f>BT21</f>
        <v>30391.983664453106</v>
      </c>
      <c r="BV21" s="328">
        <f t="shared" ref="BV21:CD21" si="129">BU21</f>
        <v>30391.983664453106</v>
      </c>
      <c r="BW21" s="328">
        <f t="shared" si="129"/>
        <v>30391.983664453106</v>
      </c>
      <c r="BX21" s="328">
        <f t="shared" si="129"/>
        <v>30391.983664453106</v>
      </c>
      <c r="BY21" s="328">
        <f t="shared" si="129"/>
        <v>30391.983664453106</v>
      </c>
      <c r="BZ21" s="328">
        <f t="shared" si="129"/>
        <v>30391.983664453106</v>
      </c>
      <c r="CA21" s="328">
        <f t="shared" si="129"/>
        <v>30391.983664453106</v>
      </c>
      <c r="CB21" s="328">
        <f t="shared" si="129"/>
        <v>30391.983664453106</v>
      </c>
      <c r="CC21" s="328">
        <f t="shared" si="129"/>
        <v>30391.983664453106</v>
      </c>
      <c r="CD21" s="328">
        <f t="shared" si="129"/>
        <v>30391.983664453106</v>
      </c>
      <c r="CE21" s="328">
        <f>CD21</f>
        <v>30391.983664453106</v>
      </c>
      <c r="CF21" s="623"/>
      <c r="CG21" s="328">
        <f>PlantOVH!J15/12</f>
        <v>30543.943582775366</v>
      </c>
      <c r="CH21" s="328">
        <f>CG21</f>
        <v>30543.943582775366</v>
      </c>
      <c r="CI21" s="328">
        <f t="shared" ref="CI21:CQ21" si="130">CH21</f>
        <v>30543.943582775366</v>
      </c>
      <c r="CJ21" s="328">
        <f t="shared" si="130"/>
        <v>30543.943582775366</v>
      </c>
      <c r="CK21" s="328">
        <f t="shared" si="130"/>
        <v>30543.943582775366</v>
      </c>
      <c r="CL21" s="328">
        <f t="shared" si="130"/>
        <v>30543.943582775366</v>
      </c>
      <c r="CM21" s="328">
        <f t="shared" si="130"/>
        <v>30543.943582775366</v>
      </c>
      <c r="CN21" s="328">
        <f t="shared" si="130"/>
        <v>30543.943582775366</v>
      </c>
      <c r="CO21" s="328">
        <f t="shared" si="130"/>
        <v>30543.943582775366</v>
      </c>
      <c r="CP21" s="328">
        <f t="shared" si="130"/>
        <v>30543.943582775366</v>
      </c>
      <c r="CQ21" s="328">
        <f t="shared" si="130"/>
        <v>30543.943582775366</v>
      </c>
      <c r="CR21" s="328">
        <f>CQ21</f>
        <v>30543.943582775366</v>
      </c>
      <c r="CS21" s="623"/>
      <c r="CT21" s="328">
        <f>PlantOVH!J16/12</f>
        <v>30696.663300689241</v>
      </c>
      <c r="CU21" s="328">
        <f>CT21</f>
        <v>30696.663300689241</v>
      </c>
      <c r="CV21" s="328">
        <f t="shared" ref="CV21:DD21" si="131">CU21</f>
        <v>30696.663300689241</v>
      </c>
      <c r="CW21" s="328">
        <f t="shared" si="131"/>
        <v>30696.663300689241</v>
      </c>
      <c r="CX21" s="328">
        <f t="shared" si="131"/>
        <v>30696.663300689241</v>
      </c>
      <c r="CY21" s="328">
        <f t="shared" si="131"/>
        <v>30696.663300689241</v>
      </c>
      <c r="CZ21" s="328">
        <f t="shared" si="131"/>
        <v>30696.663300689241</v>
      </c>
      <c r="DA21" s="328">
        <f t="shared" si="131"/>
        <v>30696.663300689241</v>
      </c>
      <c r="DB21" s="328">
        <f t="shared" si="131"/>
        <v>30696.663300689241</v>
      </c>
      <c r="DC21" s="328">
        <f t="shared" si="131"/>
        <v>30696.663300689241</v>
      </c>
      <c r="DD21" s="328">
        <f t="shared" si="131"/>
        <v>30696.663300689241</v>
      </c>
      <c r="DE21" s="328">
        <f>DD21</f>
        <v>30696.663300689241</v>
      </c>
      <c r="DF21" s="623"/>
      <c r="DG21" s="328">
        <f>PlantOVH!J17/12</f>
        <v>30850.146617192684</v>
      </c>
      <c r="DH21" s="328">
        <f>DG21</f>
        <v>30850.146617192684</v>
      </c>
      <c r="DI21" s="328">
        <f t="shared" ref="DI21:DQ21" si="132">DH21</f>
        <v>30850.146617192684</v>
      </c>
      <c r="DJ21" s="328">
        <f t="shared" si="132"/>
        <v>30850.146617192684</v>
      </c>
      <c r="DK21" s="328">
        <f t="shared" si="132"/>
        <v>30850.146617192684</v>
      </c>
      <c r="DL21" s="328">
        <f t="shared" si="132"/>
        <v>30850.146617192684</v>
      </c>
      <c r="DM21" s="328">
        <f t="shared" si="132"/>
        <v>30850.146617192684</v>
      </c>
      <c r="DN21" s="328">
        <f t="shared" si="132"/>
        <v>30850.146617192684</v>
      </c>
      <c r="DO21" s="328">
        <f t="shared" si="132"/>
        <v>30850.146617192684</v>
      </c>
      <c r="DP21" s="328">
        <f t="shared" si="132"/>
        <v>30850.146617192684</v>
      </c>
      <c r="DQ21" s="328">
        <f t="shared" si="132"/>
        <v>30850.146617192684</v>
      </c>
      <c r="DR21" s="328">
        <f>DQ21</f>
        <v>30850.146617192684</v>
      </c>
      <c r="DS21" s="623"/>
      <c r="DT21" s="328">
        <f>PlantOVH!J18/12</f>
        <v>31004.397350278643</v>
      </c>
      <c r="DU21" s="328">
        <f>DT21</f>
        <v>31004.397350278643</v>
      </c>
      <c r="DV21" s="328">
        <f t="shared" ref="DV21:ED21" si="133">DU21</f>
        <v>31004.397350278643</v>
      </c>
      <c r="DW21" s="328">
        <f t="shared" si="133"/>
        <v>31004.397350278643</v>
      </c>
      <c r="DX21" s="328">
        <f t="shared" si="133"/>
        <v>31004.397350278643</v>
      </c>
      <c r="DY21" s="328">
        <f t="shared" si="133"/>
        <v>31004.397350278643</v>
      </c>
      <c r="DZ21" s="328">
        <f t="shared" si="133"/>
        <v>31004.397350278643</v>
      </c>
      <c r="EA21" s="328">
        <f t="shared" si="133"/>
        <v>31004.397350278643</v>
      </c>
      <c r="EB21" s="328">
        <f t="shared" si="133"/>
        <v>31004.397350278643</v>
      </c>
      <c r="EC21" s="328">
        <f t="shared" si="133"/>
        <v>31004.397350278643</v>
      </c>
      <c r="ED21" s="328">
        <f t="shared" si="133"/>
        <v>31004.397350278643</v>
      </c>
      <c r="EE21" s="328">
        <f>ED21</f>
        <v>31004.397350278643</v>
      </c>
      <c r="EF21" s="623"/>
    </row>
    <row r="22" spans="3:136" x14ac:dyDescent="0.35">
      <c r="F22" s="12" t="s">
        <v>892</v>
      </c>
      <c r="G22" s="328"/>
      <c r="H22" s="328"/>
      <c r="I22" s="328"/>
      <c r="J22" s="328"/>
      <c r="K22" s="328"/>
      <c r="L22" s="328"/>
      <c r="M22" s="328"/>
      <c r="N22" s="328"/>
      <c r="O22" s="328"/>
      <c r="P22" s="328"/>
      <c r="Q22" s="328"/>
      <c r="R22" s="328">
        <f>PlantOVH!K9</f>
        <v>2500</v>
      </c>
      <c r="S22" s="623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>
        <f>PlantOVH!K10</f>
        <v>10000</v>
      </c>
      <c r="AF22" s="623"/>
      <c r="AG22" s="328"/>
      <c r="AH22" s="328"/>
      <c r="AI22" s="328"/>
      <c r="AJ22" s="328"/>
      <c r="AK22" s="328"/>
      <c r="AL22" s="328"/>
      <c r="AM22" s="328"/>
      <c r="AN22" s="328"/>
      <c r="AO22" s="328"/>
      <c r="AP22" s="328"/>
      <c r="AQ22" s="328"/>
      <c r="AR22" s="328">
        <f>PlantOVH!K11</f>
        <v>10000</v>
      </c>
      <c r="AS22" s="623"/>
      <c r="AT22" s="328"/>
      <c r="AU22" s="328"/>
      <c r="AV22" s="328"/>
      <c r="AW22" s="328"/>
      <c r="AX22" s="328"/>
      <c r="AY22" s="328"/>
      <c r="AZ22" s="328"/>
      <c r="BA22" s="328"/>
      <c r="BB22" s="328"/>
      <c r="BC22" s="328"/>
      <c r="BD22" s="328"/>
      <c r="BE22" s="328">
        <f>PlantOVH!K12</f>
        <v>10000</v>
      </c>
      <c r="BF22" s="623"/>
      <c r="BG22" s="328"/>
      <c r="BH22" s="328"/>
      <c r="BI22" s="328"/>
      <c r="BJ22" s="328"/>
      <c r="BK22" s="328"/>
      <c r="BL22" s="328"/>
      <c r="BM22" s="328"/>
      <c r="BN22" s="328"/>
      <c r="BO22" s="328"/>
      <c r="BP22" s="328"/>
      <c r="BQ22" s="328"/>
      <c r="BR22" s="328">
        <f>PlantOVH!K13</f>
        <v>10000</v>
      </c>
      <c r="BS22" s="623"/>
      <c r="BT22" s="328"/>
      <c r="BU22" s="328"/>
      <c r="BV22" s="328"/>
      <c r="BW22" s="328"/>
      <c r="BX22" s="328"/>
      <c r="BY22" s="328"/>
      <c r="BZ22" s="328"/>
      <c r="CA22" s="328"/>
      <c r="CB22" s="328"/>
      <c r="CC22" s="328"/>
      <c r="CD22" s="328"/>
      <c r="CE22" s="328">
        <f>PlantOVH!K14</f>
        <v>10000</v>
      </c>
      <c r="CF22" s="623"/>
      <c r="CG22" s="328"/>
      <c r="CH22" s="328"/>
      <c r="CI22" s="328"/>
      <c r="CJ22" s="328"/>
      <c r="CK22" s="328"/>
      <c r="CL22" s="328"/>
      <c r="CM22" s="328"/>
      <c r="CN22" s="328"/>
      <c r="CO22" s="328"/>
      <c r="CP22" s="328"/>
      <c r="CQ22" s="328"/>
      <c r="CR22" s="328">
        <f>PlantOVH!K15</f>
        <v>10000</v>
      </c>
      <c r="CS22" s="623"/>
      <c r="CT22" s="328"/>
      <c r="CU22" s="328"/>
      <c r="CV22" s="328"/>
      <c r="CW22" s="328"/>
      <c r="CX22" s="328"/>
      <c r="CY22" s="328"/>
      <c r="CZ22" s="328"/>
      <c r="DA22" s="328"/>
      <c r="DB22" s="328"/>
      <c r="DC22" s="328"/>
      <c r="DD22" s="328"/>
      <c r="DE22" s="328">
        <f>PlantOVH!K16</f>
        <v>10000</v>
      </c>
      <c r="DF22" s="623"/>
      <c r="DG22" s="328"/>
      <c r="DH22" s="328"/>
      <c r="DI22" s="328"/>
      <c r="DJ22" s="328"/>
      <c r="DK22" s="328"/>
      <c r="DL22" s="328"/>
      <c r="DM22" s="328"/>
      <c r="DN22" s="328"/>
      <c r="DO22" s="328"/>
      <c r="DP22" s="328"/>
      <c r="DQ22" s="328"/>
      <c r="DR22" s="328">
        <f>PlantOVH!K17</f>
        <v>10000</v>
      </c>
      <c r="DS22" s="623"/>
      <c r="DT22" s="328"/>
      <c r="DU22" s="328"/>
      <c r="DV22" s="328"/>
      <c r="DW22" s="328"/>
      <c r="DX22" s="328"/>
      <c r="DY22" s="328"/>
      <c r="DZ22" s="328"/>
      <c r="EA22" s="328"/>
      <c r="EB22" s="328"/>
      <c r="EC22" s="328"/>
      <c r="ED22" s="328"/>
      <c r="EE22" s="328">
        <f>PlantOVH!K18</f>
        <v>10000</v>
      </c>
      <c r="EF22" s="623"/>
    </row>
    <row r="23" spans="3:136" x14ac:dyDescent="0.35">
      <c r="F23" s="12" t="s">
        <v>893</v>
      </c>
      <c r="G23" s="328">
        <f>PlantOVH!L9/12</f>
        <v>105</v>
      </c>
      <c r="H23" s="328">
        <f>G23</f>
        <v>105</v>
      </c>
      <c r="I23" s="328">
        <f t="shared" ref="I23:R23" si="134">H23</f>
        <v>105</v>
      </c>
      <c r="J23" s="328">
        <f t="shared" si="134"/>
        <v>105</v>
      </c>
      <c r="K23" s="328">
        <f t="shared" si="134"/>
        <v>105</v>
      </c>
      <c r="L23" s="328">
        <f t="shared" si="134"/>
        <v>105</v>
      </c>
      <c r="M23" s="328">
        <f t="shared" si="134"/>
        <v>105</v>
      </c>
      <c r="N23" s="328">
        <f t="shared" si="134"/>
        <v>105</v>
      </c>
      <c r="O23" s="328">
        <f t="shared" si="134"/>
        <v>105</v>
      </c>
      <c r="P23" s="328">
        <f t="shared" si="134"/>
        <v>105</v>
      </c>
      <c r="Q23" s="328">
        <f t="shared" si="134"/>
        <v>105</v>
      </c>
      <c r="R23" s="328">
        <f t="shared" si="134"/>
        <v>105</v>
      </c>
      <c r="S23" s="623"/>
      <c r="T23" s="328">
        <f>PlantOVH!L10/12</f>
        <v>420</v>
      </c>
      <c r="U23" s="328">
        <f>T23</f>
        <v>420</v>
      </c>
      <c r="V23" s="328">
        <f t="shared" ref="V23:AD23" si="135">U23</f>
        <v>420</v>
      </c>
      <c r="W23" s="328">
        <f t="shared" si="135"/>
        <v>420</v>
      </c>
      <c r="X23" s="328">
        <f t="shared" si="135"/>
        <v>420</v>
      </c>
      <c r="Y23" s="328">
        <f t="shared" si="135"/>
        <v>420</v>
      </c>
      <c r="Z23" s="328">
        <f t="shared" si="135"/>
        <v>420</v>
      </c>
      <c r="AA23" s="328">
        <f t="shared" si="135"/>
        <v>420</v>
      </c>
      <c r="AB23" s="328">
        <f t="shared" si="135"/>
        <v>420</v>
      </c>
      <c r="AC23" s="328">
        <f t="shared" si="135"/>
        <v>420</v>
      </c>
      <c r="AD23" s="328">
        <f t="shared" si="135"/>
        <v>420</v>
      </c>
      <c r="AE23" s="328">
        <f>AD23</f>
        <v>420</v>
      </c>
      <c r="AF23" s="623"/>
      <c r="AG23" s="328">
        <f>PlantOVH!L11/12</f>
        <v>420</v>
      </c>
      <c r="AH23" s="328">
        <f t="shared" ref="AH23:AR30" si="136">AG23</f>
        <v>420</v>
      </c>
      <c r="AI23" s="328">
        <f t="shared" si="136"/>
        <v>420</v>
      </c>
      <c r="AJ23" s="328">
        <f t="shared" si="136"/>
        <v>420</v>
      </c>
      <c r="AK23" s="328">
        <f t="shared" si="136"/>
        <v>420</v>
      </c>
      <c r="AL23" s="328">
        <f t="shared" si="136"/>
        <v>420</v>
      </c>
      <c r="AM23" s="328">
        <f t="shared" si="136"/>
        <v>420</v>
      </c>
      <c r="AN23" s="328">
        <f t="shared" si="136"/>
        <v>420</v>
      </c>
      <c r="AO23" s="328">
        <f t="shared" si="136"/>
        <v>420</v>
      </c>
      <c r="AP23" s="328">
        <f t="shared" si="136"/>
        <v>420</v>
      </c>
      <c r="AQ23" s="328">
        <f t="shared" si="136"/>
        <v>420</v>
      </c>
      <c r="AR23" s="328">
        <f t="shared" si="136"/>
        <v>420</v>
      </c>
      <c r="AS23" s="623"/>
      <c r="AT23" s="328">
        <f>PlantOVH!L12/12</f>
        <v>420</v>
      </c>
      <c r="AU23" s="328">
        <f t="shared" ref="AU23:BE30" si="137">AT23</f>
        <v>420</v>
      </c>
      <c r="AV23" s="328">
        <f t="shared" si="137"/>
        <v>420</v>
      </c>
      <c r="AW23" s="328">
        <f t="shared" si="137"/>
        <v>420</v>
      </c>
      <c r="AX23" s="328">
        <f t="shared" si="137"/>
        <v>420</v>
      </c>
      <c r="AY23" s="328">
        <f t="shared" si="137"/>
        <v>420</v>
      </c>
      <c r="AZ23" s="328">
        <f t="shared" si="137"/>
        <v>420</v>
      </c>
      <c r="BA23" s="328">
        <f t="shared" si="137"/>
        <v>420</v>
      </c>
      <c r="BB23" s="328">
        <f t="shared" si="137"/>
        <v>420</v>
      </c>
      <c r="BC23" s="328">
        <f t="shared" si="137"/>
        <v>420</v>
      </c>
      <c r="BD23" s="328">
        <f t="shared" si="137"/>
        <v>420</v>
      </c>
      <c r="BE23" s="328">
        <f t="shared" si="137"/>
        <v>420</v>
      </c>
      <c r="BF23" s="623"/>
      <c r="BG23" s="328">
        <f>PlantOVH!L13/12</f>
        <v>420</v>
      </c>
      <c r="BH23" s="328">
        <f t="shared" ref="BH23:BQ30" si="138">BG23</f>
        <v>420</v>
      </c>
      <c r="BI23" s="328">
        <f t="shared" si="138"/>
        <v>420</v>
      </c>
      <c r="BJ23" s="328">
        <f t="shared" si="138"/>
        <v>420</v>
      </c>
      <c r="BK23" s="328">
        <f t="shared" si="138"/>
        <v>420</v>
      </c>
      <c r="BL23" s="328">
        <f t="shared" si="138"/>
        <v>420</v>
      </c>
      <c r="BM23" s="328">
        <f t="shared" si="138"/>
        <v>420</v>
      </c>
      <c r="BN23" s="328">
        <f t="shared" si="138"/>
        <v>420</v>
      </c>
      <c r="BO23" s="328">
        <f t="shared" si="138"/>
        <v>420</v>
      </c>
      <c r="BP23" s="328">
        <f t="shared" si="138"/>
        <v>420</v>
      </c>
      <c r="BQ23" s="328">
        <f t="shared" si="138"/>
        <v>420</v>
      </c>
      <c r="BR23" s="328">
        <f>BQ23</f>
        <v>420</v>
      </c>
      <c r="BS23" s="623"/>
      <c r="BT23" s="328">
        <f>PlantOVH!L14/12</f>
        <v>420</v>
      </c>
      <c r="BU23" s="328">
        <f t="shared" ref="BU23:CD30" si="139">BT23</f>
        <v>420</v>
      </c>
      <c r="BV23" s="328">
        <f t="shared" si="139"/>
        <v>420</v>
      </c>
      <c r="BW23" s="328">
        <f t="shared" si="139"/>
        <v>420</v>
      </c>
      <c r="BX23" s="328">
        <f t="shared" si="139"/>
        <v>420</v>
      </c>
      <c r="BY23" s="328">
        <f t="shared" si="139"/>
        <v>420</v>
      </c>
      <c r="BZ23" s="328">
        <f t="shared" si="139"/>
        <v>420</v>
      </c>
      <c r="CA23" s="328">
        <f t="shared" si="139"/>
        <v>420</v>
      </c>
      <c r="CB23" s="328">
        <f t="shared" si="139"/>
        <v>420</v>
      </c>
      <c r="CC23" s="328">
        <f t="shared" si="139"/>
        <v>420</v>
      </c>
      <c r="CD23" s="328">
        <f t="shared" si="139"/>
        <v>420</v>
      </c>
      <c r="CE23" s="328">
        <f>CD23</f>
        <v>420</v>
      </c>
      <c r="CF23" s="623"/>
      <c r="CG23" s="328">
        <f>PlantOVH!L15/12</f>
        <v>420</v>
      </c>
      <c r="CH23" s="328">
        <f t="shared" ref="CH23:CQ30" si="140">CG23</f>
        <v>420</v>
      </c>
      <c r="CI23" s="328">
        <f t="shared" si="140"/>
        <v>420</v>
      </c>
      <c r="CJ23" s="328">
        <f t="shared" si="140"/>
        <v>420</v>
      </c>
      <c r="CK23" s="328">
        <f t="shared" si="140"/>
        <v>420</v>
      </c>
      <c r="CL23" s="328">
        <f t="shared" si="140"/>
        <v>420</v>
      </c>
      <c r="CM23" s="328">
        <f t="shared" si="140"/>
        <v>420</v>
      </c>
      <c r="CN23" s="328">
        <f t="shared" si="140"/>
        <v>420</v>
      </c>
      <c r="CO23" s="328">
        <f t="shared" si="140"/>
        <v>420</v>
      </c>
      <c r="CP23" s="328">
        <f t="shared" si="140"/>
        <v>420</v>
      </c>
      <c r="CQ23" s="328">
        <f t="shared" si="140"/>
        <v>420</v>
      </c>
      <c r="CR23" s="328">
        <f>CQ23</f>
        <v>420</v>
      </c>
      <c r="CS23" s="623"/>
      <c r="CT23" s="328">
        <f>PlantOVH!L16/12</f>
        <v>420</v>
      </c>
      <c r="CU23" s="328">
        <f t="shared" ref="CU23:DD30" si="141">CT23</f>
        <v>420</v>
      </c>
      <c r="CV23" s="328">
        <f t="shared" si="141"/>
        <v>420</v>
      </c>
      <c r="CW23" s="328">
        <f t="shared" si="141"/>
        <v>420</v>
      </c>
      <c r="CX23" s="328">
        <f t="shared" si="141"/>
        <v>420</v>
      </c>
      <c r="CY23" s="328">
        <f t="shared" si="141"/>
        <v>420</v>
      </c>
      <c r="CZ23" s="328">
        <f t="shared" si="141"/>
        <v>420</v>
      </c>
      <c r="DA23" s="328">
        <f t="shared" si="141"/>
        <v>420</v>
      </c>
      <c r="DB23" s="328">
        <f t="shared" si="141"/>
        <v>420</v>
      </c>
      <c r="DC23" s="328">
        <f t="shared" si="141"/>
        <v>420</v>
      </c>
      <c r="DD23" s="328">
        <f t="shared" si="141"/>
        <v>420</v>
      </c>
      <c r="DE23" s="328">
        <f>DD23</f>
        <v>420</v>
      </c>
      <c r="DF23" s="623"/>
      <c r="DG23" s="328">
        <f>PlantOVH!L17/12</f>
        <v>420</v>
      </c>
      <c r="DH23" s="328">
        <f t="shared" ref="DH23:DQ30" si="142">DG23</f>
        <v>420</v>
      </c>
      <c r="DI23" s="328">
        <f t="shared" si="142"/>
        <v>420</v>
      </c>
      <c r="DJ23" s="328">
        <f t="shared" si="142"/>
        <v>420</v>
      </c>
      <c r="DK23" s="328">
        <f t="shared" si="142"/>
        <v>420</v>
      </c>
      <c r="DL23" s="328">
        <f t="shared" si="142"/>
        <v>420</v>
      </c>
      <c r="DM23" s="328">
        <f t="shared" si="142"/>
        <v>420</v>
      </c>
      <c r="DN23" s="328">
        <f t="shared" si="142"/>
        <v>420</v>
      </c>
      <c r="DO23" s="328">
        <f t="shared" si="142"/>
        <v>420</v>
      </c>
      <c r="DP23" s="328">
        <f t="shared" si="142"/>
        <v>420</v>
      </c>
      <c r="DQ23" s="328">
        <f t="shared" si="142"/>
        <v>420</v>
      </c>
      <c r="DR23" s="328">
        <f>DQ23</f>
        <v>420</v>
      </c>
      <c r="DS23" s="623"/>
      <c r="DT23" s="328">
        <f>PlantOVH!L18/12</f>
        <v>420</v>
      </c>
      <c r="DU23" s="328">
        <f t="shared" ref="DU23:ED30" si="143">DT23</f>
        <v>420</v>
      </c>
      <c r="DV23" s="328">
        <f t="shared" si="143"/>
        <v>420</v>
      </c>
      <c r="DW23" s="328">
        <f t="shared" si="143"/>
        <v>420</v>
      </c>
      <c r="DX23" s="328">
        <f t="shared" si="143"/>
        <v>420</v>
      </c>
      <c r="DY23" s="328">
        <f t="shared" si="143"/>
        <v>420</v>
      </c>
      <c r="DZ23" s="328">
        <f t="shared" si="143"/>
        <v>420</v>
      </c>
      <c r="EA23" s="328">
        <f t="shared" si="143"/>
        <v>420</v>
      </c>
      <c r="EB23" s="328">
        <f t="shared" si="143"/>
        <v>420</v>
      </c>
      <c r="EC23" s="328">
        <f t="shared" si="143"/>
        <v>420</v>
      </c>
      <c r="ED23" s="328">
        <f t="shared" si="143"/>
        <v>420</v>
      </c>
      <c r="EE23" s="328">
        <f>ED23</f>
        <v>420</v>
      </c>
      <c r="EF23" s="623"/>
    </row>
    <row r="24" spans="3:136" x14ac:dyDescent="0.35">
      <c r="F24" s="12" t="s">
        <v>894</v>
      </c>
      <c r="G24" s="328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328">
        <f>PlantOVH!N9</f>
        <v>500</v>
      </c>
      <c r="S24" s="623"/>
      <c r="T24" s="328"/>
      <c r="U24" s="328"/>
      <c r="V24" s="328"/>
      <c r="W24" s="328"/>
      <c r="X24" s="328"/>
      <c r="Y24" s="328"/>
      <c r="Z24" s="328"/>
      <c r="AA24" s="328"/>
      <c r="AB24" s="328"/>
      <c r="AC24" s="328"/>
      <c r="AD24" s="328"/>
      <c r="AE24" s="328">
        <f>PlantOVH!N10</f>
        <v>2000</v>
      </c>
      <c r="AF24" s="623"/>
      <c r="AG24" s="328"/>
      <c r="AH24" s="328"/>
      <c r="AI24" s="328"/>
      <c r="AJ24" s="328"/>
      <c r="AK24" s="328"/>
      <c r="AL24" s="328"/>
      <c r="AM24" s="328"/>
      <c r="AN24" s="328"/>
      <c r="AO24" s="328"/>
      <c r="AP24" s="328"/>
      <c r="AQ24" s="328"/>
      <c r="AR24" s="328">
        <f>PlantOVH!N11</f>
        <v>2000</v>
      </c>
      <c r="AS24" s="623"/>
      <c r="AT24" s="328"/>
      <c r="AU24" s="328"/>
      <c r="AV24" s="328"/>
      <c r="AW24" s="328"/>
      <c r="AX24" s="328"/>
      <c r="AY24" s="328"/>
      <c r="AZ24" s="328"/>
      <c r="BA24" s="328"/>
      <c r="BB24" s="328"/>
      <c r="BC24" s="328"/>
      <c r="BD24" s="328"/>
      <c r="BE24" s="328">
        <f>PlantOVH!N12</f>
        <v>2000</v>
      </c>
      <c r="BF24" s="623"/>
      <c r="BG24" s="328"/>
      <c r="BH24" s="328"/>
      <c r="BI24" s="328"/>
      <c r="BJ24" s="328"/>
      <c r="BK24" s="328"/>
      <c r="BL24" s="328"/>
      <c r="BM24" s="328"/>
      <c r="BN24" s="328"/>
      <c r="BO24" s="328"/>
      <c r="BP24" s="328"/>
      <c r="BQ24" s="328"/>
      <c r="BR24" s="328">
        <f>PlantOVH!N13</f>
        <v>2000</v>
      </c>
      <c r="BS24" s="623"/>
      <c r="BT24" s="328"/>
      <c r="BU24" s="328"/>
      <c r="BV24" s="328"/>
      <c r="BW24" s="328"/>
      <c r="BX24" s="328"/>
      <c r="BY24" s="328"/>
      <c r="BZ24" s="328"/>
      <c r="CA24" s="328"/>
      <c r="CB24" s="328"/>
      <c r="CC24" s="328"/>
      <c r="CD24" s="328"/>
      <c r="CE24" s="328">
        <f>PlantOVH!N14</f>
        <v>2000</v>
      </c>
      <c r="CF24" s="623"/>
      <c r="CG24" s="328"/>
      <c r="CH24" s="328"/>
      <c r="CI24" s="328"/>
      <c r="CJ24" s="328"/>
      <c r="CK24" s="328"/>
      <c r="CL24" s="328"/>
      <c r="CM24" s="328"/>
      <c r="CN24" s="328"/>
      <c r="CO24" s="328"/>
      <c r="CP24" s="328"/>
      <c r="CQ24" s="328"/>
      <c r="CR24" s="328">
        <f>PlantOVH!N15</f>
        <v>2000</v>
      </c>
      <c r="CS24" s="623"/>
      <c r="CT24" s="328"/>
      <c r="CU24" s="328"/>
      <c r="CV24" s="328"/>
      <c r="CW24" s="328"/>
      <c r="CX24" s="328"/>
      <c r="CY24" s="328"/>
      <c r="CZ24" s="328"/>
      <c r="DA24" s="328"/>
      <c r="DB24" s="328"/>
      <c r="DC24" s="328"/>
      <c r="DD24" s="328"/>
      <c r="DE24" s="328">
        <f>PlantOVH!N16</f>
        <v>2000</v>
      </c>
      <c r="DF24" s="623"/>
      <c r="DG24" s="328"/>
      <c r="DH24" s="328"/>
      <c r="DI24" s="328"/>
      <c r="DJ24" s="328"/>
      <c r="DK24" s="328"/>
      <c r="DL24" s="328"/>
      <c r="DM24" s="328"/>
      <c r="DN24" s="328"/>
      <c r="DO24" s="328"/>
      <c r="DP24" s="328"/>
      <c r="DQ24" s="328"/>
      <c r="DR24" s="328">
        <f>PlantOVH!N17</f>
        <v>2000</v>
      </c>
      <c r="DS24" s="623"/>
      <c r="DT24" s="328"/>
      <c r="DU24" s="328"/>
      <c r="DV24" s="328"/>
      <c r="DW24" s="328"/>
      <c r="DX24" s="328"/>
      <c r="DY24" s="328"/>
      <c r="DZ24" s="328"/>
      <c r="EA24" s="328"/>
      <c r="EB24" s="328"/>
      <c r="EC24" s="328"/>
      <c r="ED24" s="328"/>
      <c r="EE24" s="328">
        <f>PlantOVH!N18</f>
        <v>2000</v>
      </c>
      <c r="EF24" s="623"/>
    </row>
    <row r="25" spans="3:136" x14ac:dyDescent="0.35">
      <c r="F25" s="12" t="s">
        <v>1026</v>
      </c>
      <c r="G25" s="328">
        <f>PlantOVH!O9/12</f>
        <v>405</v>
      </c>
      <c r="H25" s="328">
        <f>G25</f>
        <v>405</v>
      </c>
      <c r="I25" s="328">
        <f t="shared" ref="I25:R25" si="144">H25</f>
        <v>405</v>
      </c>
      <c r="J25" s="328">
        <f t="shared" si="144"/>
        <v>405</v>
      </c>
      <c r="K25" s="328">
        <f t="shared" si="144"/>
        <v>405</v>
      </c>
      <c r="L25" s="328">
        <f t="shared" si="144"/>
        <v>405</v>
      </c>
      <c r="M25" s="328">
        <f t="shared" si="144"/>
        <v>405</v>
      </c>
      <c r="N25" s="328">
        <f t="shared" si="144"/>
        <v>405</v>
      </c>
      <c r="O25" s="328">
        <f t="shared" si="144"/>
        <v>405</v>
      </c>
      <c r="P25" s="328">
        <f t="shared" si="144"/>
        <v>405</v>
      </c>
      <c r="Q25" s="328">
        <f t="shared" si="144"/>
        <v>405</v>
      </c>
      <c r="R25" s="328">
        <f t="shared" si="144"/>
        <v>405</v>
      </c>
      <c r="S25" s="623"/>
      <c r="T25" s="328">
        <f>PlantOVH!O10/12</f>
        <v>1215</v>
      </c>
      <c r="U25" s="328">
        <f t="shared" ref="U25:AE30" si="145">T25</f>
        <v>1215</v>
      </c>
      <c r="V25" s="328">
        <f t="shared" si="145"/>
        <v>1215</v>
      </c>
      <c r="W25" s="328">
        <f t="shared" si="145"/>
        <v>1215</v>
      </c>
      <c r="X25" s="328">
        <f t="shared" si="145"/>
        <v>1215</v>
      </c>
      <c r="Y25" s="328">
        <f t="shared" si="145"/>
        <v>1215</v>
      </c>
      <c r="Z25" s="328">
        <f t="shared" si="145"/>
        <v>1215</v>
      </c>
      <c r="AA25" s="328">
        <f t="shared" si="145"/>
        <v>1215</v>
      </c>
      <c r="AB25" s="328">
        <f t="shared" si="145"/>
        <v>1215</v>
      </c>
      <c r="AC25" s="328">
        <f t="shared" si="145"/>
        <v>1215</v>
      </c>
      <c r="AD25" s="328">
        <f t="shared" si="145"/>
        <v>1215</v>
      </c>
      <c r="AE25" s="328">
        <f t="shared" si="145"/>
        <v>1215</v>
      </c>
      <c r="AF25" s="623"/>
      <c r="AG25" s="328">
        <f>PlantOVH!O11/12</f>
        <v>1215</v>
      </c>
      <c r="AH25" s="328">
        <f t="shared" si="136"/>
        <v>1215</v>
      </c>
      <c r="AI25" s="328">
        <f t="shared" si="136"/>
        <v>1215</v>
      </c>
      <c r="AJ25" s="328">
        <f t="shared" si="136"/>
        <v>1215</v>
      </c>
      <c r="AK25" s="328">
        <f t="shared" si="136"/>
        <v>1215</v>
      </c>
      <c r="AL25" s="328">
        <f t="shared" si="136"/>
        <v>1215</v>
      </c>
      <c r="AM25" s="328">
        <f t="shared" si="136"/>
        <v>1215</v>
      </c>
      <c r="AN25" s="328">
        <f t="shared" si="136"/>
        <v>1215</v>
      </c>
      <c r="AO25" s="328">
        <f t="shared" si="136"/>
        <v>1215</v>
      </c>
      <c r="AP25" s="328">
        <f t="shared" si="136"/>
        <v>1215</v>
      </c>
      <c r="AQ25" s="328">
        <f t="shared" si="136"/>
        <v>1215</v>
      </c>
      <c r="AR25" s="328">
        <f t="shared" ref="AR25" si="146">AQ25</f>
        <v>1215</v>
      </c>
      <c r="AS25" s="623"/>
      <c r="AT25" s="328">
        <f>PlantOVH!O12/12</f>
        <v>1215</v>
      </c>
      <c r="AU25" s="328">
        <f t="shared" si="137"/>
        <v>1215</v>
      </c>
      <c r="AV25" s="328">
        <f t="shared" si="137"/>
        <v>1215</v>
      </c>
      <c r="AW25" s="328">
        <f t="shared" si="137"/>
        <v>1215</v>
      </c>
      <c r="AX25" s="328">
        <f t="shared" si="137"/>
        <v>1215</v>
      </c>
      <c r="AY25" s="328">
        <f t="shared" si="137"/>
        <v>1215</v>
      </c>
      <c r="AZ25" s="328">
        <f t="shared" si="137"/>
        <v>1215</v>
      </c>
      <c r="BA25" s="328">
        <f t="shared" si="137"/>
        <v>1215</v>
      </c>
      <c r="BB25" s="328">
        <f t="shared" si="137"/>
        <v>1215</v>
      </c>
      <c r="BC25" s="328">
        <f t="shared" si="137"/>
        <v>1215</v>
      </c>
      <c r="BD25" s="328">
        <f t="shared" si="137"/>
        <v>1215</v>
      </c>
      <c r="BE25" s="328">
        <f t="shared" si="137"/>
        <v>1215</v>
      </c>
      <c r="BF25" s="623"/>
      <c r="BG25" s="328">
        <f>PlantOVH!O13/12</f>
        <v>1215</v>
      </c>
      <c r="BH25" s="328">
        <f t="shared" si="138"/>
        <v>1215</v>
      </c>
      <c r="BI25" s="328">
        <f t="shared" si="138"/>
        <v>1215</v>
      </c>
      <c r="BJ25" s="328">
        <f t="shared" si="138"/>
        <v>1215</v>
      </c>
      <c r="BK25" s="328">
        <f t="shared" si="138"/>
        <v>1215</v>
      </c>
      <c r="BL25" s="328">
        <f t="shared" si="138"/>
        <v>1215</v>
      </c>
      <c r="BM25" s="328">
        <f t="shared" si="138"/>
        <v>1215</v>
      </c>
      <c r="BN25" s="328">
        <f t="shared" si="138"/>
        <v>1215</v>
      </c>
      <c r="BO25" s="328">
        <f t="shared" si="138"/>
        <v>1215</v>
      </c>
      <c r="BP25" s="328">
        <f t="shared" si="138"/>
        <v>1215</v>
      </c>
      <c r="BQ25" s="328">
        <f t="shared" si="138"/>
        <v>1215</v>
      </c>
      <c r="BR25" s="328">
        <f>BQ25</f>
        <v>1215</v>
      </c>
      <c r="BS25" s="623"/>
      <c r="BT25" s="328">
        <f>PlantOVH!O14/12</f>
        <v>1215</v>
      </c>
      <c r="BU25" s="328">
        <f t="shared" si="139"/>
        <v>1215</v>
      </c>
      <c r="BV25" s="328">
        <f t="shared" si="139"/>
        <v>1215</v>
      </c>
      <c r="BW25" s="328">
        <f t="shared" si="139"/>
        <v>1215</v>
      </c>
      <c r="BX25" s="328">
        <f t="shared" si="139"/>
        <v>1215</v>
      </c>
      <c r="BY25" s="328">
        <f t="shared" si="139"/>
        <v>1215</v>
      </c>
      <c r="BZ25" s="328">
        <f t="shared" si="139"/>
        <v>1215</v>
      </c>
      <c r="CA25" s="328">
        <f t="shared" si="139"/>
        <v>1215</v>
      </c>
      <c r="CB25" s="328">
        <f t="shared" si="139"/>
        <v>1215</v>
      </c>
      <c r="CC25" s="328">
        <f t="shared" si="139"/>
        <v>1215</v>
      </c>
      <c r="CD25" s="328">
        <f t="shared" si="139"/>
        <v>1215</v>
      </c>
      <c r="CE25" s="328">
        <f>CD25</f>
        <v>1215</v>
      </c>
      <c r="CF25" s="623"/>
      <c r="CG25" s="328">
        <f>PlantOVH!O15/12</f>
        <v>1215</v>
      </c>
      <c r="CH25" s="328">
        <f t="shared" si="140"/>
        <v>1215</v>
      </c>
      <c r="CI25" s="328">
        <f t="shared" si="140"/>
        <v>1215</v>
      </c>
      <c r="CJ25" s="328">
        <f t="shared" si="140"/>
        <v>1215</v>
      </c>
      <c r="CK25" s="328">
        <f t="shared" si="140"/>
        <v>1215</v>
      </c>
      <c r="CL25" s="328">
        <f t="shared" si="140"/>
        <v>1215</v>
      </c>
      <c r="CM25" s="328">
        <f t="shared" si="140"/>
        <v>1215</v>
      </c>
      <c r="CN25" s="328">
        <f t="shared" si="140"/>
        <v>1215</v>
      </c>
      <c r="CO25" s="328">
        <f t="shared" si="140"/>
        <v>1215</v>
      </c>
      <c r="CP25" s="328">
        <f t="shared" si="140"/>
        <v>1215</v>
      </c>
      <c r="CQ25" s="328">
        <f t="shared" si="140"/>
        <v>1215</v>
      </c>
      <c r="CR25" s="328">
        <f>CQ25</f>
        <v>1215</v>
      </c>
      <c r="CS25" s="623"/>
      <c r="CT25" s="328">
        <f>PlantOVH!O16/12</f>
        <v>1215</v>
      </c>
      <c r="CU25" s="328">
        <f t="shared" si="141"/>
        <v>1215</v>
      </c>
      <c r="CV25" s="328">
        <f t="shared" si="141"/>
        <v>1215</v>
      </c>
      <c r="CW25" s="328">
        <f t="shared" si="141"/>
        <v>1215</v>
      </c>
      <c r="CX25" s="328">
        <f t="shared" si="141"/>
        <v>1215</v>
      </c>
      <c r="CY25" s="328">
        <f t="shared" si="141"/>
        <v>1215</v>
      </c>
      <c r="CZ25" s="328">
        <f t="shared" si="141"/>
        <v>1215</v>
      </c>
      <c r="DA25" s="328">
        <f t="shared" si="141"/>
        <v>1215</v>
      </c>
      <c r="DB25" s="328">
        <f t="shared" si="141"/>
        <v>1215</v>
      </c>
      <c r="DC25" s="328">
        <f t="shared" si="141"/>
        <v>1215</v>
      </c>
      <c r="DD25" s="328">
        <f t="shared" si="141"/>
        <v>1215</v>
      </c>
      <c r="DE25" s="328">
        <f>DD25</f>
        <v>1215</v>
      </c>
      <c r="DF25" s="623"/>
      <c r="DG25" s="328">
        <f>PlantOVH!O17/12</f>
        <v>1215</v>
      </c>
      <c r="DH25" s="328">
        <f t="shared" si="142"/>
        <v>1215</v>
      </c>
      <c r="DI25" s="328">
        <f t="shared" si="142"/>
        <v>1215</v>
      </c>
      <c r="DJ25" s="328">
        <f t="shared" si="142"/>
        <v>1215</v>
      </c>
      <c r="DK25" s="328">
        <f t="shared" si="142"/>
        <v>1215</v>
      </c>
      <c r="DL25" s="328">
        <f t="shared" si="142"/>
        <v>1215</v>
      </c>
      <c r="DM25" s="328">
        <f t="shared" si="142"/>
        <v>1215</v>
      </c>
      <c r="DN25" s="328">
        <f t="shared" si="142"/>
        <v>1215</v>
      </c>
      <c r="DO25" s="328">
        <f t="shared" si="142"/>
        <v>1215</v>
      </c>
      <c r="DP25" s="328">
        <f t="shared" si="142"/>
        <v>1215</v>
      </c>
      <c r="DQ25" s="328">
        <f t="shared" si="142"/>
        <v>1215</v>
      </c>
      <c r="DR25" s="328">
        <f>DQ25</f>
        <v>1215</v>
      </c>
      <c r="DS25" s="623"/>
      <c r="DT25" s="328">
        <f>PlantOVH!O18/12</f>
        <v>1215</v>
      </c>
      <c r="DU25" s="328">
        <f t="shared" si="143"/>
        <v>1215</v>
      </c>
      <c r="DV25" s="328">
        <f t="shared" si="143"/>
        <v>1215</v>
      </c>
      <c r="DW25" s="328">
        <f t="shared" si="143"/>
        <v>1215</v>
      </c>
      <c r="DX25" s="328">
        <f t="shared" si="143"/>
        <v>1215</v>
      </c>
      <c r="DY25" s="328">
        <f t="shared" si="143"/>
        <v>1215</v>
      </c>
      <c r="DZ25" s="328">
        <f t="shared" si="143"/>
        <v>1215</v>
      </c>
      <c r="EA25" s="328">
        <f t="shared" si="143"/>
        <v>1215</v>
      </c>
      <c r="EB25" s="328">
        <f t="shared" si="143"/>
        <v>1215</v>
      </c>
      <c r="EC25" s="328">
        <f t="shared" si="143"/>
        <v>1215</v>
      </c>
      <c r="ED25" s="328">
        <f t="shared" si="143"/>
        <v>1215</v>
      </c>
      <c r="EE25" s="328">
        <f>ED25</f>
        <v>1215</v>
      </c>
      <c r="EF25" s="623"/>
    </row>
    <row r="26" spans="3:136" x14ac:dyDescent="0.35">
      <c r="E26" s="15" t="s">
        <v>13</v>
      </c>
      <c r="F26" s="12" t="s">
        <v>903</v>
      </c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623"/>
      <c r="T26" s="328"/>
      <c r="U26" s="328"/>
      <c r="V26" s="328"/>
      <c r="W26" s="328"/>
      <c r="X26" s="328"/>
      <c r="Y26" s="328"/>
      <c r="Z26" s="328"/>
      <c r="AA26" s="328"/>
      <c r="AB26" s="328"/>
      <c r="AC26" s="328"/>
      <c r="AD26" s="328"/>
      <c r="AE26" s="328"/>
      <c r="AF26" s="623"/>
      <c r="AG26" s="328"/>
      <c r="AH26" s="328"/>
      <c r="AI26" s="328"/>
      <c r="AJ26" s="328"/>
      <c r="AK26" s="328"/>
      <c r="AL26" s="328"/>
      <c r="AM26" s="328"/>
      <c r="AN26" s="328"/>
      <c r="AO26" s="328"/>
      <c r="AP26" s="328"/>
      <c r="AQ26" s="328"/>
      <c r="AR26" s="328"/>
      <c r="AS26" s="623"/>
      <c r="AT26" s="328"/>
      <c r="AU26" s="328"/>
      <c r="AV26" s="328"/>
      <c r="AW26" s="328"/>
      <c r="AX26" s="328"/>
      <c r="AY26" s="328"/>
      <c r="AZ26" s="328"/>
      <c r="BA26" s="328"/>
      <c r="BB26" s="328"/>
      <c r="BC26" s="328"/>
      <c r="BD26" s="328"/>
      <c r="BE26" s="328"/>
      <c r="BF26" s="623"/>
      <c r="BG26" s="328"/>
      <c r="BH26" s="328"/>
      <c r="BI26" s="328"/>
      <c r="BJ26" s="328"/>
      <c r="BK26" s="328"/>
      <c r="BL26" s="328"/>
      <c r="BM26" s="328"/>
      <c r="BN26" s="328"/>
      <c r="BO26" s="328"/>
      <c r="BP26" s="328"/>
      <c r="BQ26" s="328"/>
      <c r="BR26" s="328"/>
      <c r="BS26" s="623"/>
      <c r="BT26" s="328"/>
      <c r="BU26" s="328"/>
      <c r="BV26" s="328"/>
      <c r="BW26" s="328"/>
      <c r="BX26" s="328"/>
      <c r="BY26" s="328"/>
      <c r="BZ26" s="328"/>
      <c r="CA26" s="328"/>
      <c r="CB26" s="328"/>
      <c r="CC26" s="328"/>
      <c r="CD26" s="328"/>
      <c r="CE26" s="328"/>
      <c r="CF26" s="623"/>
      <c r="CG26" s="328"/>
      <c r="CH26" s="328"/>
      <c r="CI26" s="328"/>
      <c r="CJ26" s="328"/>
      <c r="CK26" s="328"/>
      <c r="CL26" s="328"/>
      <c r="CM26" s="328"/>
      <c r="CN26" s="328"/>
      <c r="CO26" s="328"/>
      <c r="CP26" s="328"/>
      <c r="CQ26" s="328"/>
      <c r="CR26" s="328"/>
      <c r="CS26" s="623"/>
      <c r="CT26" s="328"/>
      <c r="CU26" s="328"/>
      <c r="CV26" s="328"/>
      <c r="CW26" s="328"/>
      <c r="CX26" s="328"/>
      <c r="CY26" s="328"/>
      <c r="CZ26" s="328"/>
      <c r="DA26" s="328"/>
      <c r="DB26" s="328"/>
      <c r="DC26" s="328"/>
      <c r="DD26" s="328"/>
      <c r="DE26" s="328"/>
      <c r="DF26" s="623"/>
      <c r="DG26" s="328"/>
      <c r="DH26" s="328"/>
      <c r="DI26" s="328"/>
      <c r="DJ26" s="328"/>
      <c r="DK26" s="328"/>
      <c r="DL26" s="328"/>
      <c r="DM26" s="328"/>
      <c r="DN26" s="328"/>
      <c r="DO26" s="328"/>
      <c r="DP26" s="328"/>
      <c r="DQ26" s="328"/>
      <c r="DR26" s="328"/>
      <c r="DS26" s="623"/>
      <c r="DT26" s="328"/>
      <c r="DU26" s="328"/>
      <c r="DV26" s="328"/>
      <c r="DW26" s="328"/>
      <c r="DX26" s="328"/>
      <c r="DY26" s="328"/>
      <c r="DZ26" s="328"/>
      <c r="EA26" s="328"/>
      <c r="EB26" s="328"/>
      <c r="EC26" s="328"/>
      <c r="ED26" s="328"/>
      <c r="EE26" s="328"/>
      <c r="EF26" s="623"/>
    </row>
    <row r="27" spans="3:136" x14ac:dyDescent="0.35">
      <c r="F27" s="12" t="s">
        <v>904</v>
      </c>
      <c r="G27" s="328">
        <f>'SG&amp;A'!H10/12</f>
        <v>2166.6666666666665</v>
      </c>
      <c r="H27" s="328">
        <f>G27</f>
        <v>2166.6666666666665</v>
      </c>
      <c r="I27" s="328">
        <f t="shared" ref="I27:R27" si="147">H27</f>
        <v>2166.6666666666665</v>
      </c>
      <c r="J27" s="328">
        <f t="shared" si="147"/>
        <v>2166.6666666666665</v>
      </c>
      <c r="K27" s="328">
        <f t="shared" si="147"/>
        <v>2166.6666666666665</v>
      </c>
      <c r="L27" s="328">
        <f t="shared" si="147"/>
        <v>2166.6666666666665</v>
      </c>
      <c r="M27" s="328">
        <f t="shared" si="147"/>
        <v>2166.6666666666665</v>
      </c>
      <c r="N27" s="328">
        <f t="shared" si="147"/>
        <v>2166.6666666666665</v>
      </c>
      <c r="O27" s="328">
        <f t="shared" si="147"/>
        <v>2166.6666666666665</v>
      </c>
      <c r="P27" s="328">
        <f t="shared" si="147"/>
        <v>2166.6666666666665</v>
      </c>
      <c r="Q27" s="328">
        <f t="shared" si="147"/>
        <v>2166.6666666666665</v>
      </c>
      <c r="R27" s="328">
        <f t="shared" si="147"/>
        <v>2166.6666666666665</v>
      </c>
      <c r="S27" s="623"/>
      <c r="T27" s="328">
        <f>'SG&amp;A'!H11/12</f>
        <v>4333.333333333333</v>
      </c>
      <c r="U27" s="328">
        <f t="shared" si="145"/>
        <v>4333.333333333333</v>
      </c>
      <c r="V27" s="328">
        <f t="shared" si="145"/>
        <v>4333.333333333333</v>
      </c>
      <c r="W27" s="328">
        <f t="shared" si="145"/>
        <v>4333.333333333333</v>
      </c>
      <c r="X27" s="328">
        <f t="shared" si="145"/>
        <v>4333.333333333333</v>
      </c>
      <c r="Y27" s="328">
        <f t="shared" si="145"/>
        <v>4333.333333333333</v>
      </c>
      <c r="Z27" s="328">
        <f t="shared" si="145"/>
        <v>4333.333333333333</v>
      </c>
      <c r="AA27" s="328">
        <f t="shared" si="145"/>
        <v>4333.333333333333</v>
      </c>
      <c r="AB27" s="328">
        <f t="shared" si="145"/>
        <v>4333.333333333333</v>
      </c>
      <c r="AC27" s="328">
        <f t="shared" si="145"/>
        <v>4333.333333333333</v>
      </c>
      <c r="AD27" s="328">
        <f t="shared" si="145"/>
        <v>4333.333333333333</v>
      </c>
      <c r="AE27" s="328">
        <f t="shared" si="145"/>
        <v>4333.333333333333</v>
      </c>
      <c r="AF27" s="623"/>
      <c r="AG27" s="328">
        <f>'SG&amp;A'!H12/12</f>
        <v>4354.9999999999991</v>
      </c>
      <c r="AH27" s="328">
        <f t="shared" si="136"/>
        <v>4354.9999999999991</v>
      </c>
      <c r="AI27" s="328">
        <f t="shared" si="136"/>
        <v>4354.9999999999991</v>
      </c>
      <c r="AJ27" s="328">
        <f t="shared" si="136"/>
        <v>4354.9999999999991</v>
      </c>
      <c r="AK27" s="328">
        <f t="shared" si="136"/>
        <v>4354.9999999999991</v>
      </c>
      <c r="AL27" s="328">
        <f t="shared" si="136"/>
        <v>4354.9999999999991</v>
      </c>
      <c r="AM27" s="328">
        <f t="shared" si="136"/>
        <v>4354.9999999999991</v>
      </c>
      <c r="AN27" s="328">
        <f t="shared" si="136"/>
        <v>4354.9999999999991</v>
      </c>
      <c r="AO27" s="328">
        <f t="shared" si="136"/>
        <v>4354.9999999999991</v>
      </c>
      <c r="AP27" s="328">
        <f t="shared" si="136"/>
        <v>4354.9999999999991</v>
      </c>
      <c r="AQ27" s="328">
        <f t="shared" si="136"/>
        <v>4354.9999999999991</v>
      </c>
      <c r="AR27" s="328">
        <f t="shared" ref="AR27" si="148">AQ27</f>
        <v>4354.9999999999991</v>
      </c>
      <c r="AS27" s="623"/>
      <c r="AT27" s="328">
        <f>'SG&amp;A'!H13/12</f>
        <v>4376.7749999999987</v>
      </c>
      <c r="AU27" s="328">
        <f t="shared" si="137"/>
        <v>4376.7749999999987</v>
      </c>
      <c r="AV27" s="328">
        <f t="shared" si="137"/>
        <v>4376.7749999999987</v>
      </c>
      <c r="AW27" s="328">
        <f t="shared" si="137"/>
        <v>4376.7749999999987</v>
      </c>
      <c r="AX27" s="328">
        <f t="shared" si="137"/>
        <v>4376.7749999999987</v>
      </c>
      <c r="AY27" s="328">
        <f t="shared" si="137"/>
        <v>4376.7749999999987</v>
      </c>
      <c r="AZ27" s="328">
        <f t="shared" si="137"/>
        <v>4376.7749999999987</v>
      </c>
      <c r="BA27" s="328">
        <f t="shared" si="137"/>
        <v>4376.7749999999987</v>
      </c>
      <c r="BB27" s="328">
        <f t="shared" si="137"/>
        <v>4376.7749999999987</v>
      </c>
      <c r="BC27" s="328">
        <f t="shared" si="137"/>
        <v>4376.7749999999987</v>
      </c>
      <c r="BD27" s="328">
        <f t="shared" si="137"/>
        <v>4376.7749999999987</v>
      </c>
      <c r="BE27" s="328">
        <f t="shared" si="137"/>
        <v>4376.7749999999987</v>
      </c>
      <c r="BF27" s="623"/>
      <c r="BG27" s="328">
        <f>'SG&amp;A'!H14/12</f>
        <v>4398.6588749999983</v>
      </c>
      <c r="BH27" s="328">
        <f t="shared" si="138"/>
        <v>4398.6588749999983</v>
      </c>
      <c r="BI27" s="328">
        <f t="shared" si="138"/>
        <v>4398.6588749999983</v>
      </c>
      <c r="BJ27" s="328">
        <f t="shared" si="138"/>
        <v>4398.6588749999983</v>
      </c>
      <c r="BK27" s="328">
        <f t="shared" si="138"/>
        <v>4398.6588749999983</v>
      </c>
      <c r="BL27" s="328">
        <f t="shared" si="138"/>
        <v>4398.6588749999983</v>
      </c>
      <c r="BM27" s="328">
        <f t="shared" si="138"/>
        <v>4398.6588749999983</v>
      </c>
      <c r="BN27" s="328">
        <f t="shared" si="138"/>
        <v>4398.6588749999983</v>
      </c>
      <c r="BO27" s="328">
        <f t="shared" si="138"/>
        <v>4398.6588749999983</v>
      </c>
      <c r="BP27" s="328">
        <f t="shared" si="138"/>
        <v>4398.6588749999983</v>
      </c>
      <c r="BQ27" s="328">
        <f t="shared" si="138"/>
        <v>4398.6588749999983</v>
      </c>
      <c r="BR27" s="328">
        <f>BQ27</f>
        <v>4398.6588749999983</v>
      </c>
      <c r="BS27" s="623"/>
      <c r="BT27" s="328">
        <f>'SG&amp;A'!H15/12</f>
        <v>4420.6521693749983</v>
      </c>
      <c r="BU27" s="328">
        <f t="shared" si="139"/>
        <v>4420.6521693749983</v>
      </c>
      <c r="BV27" s="328">
        <f t="shared" si="139"/>
        <v>4420.6521693749983</v>
      </c>
      <c r="BW27" s="328">
        <f t="shared" si="139"/>
        <v>4420.6521693749983</v>
      </c>
      <c r="BX27" s="328">
        <f t="shared" si="139"/>
        <v>4420.6521693749983</v>
      </c>
      <c r="BY27" s="328">
        <f t="shared" si="139"/>
        <v>4420.6521693749983</v>
      </c>
      <c r="BZ27" s="328">
        <f t="shared" si="139"/>
        <v>4420.6521693749983</v>
      </c>
      <c r="CA27" s="328">
        <f t="shared" si="139"/>
        <v>4420.6521693749983</v>
      </c>
      <c r="CB27" s="328">
        <f t="shared" si="139"/>
        <v>4420.6521693749983</v>
      </c>
      <c r="CC27" s="328">
        <f t="shared" si="139"/>
        <v>4420.6521693749983</v>
      </c>
      <c r="CD27" s="328">
        <f t="shared" si="139"/>
        <v>4420.6521693749983</v>
      </c>
      <c r="CE27" s="328">
        <f>CD27</f>
        <v>4420.6521693749983</v>
      </c>
      <c r="CF27" s="623"/>
      <c r="CG27" s="328">
        <f>'SG&amp;A'!H16/12</f>
        <v>4442.7554302218732</v>
      </c>
      <c r="CH27" s="328">
        <f t="shared" si="140"/>
        <v>4442.7554302218732</v>
      </c>
      <c r="CI27" s="328">
        <f t="shared" si="140"/>
        <v>4442.7554302218732</v>
      </c>
      <c r="CJ27" s="328">
        <f t="shared" si="140"/>
        <v>4442.7554302218732</v>
      </c>
      <c r="CK27" s="328">
        <f t="shared" si="140"/>
        <v>4442.7554302218732</v>
      </c>
      <c r="CL27" s="328">
        <f t="shared" si="140"/>
        <v>4442.7554302218732</v>
      </c>
      <c r="CM27" s="328">
        <f t="shared" si="140"/>
        <v>4442.7554302218732</v>
      </c>
      <c r="CN27" s="328">
        <f t="shared" si="140"/>
        <v>4442.7554302218732</v>
      </c>
      <c r="CO27" s="328">
        <f t="shared" si="140"/>
        <v>4442.7554302218732</v>
      </c>
      <c r="CP27" s="328">
        <f t="shared" si="140"/>
        <v>4442.7554302218732</v>
      </c>
      <c r="CQ27" s="328">
        <f t="shared" si="140"/>
        <v>4442.7554302218732</v>
      </c>
      <c r="CR27" s="328">
        <f>CQ27</f>
        <v>4442.7554302218732</v>
      </c>
      <c r="CS27" s="623"/>
      <c r="CT27" s="328">
        <f>'SG&amp;A'!H17/12</f>
        <v>4464.9692073729821</v>
      </c>
      <c r="CU27" s="328">
        <f t="shared" si="141"/>
        <v>4464.9692073729821</v>
      </c>
      <c r="CV27" s="328">
        <f t="shared" si="141"/>
        <v>4464.9692073729821</v>
      </c>
      <c r="CW27" s="328">
        <f t="shared" si="141"/>
        <v>4464.9692073729821</v>
      </c>
      <c r="CX27" s="328">
        <f t="shared" si="141"/>
        <v>4464.9692073729821</v>
      </c>
      <c r="CY27" s="328">
        <f t="shared" si="141"/>
        <v>4464.9692073729821</v>
      </c>
      <c r="CZ27" s="328">
        <f t="shared" si="141"/>
        <v>4464.9692073729821</v>
      </c>
      <c r="DA27" s="328">
        <f t="shared" si="141"/>
        <v>4464.9692073729821</v>
      </c>
      <c r="DB27" s="328">
        <f t="shared" si="141"/>
        <v>4464.9692073729821</v>
      </c>
      <c r="DC27" s="328">
        <f t="shared" si="141"/>
        <v>4464.9692073729821</v>
      </c>
      <c r="DD27" s="328">
        <f t="shared" si="141"/>
        <v>4464.9692073729821</v>
      </c>
      <c r="DE27" s="328">
        <f>DD27</f>
        <v>4464.9692073729821</v>
      </c>
      <c r="DF27" s="623"/>
      <c r="DG27" s="328">
        <f>'SG&amp;A'!H18/12</f>
        <v>4487.2940534098461</v>
      </c>
      <c r="DH27" s="328">
        <f t="shared" si="142"/>
        <v>4487.2940534098461</v>
      </c>
      <c r="DI27" s="328">
        <f t="shared" si="142"/>
        <v>4487.2940534098461</v>
      </c>
      <c r="DJ27" s="328">
        <f t="shared" si="142"/>
        <v>4487.2940534098461</v>
      </c>
      <c r="DK27" s="328">
        <f t="shared" si="142"/>
        <v>4487.2940534098461</v>
      </c>
      <c r="DL27" s="328">
        <f t="shared" si="142"/>
        <v>4487.2940534098461</v>
      </c>
      <c r="DM27" s="328">
        <f t="shared" si="142"/>
        <v>4487.2940534098461</v>
      </c>
      <c r="DN27" s="328">
        <f t="shared" si="142"/>
        <v>4487.2940534098461</v>
      </c>
      <c r="DO27" s="328">
        <f t="shared" si="142"/>
        <v>4487.2940534098461</v>
      </c>
      <c r="DP27" s="328">
        <f t="shared" si="142"/>
        <v>4487.2940534098461</v>
      </c>
      <c r="DQ27" s="328">
        <f t="shared" si="142"/>
        <v>4487.2940534098461</v>
      </c>
      <c r="DR27" s="328">
        <f t="shared" ref="DR27:DR30" si="149">DQ27</f>
        <v>4487.2940534098461</v>
      </c>
      <c r="DS27" s="623"/>
      <c r="DT27" s="328">
        <f>'SG&amp;A'!H19/12</f>
        <v>4509.7305236768952</v>
      </c>
      <c r="DU27" s="328">
        <f t="shared" si="143"/>
        <v>4509.7305236768952</v>
      </c>
      <c r="DV27" s="328">
        <f t="shared" si="143"/>
        <v>4509.7305236768952</v>
      </c>
      <c r="DW27" s="328">
        <f t="shared" si="143"/>
        <v>4509.7305236768952</v>
      </c>
      <c r="DX27" s="328">
        <f t="shared" si="143"/>
        <v>4509.7305236768952</v>
      </c>
      <c r="DY27" s="328">
        <f t="shared" si="143"/>
        <v>4509.7305236768952</v>
      </c>
      <c r="DZ27" s="328">
        <f t="shared" si="143"/>
        <v>4509.7305236768952</v>
      </c>
      <c r="EA27" s="328">
        <f t="shared" si="143"/>
        <v>4509.7305236768952</v>
      </c>
      <c r="EB27" s="328">
        <f t="shared" si="143"/>
        <v>4509.7305236768952</v>
      </c>
      <c r="EC27" s="328">
        <f t="shared" si="143"/>
        <v>4509.7305236768952</v>
      </c>
      <c r="ED27" s="328">
        <f t="shared" si="143"/>
        <v>4509.7305236768952</v>
      </c>
      <c r="EE27" s="328">
        <f>ED27</f>
        <v>4509.7305236768952</v>
      </c>
      <c r="EF27" s="623"/>
    </row>
    <row r="28" spans="3:136" x14ac:dyDescent="0.35">
      <c r="F28" s="12" t="s">
        <v>905</v>
      </c>
      <c r="G28" s="328">
        <f>'SG&amp;A'!M10/12</f>
        <v>3791.6666666666665</v>
      </c>
      <c r="H28" s="328">
        <f>G28</f>
        <v>3791.6666666666665</v>
      </c>
      <c r="I28" s="328">
        <f t="shared" ref="I28:R28" si="150">H28</f>
        <v>3791.6666666666665</v>
      </c>
      <c r="J28" s="328">
        <f t="shared" si="150"/>
        <v>3791.6666666666665</v>
      </c>
      <c r="K28" s="328">
        <f t="shared" si="150"/>
        <v>3791.6666666666665</v>
      </c>
      <c r="L28" s="328">
        <f t="shared" si="150"/>
        <v>3791.6666666666665</v>
      </c>
      <c r="M28" s="328">
        <f t="shared" si="150"/>
        <v>3791.6666666666665</v>
      </c>
      <c r="N28" s="328">
        <f t="shared" si="150"/>
        <v>3791.6666666666665</v>
      </c>
      <c r="O28" s="328">
        <f t="shared" si="150"/>
        <v>3791.6666666666665</v>
      </c>
      <c r="P28" s="328">
        <f t="shared" si="150"/>
        <v>3791.6666666666665</v>
      </c>
      <c r="Q28" s="328">
        <f t="shared" si="150"/>
        <v>3791.6666666666665</v>
      </c>
      <c r="R28" s="328">
        <f t="shared" si="150"/>
        <v>3791.6666666666665</v>
      </c>
      <c r="S28" s="623"/>
      <c r="T28" s="328">
        <f>'SG&amp;A'!M11/12</f>
        <v>3791.6666666666665</v>
      </c>
      <c r="U28" s="328">
        <f t="shared" si="145"/>
        <v>3791.6666666666665</v>
      </c>
      <c r="V28" s="328">
        <f t="shared" si="145"/>
        <v>3791.6666666666665</v>
      </c>
      <c r="W28" s="328">
        <f t="shared" si="145"/>
        <v>3791.6666666666665</v>
      </c>
      <c r="X28" s="328">
        <f t="shared" si="145"/>
        <v>3791.6666666666665</v>
      </c>
      <c r="Y28" s="328">
        <f t="shared" si="145"/>
        <v>3791.6666666666665</v>
      </c>
      <c r="Z28" s="328">
        <f t="shared" si="145"/>
        <v>3791.6666666666665</v>
      </c>
      <c r="AA28" s="328">
        <f t="shared" si="145"/>
        <v>3791.6666666666665</v>
      </c>
      <c r="AB28" s="328">
        <f t="shared" si="145"/>
        <v>3791.6666666666665</v>
      </c>
      <c r="AC28" s="328">
        <f t="shared" si="145"/>
        <v>3791.6666666666665</v>
      </c>
      <c r="AD28" s="328">
        <f t="shared" si="145"/>
        <v>3791.6666666666665</v>
      </c>
      <c r="AE28" s="328">
        <f t="shared" si="145"/>
        <v>3791.6666666666665</v>
      </c>
      <c r="AF28" s="623"/>
      <c r="AG28" s="328">
        <f>'SG&amp;A'!M12/12</f>
        <v>3810.6249999999995</v>
      </c>
      <c r="AH28" s="328">
        <f t="shared" si="136"/>
        <v>3810.6249999999995</v>
      </c>
      <c r="AI28" s="328">
        <f t="shared" si="136"/>
        <v>3810.6249999999995</v>
      </c>
      <c r="AJ28" s="328">
        <f t="shared" si="136"/>
        <v>3810.6249999999995</v>
      </c>
      <c r="AK28" s="328">
        <f t="shared" si="136"/>
        <v>3810.6249999999995</v>
      </c>
      <c r="AL28" s="328">
        <f t="shared" si="136"/>
        <v>3810.6249999999995</v>
      </c>
      <c r="AM28" s="328">
        <f t="shared" si="136"/>
        <v>3810.6249999999995</v>
      </c>
      <c r="AN28" s="328">
        <f t="shared" si="136"/>
        <v>3810.6249999999995</v>
      </c>
      <c r="AO28" s="328">
        <f t="shared" si="136"/>
        <v>3810.6249999999995</v>
      </c>
      <c r="AP28" s="328">
        <f t="shared" si="136"/>
        <v>3810.6249999999995</v>
      </c>
      <c r="AQ28" s="328">
        <f t="shared" si="136"/>
        <v>3810.6249999999995</v>
      </c>
      <c r="AR28" s="328">
        <f t="shared" ref="AR28" si="151">AQ28</f>
        <v>3810.6249999999995</v>
      </c>
      <c r="AS28" s="623"/>
      <c r="AT28" s="328">
        <f>'SG&amp;A'!M13/12</f>
        <v>3829.678124999999</v>
      </c>
      <c r="AU28" s="328">
        <f t="shared" si="137"/>
        <v>3829.678124999999</v>
      </c>
      <c r="AV28" s="328">
        <f t="shared" si="137"/>
        <v>3829.678124999999</v>
      </c>
      <c r="AW28" s="328">
        <f t="shared" si="137"/>
        <v>3829.678124999999</v>
      </c>
      <c r="AX28" s="328">
        <f t="shared" si="137"/>
        <v>3829.678124999999</v>
      </c>
      <c r="AY28" s="328">
        <f t="shared" si="137"/>
        <v>3829.678124999999</v>
      </c>
      <c r="AZ28" s="328">
        <f t="shared" si="137"/>
        <v>3829.678124999999</v>
      </c>
      <c r="BA28" s="328">
        <f t="shared" si="137"/>
        <v>3829.678124999999</v>
      </c>
      <c r="BB28" s="328">
        <f t="shared" si="137"/>
        <v>3829.678124999999</v>
      </c>
      <c r="BC28" s="328">
        <f t="shared" si="137"/>
        <v>3829.678124999999</v>
      </c>
      <c r="BD28" s="328">
        <f t="shared" si="137"/>
        <v>3829.678124999999</v>
      </c>
      <c r="BE28" s="328">
        <f t="shared" si="137"/>
        <v>3829.678124999999</v>
      </c>
      <c r="BF28" s="623"/>
      <c r="BG28" s="328">
        <f>'SG&amp;A'!M14/12</f>
        <v>3848.8265156249986</v>
      </c>
      <c r="BH28" s="328">
        <f t="shared" si="138"/>
        <v>3848.8265156249986</v>
      </c>
      <c r="BI28" s="328">
        <f t="shared" si="138"/>
        <v>3848.8265156249986</v>
      </c>
      <c r="BJ28" s="328">
        <f t="shared" si="138"/>
        <v>3848.8265156249986</v>
      </c>
      <c r="BK28" s="328">
        <f t="shared" si="138"/>
        <v>3848.8265156249986</v>
      </c>
      <c r="BL28" s="328">
        <f t="shared" si="138"/>
        <v>3848.8265156249986</v>
      </c>
      <c r="BM28" s="328">
        <f t="shared" si="138"/>
        <v>3848.8265156249986</v>
      </c>
      <c r="BN28" s="328">
        <f t="shared" si="138"/>
        <v>3848.8265156249986</v>
      </c>
      <c r="BO28" s="328">
        <f t="shared" si="138"/>
        <v>3848.8265156249986</v>
      </c>
      <c r="BP28" s="328">
        <f t="shared" si="138"/>
        <v>3848.8265156249986</v>
      </c>
      <c r="BQ28" s="328">
        <f t="shared" si="138"/>
        <v>3848.8265156249986</v>
      </c>
      <c r="BR28" s="328">
        <f>BQ28</f>
        <v>3848.8265156249986</v>
      </c>
      <c r="BS28" s="623"/>
      <c r="BT28" s="328">
        <f>'SG&amp;A'!M15/12</f>
        <v>3868.0706482031233</v>
      </c>
      <c r="BU28" s="328">
        <f t="shared" si="139"/>
        <v>3868.0706482031233</v>
      </c>
      <c r="BV28" s="328">
        <f t="shared" si="139"/>
        <v>3868.0706482031233</v>
      </c>
      <c r="BW28" s="328">
        <f t="shared" si="139"/>
        <v>3868.0706482031233</v>
      </c>
      <c r="BX28" s="328">
        <f t="shared" si="139"/>
        <v>3868.0706482031233</v>
      </c>
      <c r="BY28" s="328">
        <f t="shared" si="139"/>
        <v>3868.0706482031233</v>
      </c>
      <c r="BZ28" s="328">
        <f t="shared" si="139"/>
        <v>3868.0706482031233</v>
      </c>
      <c r="CA28" s="328">
        <f t="shared" si="139"/>
        <v>3868.0706482031233</v>
      </c>
      <c r="CB28" s="328">
        <f t="shared" si="139"/>
        <v>3868.0706482031233</v>
      </c>
      <c r="CC28" s="328">
        <f t="shared" si="139"/>
        <v>3868.0706482031233</v>
      </c>
      <c r="CD28" s="328">
        <f t="shared" si="139"/>
        <v>3868.0706482031233</v>
      </c>
      <c r="CE28" s="328">
        <f>CD28</f>
        <v>3868.0706482031233</v>
      </c>
      <c r="CF28" s="623"/>
      <c r="CG28" s="328">
        <f>'SG&amp;A'!M16/12</f>
        <v>3887.411001444138</v>
      </c>
      <c r="CH28" s="328">
        <f t="shared" si="140"/>
        <v>3887.411001444138</v>
      </c>
      <c r="CI28" s="328">
        <f t="shared" si="140"/>
        <v>3887.411001444138</v>
      </c>
      <c r="CJ28" s="328">
        <f t="shared" si="140"/>
        <v>3887.411001444138</v>
      </c>
      <c r="CK28" s="328">
        <f t="shared" si="140"/>
        <v>3887.411001444138</v>
      </c>
      <c r="CL28" s="328">
        <f t="shared" si="140"/>
        <v>3887.411001444138</v>
      </c>
      <c r="CM28" s="328">
        <f t="shared" si="140"/>
        <v>3887.411001444138</v>
      </c>
      <c r="CN28" s="328">
        <f t="shared" si="140"/>
        <v>3887.411001444138</v>
      </c>
      <c r="CO28" s="328">
        <f t="shared" si="140"/>
        <v>3887.411001444138</v>
      </c>
      <c r="CP28" s="328">
        <f t="shared" si="140"/>
        <v>3887.411001444138</v>
      </c>
      <c r="CQ28" s="328">
        <f t="shared" si="140"/>
        <v>3887.411001444138</v>
      </c>
      <c r="CR28" s="328">
        <f>CQ28</f>
        <v>3887.411001444138</v>
      </c>
      <c r="CS28" s="623"/>
      <c r="CT28" s="328">
        <f>'SG&amp;A'!M17/12</f>
        <v>3906.8480564513588</v>
      </c>
      <c r="CU28" s="328">
        <f t="shared" si="141"/>
        <v>3906.8480564513588</v>
      </c>
      <c r="CV28" s="328">
        <f t="shared" si="141"/>
        <v>3906.8480564513588</v>
      </c>
      <c r="CW28" s="328">
        <f t="shared" si="141"/>
        <v>3906.8480564513588</v>
      </c>
      <c r="CX28" s="328">
        <f t="shared" si="141"/>
        <v>3906.8480564513588</v>
      </c>
      <c r="CY28" s="328">
        <f t="shared" si="141"/>
        <v>3906.8480564513588</v>
      </c>
      <c r="CZ28" s="328">
        <f t="shared" si="141"/>
        <v>3906.8480564513588</v>
      </c>
      <c r="DA28" s="328">
        <f t="shared" si="141"/>
        <v>3906.8480564513588</v>
      </c>
      <c r="DB28" s="328">
        <f t="shared" si="141"/>
        <v>3906.8480564513588</v>
      </c>
      <c r="DC28" s="328">
        <f t="shared" si="141"/>
        <v>3906.8480564513588</v>
      </c>
      <c r="DD28" s="328">
        <f t="shared" si="141"/>
        <v>3906.8480564513588</v>
      </c>
      <c r="DE28" s="328">
        <f>DD28</f>
        <v>3906.8480564513588</v>
      </c>
      <c r="DF28" s="623"/>
      <c r="DG28" s="328">
        <f>'SG&amp;A'!M18/12</f>
        <v>3926.382296733615</v>
      </c>
      <c r="DH28" s="328">
        <f t="shared" si="142"/>
        <v>3926.382296733615</v>
      </c>
      <c r="DI28" s="328">
        <f t="shared" si="142"/>
        <v>3926.382296733615</v>
      </c>
      <c r="DJ28" s="328">
        <f t="shared" si="142"/>
        <v>3926.382296733615</v>
      </c>
      <c r="DK28" s="328">
        <f t="shared" si="142"/>
        <v>3926.382296733615</v>
      </c>
      <c r="DL28" s="328">
        <f t="shared" si="142"/>
        <v>3926.382296733615</v>
      </c>
      <c r="DM28" s="328">
        <f t="shared" si="142"/>
        <v>3926.382296733615</v>
      </c>
      <c r="DN28" s="328">
        <f t="shared" si="142"/>
        <v>3926.382296733615</v>
      </c>
      <c r="DO28" s="328">
        <f t="shared" si="142"/>
        <v>3926.382296733615</v>
      </c>
      <c r="DP28" s="328">
        <f t="shared" si="142"/>
        <v>3926.382296733615</v>
      </c>
      <c r="DQ28" s="328">
        <f t="shared" si="142"/>
        <v>3926.382296733615</v>
      </c>
      <c r="DR28" s="328">
        <f t="shared" si="149"/>
        <v>3926.382296733615</v>
      </c>
      <c r="DS28" s="623"/>
      <c r="DT28" s="328">
        <f>'SG&amp;A'!M19/12</f>
        <v>3946.0142082172829</v>
      </c>
      <c r="DU28" s="328">
        <f t="shared" si="143"/>
        <v>3946.0142082172829</v>
      </c>
      <c r="DV28" s="328">
        <f t="shared" si="143"/>
        <v>3946.0142082172829</v>
      </c>
      <c r="DW28" s="328">
        <f t="shared" si="143"/>
        <v>3946.0142082172829</v>
      </c>
      <c r="DX28" s="328">
        <f t="shared" si="143"/>
        <v>3946.0142082172829</v>
      </c>
      <c r="DY28" s="328">
        <f t="shared" si="143"/>
        <v>3946.0142082172829</v>
      </c>
      <c r="DZ28" s="328">
        <f t="shared" si="143"/>
        <v>3946.0142082172829</v>
      </c>
      <c r="EA28" s="328">
        <f t="shared" si="143"/>
        <v>3946.0142082172829</v>
      </c>
      <c r="EB28" s="328">
        <f t="shared" si="143"/>
        <v>3946.0142082172829</v>
      </c>
      <c r="EC28" s="328">
        <f t="shared" si="143"/>
        <v>3946.0142082172829</v>
      </c>
      <c r="ED28" s="328">
        <f t="shared" si="143"/>
        <v>3946.0142082172829</v>
      </c>
      <c r="EE28" s="328">
        <f>ED28</f>
        <v>3946.0142082172829</v>
      </c>
      <c r="EF28" s="623"/>
    </row>
    <row r="29" spans="3:136" x14ac:dyDescent="0.35">
      <c r="F29" s="12" t="s">
        <v>901</v>
      </c>
      <c r="G29" s="328">
        <f>'SG&amp;A'!N10</f>
        <v>3500</v>
      </c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623"/>
      <c r="T29" s="328">
        <f>'SG&amp;A'!N11</f>
        <v>9800</v>
      </c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623"/>
      <c r="AG29" s="328">
        <f>'SG&amp;A'!N12</f>
        <v>9848.9999999999982</v>
      </c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623"/>
      <c r="AT29" s="328">
        <f>'SG&amp;A'!N13</f>
        <v>9898.2449999999972</v>
      </c>
      <c r="AU29" s="328"/>
      <c r="AV29" s="328"/>
      <c r="AW29" s="328"/>
      <c r="AX29" s="328"/>
      <c r="AY29" s="328"/>
      <c r="AZ29" s="328"/>
      <c r="BA29" s="328"/>
      <c r="BB29" s="328"/>
      <c r="BC29" s="328"/>
      <c r="BD29" s="328"/>
      <c r="BE29" s="328"/>
      <c r="BF29" s="623"/>
      <c r="BG29" s="328">
        <f>'SG&amp;A'!N14</f>
        <v>9947.7362249999969</v>
      </c>
      <c r="BH29" s="328"/>
      <c r="BI29" s="328"/>
      <c r="BJ29" s="328"/>
      <c r="BK29" s="328"/>
      <c r="BL29" s="328"/>
      <c r="BM29" s="328"/>
      <c r="BN29" s="328"/>
      <c r="BO29" s="328"/>
      <c r="BP29" s="328"/>
      <c r="BQ29" s="328"/>
      <c r="BR29" s="328"/>
      <c r="BS29" s="623"/>
      <c r="BT29" s="328">
        <f>'SG&amp;A'!N15</f>
        <v>9997.474906124995</v>
      </c>
      <c r="BU29" s="328"/>
      <c r="BV29" s="328"/>
      <c r="BW29" s="328"/>
      <c r="BX29" s="328"/>
      <c r="BY29" s="328"/>
      <c r="BZ29" s="328"/>
      <c r="CA29" s="328"/>
      <c r="CB29" s="328"/>
      <c r="CC29" s="328"/>
      <c r="CD29" s="328"/>
      <c r="CE29" s="328"/>
      <c r="CF29" s="623"/>
      <c r="CG29" s="328">
        <f>'SG&amp;A'!N16</f>
        <v>10047.462280655618</v>
      </c>
      <c r="CH29" s="328"/>
      <c r="CI29" s="328"/>
      <c r="CJ29" s="328"/>
      <c r="CK29" s="328"/>
      <c r="CL29" s="328"/>
      <c r="CM29" s="328"/>
      <c r="CN29" s="328"/>
      <c r="CO29" s="328"/>
      <c r="CP29" s="328"/>
      <c r="CQ29" s="328"/>
      <c r="CR29" s="328"/>
      <c r="CS29" s="623"/>
      <c r="CT29" s="328">
        <f>'SG&amp;A'!N17</f>
        <v>10097.699592058894</v>
      </c>
      <c r="CU29" s="328"/>
      <c r="CV29" s="328"/>
      <c r="CW29" s="328"/>
      <c r="CX29" s="328"/>
      <c r="CY29" s="328"/>
      <c r="CZ29" s="328"/>
      <c r="DA29" s="328"/>
      <c r="DB29" s="328"/>
      <c r="DC29" s="328"/>
      <c r="DD29" s="328"/>
      <c r="DE29" s="328"/>
      <c r="DF29" s="623"/>
      <c r="DG29" s="328">
        <f>'SG&amp;A'!N18</f>
        <v>10148.188090019188</v>
      </c>
      <c r="DH29" s="328"/>
      <c r="DI29" s="328"/>
      <c r="DJ29" s="328"/>
      <c r="DK29" s="328"/>
      <c r="DL29" s="328"/>
      <c r="DM29" s="328"/>
      <c r="DN29" s="328"/>
      <c r="DO29" s="328"/>
      <c r="DP29" s="328"/>
      <c r="DQ29" s="328"/>
      <c r="DR29" s="328"/>
      <c r="DS29" s="623"/>
      <c r="DT29" s="328">
        <f>'SG&amp;A'!N19</f>
        <v>10198.929030469282</v>
      </c>
      <c r="DU29" s="328"/>
      <c r="DV29" s="328"/>
      <c r="DW29" s="328"/>
      <c r="DX29" s="328"/>
      <c r="DY29" s="328"/>
      <c r="DZ29" s="328"/>
      <c r="EA29" s="328"/>
      <c r="EB29" s="328"/>
      <c r="EC29" s="328"/>
      <c r="ED29" s="328"/>
      <c r="EE29" s="328"/>
      <c r="EF29" s="623"/>
    </row>
    <row r="30" spans="3:136" x14ac:dyDescent="0.35">
      <c r="F30" s="12" t="s">
        <v>906</v>
      </c>
      <c r="G30" s="328">
        <f>'SG&amp;A'!P10/12</f>
        <v>833.33333333333337</v>
      </c>
      <c r="H30" s="328">
        <f>G30</f>
        <v>833.33333333333337</v>
      </c>
      <c r="I30" s="328">
        <f t="shared" ref="I30:R30" si="152">H30</f>
        <v>833.33333333333337</v>
      </c>
      <c r="J30" s="328">
        <f t="shared" si="152"/>
        <v>833.33333333333337</v>
      </c>
      <c r="K30" s="328">
        <f t="shared" si="152"/>
        <v>833.33333333333337</v>
      </c>
      <c r="L30" s="328">
        <f t="shared" si="152"/>
        <v>833.33333333333337</v>
      </c>
      <c r="M30" s="328">
        <f t="shared" si="152"/>
        <v>833.33333333333337</v>
      </c>
      <c r="N30" s="328">
        <f t="shared" si="152"/>
        <v>833.33333333333337</v>
      </c>
      <c r="O30" s="328">
        <f t="shared" si="152"/>
        <v>833.33333333333337</v>
      </c>
      <c r="P30" s="328">
        <f t="shared" si="152"/>
        <v>833.33333333333337</v>
      </c>
      <c r="Q30" s="328">
        <f t="shared" si="152"/>
        <v>833.33333333333337</v>
      </c>
      <c r="R30" s="328">
        <f t="shared" si="152"/>
        <v>833.33333333333337</v>
      </c>
      <c r="S30" s="623"/>
      <c r="T30" s="328">
        <f>'SG&amp;A'!P11/12</f>
        <v>1666.6666666666667</v>
      </c>
      <c r="U30" s="328">
        <f t="shared" si="145"/>
        <v>1666.6666666666667</v>
      </c>
      <c r="V30" s="328">
        <f t="shared" si="145"/>
        <v>1666.6666666666667</v>
      </c>
      <c r="W30" s="328">
        <f t="shared" si="145"/>
        <v>1666.6666666666667</v>
      </c>
      <c r="X30" s="328">
        <f t="shared" si="145"/>
        <v>1666.6666666666667</v>
      </c>
      <c r="Y30" s="328">
        <f t="shared" si="145"/>
        <v>1666.6666666666667</v>
      </c>
      <c r="Z30" s="328">
        <f t="shared" si="145"/>
        <v>1666.6666666666667</v>
      </c>
      <c r="AA30" s="328">
        <f t="shared" si="145"/>
        <v>1666.6666666666667</v>
      </c>
      <c r="AB30" s="328">
        <f t="shared" si="145"/>
        <v>1666.6666666666667</v>
      </c>
      <c r="AC30" s="328">
        <f t="shared" si="145"/>
        <v>1666.6666666666667</v>
      </c>
      <c r="AD30" s="328">
        <f t="shared" si="145"/>
        <v>1666.6666666666667</v>
      </c>
      <c r="AE30" s="328">
        <f t="shared" si="145"/>
        <v>1666.6666666666667</v>
      </c>
      <c r="AF30" s="623"/>
      <c r="AG30" s="328">
        <f>'SG&amp;A'!P12/12</f>
        <v>1674.9999999999998</v>
      </c>
      <c r="AH30" s="328">
        <f t="shared" si="136"/>
        <v>1674.9999999999998</v>
      </c>
      <c r="AI30" s="328">
        <f t="shared" si="136"/>
        <v>1674.9999999999998</v>
      </c>
      <c r="AJ30" s="328">
        <f t="shared" si="136"/>
        <v>1674.9999999999998</v>
      </c>
      <c r="AK30" s="328">
        <f t="shared" si="136"/>
        <v>1674.9999999999998</v>
      </c>
      <c r="AL30" s="328">
        <f t="shared" si="136"/>
        <v>1674.9999999999998</v>
      </c>
      <c r="AM30" s="328">
        <f t="shared" si="136"/>
        <v>1674.9999999999998</v>
      </c>
      <c r="AN30" s="328">
        <f t="shared" si="136"/>
        <v>1674.9999999999998</v>
      </c>
      <c r="AO30" s="328">
        <f t="shared" si="136"/>
        <v>1674.9999999999998</v>
      </c>
      <c r="AP30" s="328">
        <f t="shared" si="136"/>
        <v>1674.9999999999998</v>
      </c>
      <c r="AQ30" s="328">
        <f t="shared" si="136"/>
        <v>1674.9999999999998</v>
      </c>
      <c r="AR30" s="328">
        <f t="shared" ref="AR30" si="153">AQ30</f>
        <v>1674.9999999999998</v>
      </c>
      <c r="AS30" s="623"/>
      <c r="AT30" s="328">
        <f>'SG&amp;A'!P13/12</f>
        <v>1683.3749999999993</v>
      </c>
      <c r="AU30" s="328">
        <f t="shared" si="137"/>
        <v>1683.3749999999993</v>
      </c>
      <c r="AV30" s="328">
        <f t="shared" si="137"/>
        <v>1683.3749999999993</v>
      </c>
      <c r="AW30" s="328">
        <f t="shared" si="137"/>
        <v>1683.3749999999993</v>
      </c>
      <c r="AX30" s="328">
        <f t="shared" si="137"/>
        <v>1683.3749999999993</v>
      </c>
      <c r="AY30" s="328">
        <f t="shared" si="137"/>
        <v>1683.3749999999993</v>
      </c>
      <c r="AZ30" s="328">
        <f t="shared" si="137"/>
        <v>1683.3749999999993</v>
      </c>
      <c r="BA30" s="328">
        <f t="shared" si="137"/>
        <v>1683.3749999999993</v>
      </c>
      <c r="BB30" s="328">
        <f t="shared" si="137"/>
        <v>1683.3749999999993</v>
      </c>
      <c r="BC30" s="328">
        <f t="shared" si="137"/>
        <v>1683.3749999999993</v>
      </c>
      <c r="BD30" s="328">
        <f t="shared" si="137"/>
        <v>1683.3749999999993</v>
      </c>
      <c r="BE30" s="328">
        <f t="shared" si="137"/>
        <v>1683.3749999999993</v>
      </c>
      <c r="BF30" s="623"/>
      <c r="BG30" s="328">
        <f>'SG&amp;A'!P14/12</f>
        <v>1691.7918749999992</v>
      </c>
      <c r="BH30" s="328">
        <f t="shared" si="138"/>
        <v>1691.7918749999992</v>
      </c>
      <c r="BI30" s="328">
        <f t="shared" si="138"/>
        <v>1691.7918749999992</v>
      </c>
      <c r="BJ30" s="328">
        <f t="shared" si="138"/>
        <v>1691.7918749999992</v>
      </c>
      <c r="BK30" s="328">
        <f t="shared" si="138"/>
        <v>1691.7918749999992</v>
      </c>
      <c r="BL30" s="328">
        <f t="shared" si="138"/>
        <v>1691.7918749999992</v>
      </c>
      <c r="BM30" s="328">
        <f t="shared" si="138"/>
        <v>1691.7918749999992</v>
      </c>
      <c r="BN30" s="328">
        <f t="shared" si="138"/>
        <v>1691.7918749999992</v>
      </c>
      <c r="BO30" s="328">
        <f t="shared" si="138"/>
        <v>1691.7918749999992</v>
      </c>
      <c r="BP30" s="328">
        <f t="shared" si="138"/>
        <v>1691.7918749999992</v>
      </c>
      <c r="BQ30" s="328">
        <f t="shared" si="138"/>
        <v>1691.7918749999992</v>
      </c>
      <c r="BR30" s="328">
        <f>BQ30</f>
        <v>1691.7918749999992</v>
      </c>
      <c r="BS30" s="623"/>
      <c r="BT30" s="328">
        <f>'SG&amp;A'!P15/12</f>
        <v>1700.2508343749989</v>
      </c>
      <c r="BU30" s="328">
        <f t="shared" si="139"/>
        <v>1700.2508343749989</v>
      </c>
      <c r="BV30" s="328">
        <f t="shared" si="139"/>
        <v>1700.2508343749989</v>
      </c>
      <c r="BW30" s="328">
        <f t="shared" si="139"/>
        <v>1700.2508343749989</v>
      </c>
      <c r="BX30" s="328">
        <f t="shared" si="139"/>
        <v>1700.2508343749989</v>
      </c>
      <c r="BY30" s="328">
        <f t="shared" si="139"/>
        <v>1700.2508343749989</v>
      </c>
      <c r="BZ30" s="328">
        <f t="shared" si="139"/>
        <v>1700.2508343749989</v>
      </c>
      <c r="CA30" s="328">
        <f t="shared" si="139"/>
        <v>1700.2508343749989</v>
      </c>
      <c r="CB30" s="328">
        <f t="shared" si="139"/>
        <v>1700.2508343749989</v>
      </c>
      <c r="CC30" s="328">
        <f t="shared" si="139"/>
        <v>1700.2508343749989</v>
      </c>
      <c r="CD30" s="328">
        <f t="shared" si="139"/>
        <v>1700.2508343749989</v>
      </c>
      <c r="CE30" s="328">
        <f>CD30</f>
        <v>1700.2508343749989</v>
      </c>
      <c r="CF30" s="623"/>
      <c r="CG30" s="328">
        <f>'SG&amp;A'!P16/12</f>
        <v>1708.7520885468739</v>
      </c>
      <c r="CH30" s="328">
        <f t="shared" si="140"/>
        <v>1708.7520885468739</v>
      </c>
      <c r="CI30" s="328">
        <f t="shared" si="140"/>
        <v>1708.7520885468739</v>
      </c>
      <c r="CJ30" s="328">
        <f t="shared" si="140"/>
        <v>1708.7520885468739</v>
      </c>
      <c r="CK30" s="328">
        <f t="shared" si="140"/>
        <v>1708.7520885468739</v>
      </c>
      <c r="CL30" s="328">
        <f t="shared" si="140"/>
        <v>1708.7520885468739</v>
      </c>
      <c r="CM30" s="328">
        <f t="shared" si="140"/>
        <v>1708.7520885468739</v>
      </c>
      <c r="CN30" s="328">
        <f t="shared" si="140"/>
        <v>1708.7520885468739</v>
      </c>
      <c r="CO30" s="328">
        <f t="shared" si="140"/>
        <v>1708.7520885468739</v>
      </c>
      <c r="CP30" s="328">
        <f t="shared" si="140"/>
        <v>1708.7520885468739</v>
      </c>
      <c r="CQ30" s="328">
        <f t="shared" si="140"/>
        <v>1708.7520885468739</v>
      </c>
      <c r="CR30" s="328">
        <f>CQ30</f>
        <v>1708.7520885468739</v>
      </c>
      <c r="CS30" s="623"/>
      <c r="CT30" s="328">
        <f>'SG&amp;A'!P17/12</f>
        <v>1717.2958489896082</v>
      </c>
      <c r="CU30" s="328">
        <f t="shared" si="141"/>
        <v>1717.2958489896082</v>
      </c>
      <c r="CV30" s="328">
        <f t="shared" si="141"/>
        <v>1717.2958489896082</v>
      </c>
      <c r="CW30" s="328">
        <f t="shared" si="141"/>
        <v>1717.2958489896082</v>
      </c>
      <c r="CX30" s="328">
        <f t="shared" si="141"/>
        <v>1717.2958489896082</v>
      </c>
      <c r="CY30" s="328">
        <f t="shared" si="141"/>
        <v>1717.2958489896082</v>
      </c>
      <c r="CZ30" s="328">
        <f t="shared" si="141"/>
        <v>1717.2958489896082</v>
      </c>
      <c r="DA30" s="328">
        <f t="shared" si="141"/>
        <v>1717.2958489896082</v>
      </c>
      <c r="DB30" s="328">
        <f t="shared" si="141"/>
        <v>1717.2958489896082</v>
      </c>
      <c r="DC30" s="328">
        <f t="shared" si="141"/>
        <v>1717.2958489896082</v>
      </c>
      <c r="DD30" s="328">
        <f t="shared" si="141"/>
        <v>1717.2958489896082</v>
      </c>
      <c r="DE30" s="328">
        <f>DD30</f>
        <v>1717.2958489896082</v>
      </c>
      <c r="DF30" s="623"/>
      <c r="DG30" s="328">
        <f>'SG&amp;A'!P18/12</f>
        <v>1725.8823282345559</v>
      </c>
      <c r="DH30" s="328">
        <f t="shared" si="142"/>
        <v>1725.8823282345559</v>
      </c>
      <c r="DI30" s="328">
        <f t="shared" si="142"/>
        <v>1725.8823282345559</v>
      </c>
      <c r="DJ30" s="328">
        <f t="shared" si="142"/>
        <v>1725.8823282345559</v>
      </c>
      <c r="DK30" s="328">
        <f t="shared" si="142"/>
        <v>1725.8823282345559</v>
      </c>
      <c r="DL30" s="328">
        <f t="shared" si="142"/>
        <v>1725.8823282345559</v>
      </c>
      <c r="DM30" s="328">
        <f t="shared" si="142"/>
        <v>1725.8823282345559</v>
      </c>
      <c r="DN30" s="328">
        <f t="shared" si="142"/>
        <v>1725.8823282345559</v>
      </c>
      <c r="DO30" s="328">
        <f t="shared" si="142"/>
        <v>1725.8823282345559</v>
      </c>
      <c r="DP30" s="328">
        <f t="shared" si="142"/>
        <v>1725.8823282345559</v>
      </c>
      <c r="DQ30" s="328">
        <f t="shared" si="142"/>
        <v>1725.8823282345559</v>
      </c>
      <c r="DR30" s="328">
        <f t="shared" si="149"/>
        <v>1725.8823282345559</v>
      </c>
      <c r="DS30" s="623"/>
      <c r="DT30" s="328">
        <f>'SG&amp;A'!P19/12</f>
        <v>1734.5117398757286</v>
      </c>
      <c r="DU30" s="328">
        <f t="shared" si="143"/>
        <v>1734.5117398757286</v>
      </c>
      <c r="DV30" s="328">
        <f t="shared" si="143"/>
        <v>1734.5117398757286</v>
      </c>
      <c r="DW30" s="328">
        <f t="shared" si="143"/>
        <v>1734.5117398757286</v>
      </c>
      <c r="DX30" s="328">
        <f t="shared" si="143"/>
        <v>1734.5117398757286</v>
      </c>
      <c r="DY30" s="328">
        <f t="shared" si="143"/>
        <v>1734.5117398757286</v>
      </c>
      <c r="DZ30" s="328">
        <f t="shared" si="143"/>
        <v>1734.5117398757286</v>
      </c>
      <c r="EA30" s="328">
        <f t="shared" si="143"/>
        <v>1734.5117398757286</v>
      </c>
      <c r="EB30" s="328">
        <f t="shared" si="143"/>
        <v>1734.5117398757286</v>
      </c>
      <c r="EC30" s="328">
        <f t="shared" si="143"/>
        <v>1734.5117398757286</v>
      </c>
      <c r="ED30" s="328">
        <f t="shared" si="143"/>
        <v>1734.5117398757286</v>
      </c>
      <c r="EE30" s="328">
        <f>ED30</f>
        <v>1734.5117398757286</v>
      </c>
      <c r="EF30" s="623"/>
    </row>
    <row r="31" spans="3:136" x14ac:dyDescent="0.35">
      <c r="E31" s="15" t="s">
        <v>15</v>
      </c>
      <c r="F31" s="12" t="s">
        <v>1277</v>
      </c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>
        <f>IncomeStatement!B20</f>
        <v>0</v>
      </c>
      <c r="S31" s="623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>
        <f>-1*IncomeStatement!C20</f>
        <v>0</v>
      </c>
      <c r="AF31" s="623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>
        <f>-1*IncomeStatement!D20</f>
        <v>94918.717754177778</v>
      </c>
      <c r="AS31" s="623"/>
      <c r="AT31" s="328"/>
      <c r="AU31" s="328"/>
      <c r="AV31" s="328"/>
      <c r="AW31" s="328"/>
      <c r="AX31" s="328"/>
      <c r="AY31" s="328"/>
      <c r="AZ31" s="328"/>
      <c r="BA31" s="328"/>
      <c r="BB31" s="328"/>
      <c r="BC31" s="328"/>
      <c r="BD31" s="328"/>
      <c r="BE31" s="328">
        <f>-1*IncomeStatement!E20</f>
        <v>153641.57755417767</v>
      </c>
      <c r="BF31" s="623"/>
      <c r="BG31" s="328"/>
      <c r="BH31" s="328"/>
      <c r="BI31" s="328"/>
      <c r="BJ31" s="328"/>
      <c r="BK31" s="328"/>
      <c r="BL31" s="328"/>
      <c r="BM31" s="328"/>
      <c r="BN31" s="328"/>
      <c r="BO31" s="328"/>
      <c r="BP31" s="328"/>
      <c r="BQ31" s="328"/>
      <c r="BR31" s="328">
        <f>-1*IncomeStatement!F20</f>
        <v>86975.664988177814</v>
      </c>
      <c r="BS31" s="623"/>
      <c r="BT31" s="328"/>
      <c r="BU31" s="328"/>
      <c r="BV31" s="328"/>
      <c r="BW31" s="328"/>
      <c r="BX31" s="328"/>
      <c r="BY31" s="328"/>
      <c r="BZ31" s="328"/>
      <c r="CA31" s="328"/>
      <c r="CB31" s="328"/>
      <c r="CC31" s="328"/>
      <c r="CD31" s="328"/>
      <c r="CE31" s="328">
        <f>-1*IncomeStatement!G20</f>
        <v>117980.7718568478</v>
      </c>
      <c r="CF31" s="623"/>
      <c r="CG31" s="328"/>
      <c r="CH31" s="328"/>
      <c r="CI31" s="328"/>
      <c r="CJ31" s="328"/>
      <c r="CK31" s="328"/>
      <c r="CL31" s="328"/>
      <c r="CM31" s="328"/>
      <c r="CN31" s="328"/>
      <c r="CO31" s="328"/>
      <c r="CP31" s="328"/>
      <c r="CQ31" s="328"/>
      <c r="CR31" s="328">
        <f>-1*IncomeStatement!H20</f>
        <v>168679.27192736114</v>
      </c>
      <c r="CS31" s="623"/>
      <c r="CT31" s="328"/>
      <c r="CU31" s="328"/>
      <c r="CV31" s="328"/>
      <c r="CW31" s="328"/>
      <c r="CX31" s="328"/>
      <c r="CY31" s="328"/>
      <c r="CZ31" s="328"/>
      <c r="DA31" s="328"/>
      <c r="DB31" s="328"/>
      <c r="DC31" s="328"/>
      <c r="DD31" s="328"/>
      <c r="DE31" s="328">
        <f>-1*IncomeStatement!I20</f>
        <v>92461.299433227061</v>
      </c>
      <c r="DF31" s="623"/>
      <c r="DG31" s="328"/>
      <c r="DH31" s="328"/>
      <c r="DI31" s="328"/>
      <c r="DJ31" s="328"/>
      <c r="DK31" s="328"/>
      <c r="DL31" s="328"/>
      <c r="DM31" s="328"/>
      <c r="DN31" s="328"/>
      <c r="DO31" s="328"/>
      <c r="DP31" s="328"/>
      <c r="DQ31" s="328"/>
      <c r="DR31" s="328">
        <f>-1*IncomeStatement!J20</f>
        <v>118688.32607412232</v>
      </c>
      <c r="DS31" s="623"/>
      <c r="DT31" s="328"/>
      <c r="DU31" s="328"/>
      <c r="DV31" s="328"/>
      <c r="DW31" s="328"/>
      <c r="DX31" s="328"/>
      <c r="DY31" s="328"/>
      <c r="DZ31" s="328"/>
      <c r="EA31" s="328"/>
      <c r="EB31" s="328"/>
      <c r="EC31" s="328"/>
      <c r="ED31" s="328"/>
      <c r="EE31" s="328">
        <f>-1*IncomeStatement!K20</f>
        <v>207125.04551572198</v>
      </c>
      <c r="EF31" s="623"/>
    </row>
    <row r="32" spans="3:136" x14ac:dyDescent="0.35">
      <c r="E32" s="15" t="s">
        <v>18</v>
      </c>
      <c r="F32" s="12" t="s">
        <v>1267</v>
      </c>
      <c r="G32" s="499">
        <f>SUM(G19:G31)</f>
        <v>287321.74166666664</v>
      </c>
      <c r="H32" s="499">
        <f t="shared" ref="H32:R32" si="154">SUM(H19:H31)</f>
        <v>70851.741666666669</v>
      </c>
      <c r="I32" s="499">
        <f t="shared" si="154"/>
        <v>83003.065291666673</v>
      </c>
      <c r="J32" s="499">
        <f t="shared" si="154"/>
        <v>81878.065291666673</v>
      </c>
      <c r="K32" s="499">
        <f t="shared" si="154"/>
        <v>81878.065291666673</v>
      </c>
      <c r="L32" s="499">
        <f t="shared" si="154"/>
        <v>81878.065291666673</v>
      </c>
      <c r="M32" s="499">
        <f t="shared" si="154"/>
        <v>81878.065291666673</v>
      </c>
      <c r="N32" s="499">
        <f t="shared" si="154"/>
        <v>86513.065291666673</v>
      </c>
      <c r="O32" s="499">
        <f t="shared" si="154"/>
        <v>81878.065291666673</v>
      </c>
      <c r="P32" s="499">
        <f t="shared" si="154"/>
        <v>81878.065291666673</v>
      </c>
      <c r="Q32" s="499">
        <f t="shared" si="154"/>
        <v>81878.065291666673</v>
      </c>
      <c r="R32" s="499">
        <f t="shared" si="154"/>
        <v>84878.065291666673</v>
      </c>
      <c r="S32" s="623"/>
      <c r="T32" s="499">
        <f>SUM(T19:T31)</f>
        <v>923404.95695833315</v>
      </c>
      <c r="U32" s="499">
        <f t="shared" ref="U32" si="155">SUM(U19:U31)</f>
        <v>273944.95695833338</v>
      </c>
      <c r="V32" s="499">
        <f t="shared" ref="V32" si="156">SUM(V19:V31)</f>
        <v>310322.92783333338</v>
      </c>
      <c r="W32" s="499">
        <f t="shared" ref="W32" si="157">SUM(W19:W31)</f>
        <v>307022.92783333338</v>
      </c>
      <c r="X32" s="499">
        <f t="shared" ref="X32" si="158">SUM(X19:X31)</f>
        <v>307022.92783333338</v>
      </c>
      <c r="Y32" s="499">
        <f t="shared" ref="Y32" si="159">SUM(Y19:Y31)</f>
        <v>307022.92783333338</v>
      </c>
      <c r="Z32" s="499">
        <f t="shared" ref="Z32" si="160">SUM(Z19:Z31)</f>
        <v>573048.00283333333</v>
      </c>
      <c r="AA32" s="499">
        <f t="shared" ref="AA32" si="161">SUM(AA19:AA31)</f>
        <v>374683.00283333333</v>
      </c>
      <c r="AB32" s="499">
        <f t="shared" ref="AB32" si="162">SUM(AB19:AB31)</f>
        <v>308147.92783333338</v>
      </c>
      <c r="AC32" s="499">
        <f t="shared" ref="AC32" si="163">SUM(AC19:AC31)</f>
        <v>307022.92783333338</v>
      </c>
      <c r="AD32" s="499">
        <f t="shared" ref="AD32" si="164">SUM(AD19:AD31)</f>
        <v>307022.92783333338</v>
      </c>
      <c r="AE32" s="499">
        <f t="shared" ref="AE32" si="165">SUM(AE19:AE31)</f>
        <v>319022.92783333338</v>
      </c>
      <c r="AF32" s="623"/>
      <c r="AG32" s="499">
        <f>SUM(AG19:AG31)</f>
        <v>320069.84450000001</v>
      </c>
      <c r="AH32" s="499">
        <f t="shared" ref="AH32" si="166">SUM(AH19:AH31)</f>
        <v>311855.84450000001</v>
      </c>
      <c r="AI32" s="499">
        <f t="shared" ref="AI32" si="167">SUM(AI19:AI31)</f>
        <v>307220.84450000001</v>
      </c>
      <c r="AJ32" s="499">
        <f t="shared" ref="AJ32" si="168">SUM(AJ19:AJ31)</f>
        <v>307220.84450000001</v>
      </c>
      <c r="AK32" s="499">
        <f t="shared" ref="AK32" si="169">SUM(AK19:AK31)</f>
        <v>307220.84450000001</v>
      </c>
      <c r="AL32" s="499">
        <f t="shared" ref="AL32" si="170">SUM(AL19:AL31)</f>
        <v>307220.84450000001</v>
      </c>
      <c r="AM32" s="499">
        <f t="shared" ref="AM32" si="171">SUM(AM19:AM31)</f>
        <v>1105296.0695</v>
      </c>
      <c r="AN32" s="499">
        <f t="shared" ref="AN32" si="172">SUM(AN19:AN31)</f>
        <v>468636.06949999998</v>
      </c>
      <c r="AO32" s="499">
        <f t="shared" ref="AO32" si="173">SUM(AO19:AO31)</f>
        <v>310520.84450000001</v>
      </c>
      <c r="AP32" s="499">
        <f t="shared" ref="AP32" si="174">SUM(AP19:AP31)</f>
        <v>307220.84450000001</v>
      </c>
      <c r="AQ32" s="499">
        <f t="shared" ref="AQ32" si="175">SUM(AQ19:AQ31)</f>
        <v>307220.84450000001</v>
      </c>
      <c r="AR32" s="499">
        <f t="shared" ref="AR32" si="176">SUM(AR19:AR31)</f>
        <v>414139.56225417776</v>
      </c>
      <c r="AS32" s="623"/>
      <c r="AT32" s="499">
        <f>SUM(AT19:AT31)</f>
        <v>586343.07075000007</v>
      </c>
      <c r="AU32" s="499">
        <f t="shared" ref="AU32" si="177">SUM(AU19:AU31)</f>
        <v>375079.82574999996</v>
      </c>
      <c r="AV32" s="499">
        <f t="shared" ref="AV32" si="178">SUM(AV19:AV31)</f>
        <v>308544.75075000001</v>
      </c>
      <c r="AW32" s="499">
        <f t="shared" ref="AW32" si="179">SUM(AW19:AW31)</f>
        <v>307419.75075000001</v>
      </c>
      <c r="AX32" s="499">
        <f t="shared" ref="AX32" si="180">SUM(AX19:AX31)</f>
        <v>307419.75075000001</v>
      </c>
      <c r="AY32" s="499">
        <f t="shared" ref="AY32" si="181">SUM(AY19:AY31)</f>
        <v>307419.75075000001</v>
      </c>
      <c r="AZ32" s="499">
        <f t="shared" ref="AZ32" si="182">SUM(AZ19:AZ31)</f>
        <v>307419.75075000001</v>
      </c>
      <c r="BA32" s="499">
        <f t="shared" ref="BA32" si="183">SUM(BA19:BA31)</f>
        <v>312054.75075000001</v>
      </c>
      <c r="BB32" s="499">
        <f t="shared" ref="BB32" si="184">SUM(BB19:BB31)</f>
        <v>307419.75075000001</v>
      </c>
      <c r="BC32" s="499">
        <f t="shared" ref="BC32" si="185">SUM(BC19:BC31)</f>
        <v>307419.75075000001</v>
      </c>
      <c r="BD32" s="499">
        <f t="shared" ref="BD32" si="186">SUM(BD19:BD31)</f>
        <v>307419.75075000001</v>
      </c>
      <c r="BE32" s="499">
        <f t="shared" ref="BE32" si="187">SUM(BE19:BE31)</f>
        <v>473061.32830417767</v>
      </c>
      <c r="BF32" s="623"/>
      <c r="BG32" s="499">
        <f>SUM(BG19:BG31)</f>
        <v>1118642.61275625</v>
      </c>
      <c r="BH32" s="499">
        <f t="shared" ref="BH32" si="188">SUM(BH19:BH31)</f>
        <v>469034.87653124996</v>
      </c>
      <c r="BI32" s="499">
        <f t="shared" ref="BI32" si="189">SUM(BI19:BI31)</f>
        <v>310919.65153124998</v>
      </c>
      <c r="BJ32" s="499">
        <f t="shared" ref="BJ32" si="190">SUM(BJ19:BJ31)</f>
        <v>307619.65153124998</v>
      </c>
      <c r="BK32" s="499">
        <f t="shared" ref="BK32" si="191">SUM(BK19:BK31)</f>
        <v>307619.65153124998</v>
      </c>
      <c r="BL32" s="499">
        <f t="shared" ref="BL32" si="192">SUM(BL19:BL31)</f>
        <v>307619.65153124998</v>
      </c>
      <c r="BM32" s="499">
        <f t="shared" ref="BM32" si="193">SUM(BM19:BM31)</f>
        <v>573644.72653125005</v>
      </c>
      <c r="BN32" s="499">
        <f t="shared" ref="BN32" si="194">SUM(BN19:BN31)</f>
        <v>375279.72653124994</v>
      </c>
      <c r="BO32" s="499">
        <f t="shared" ref="BO32" si="195">SUM(BO19:BO31)</f>
        <v>308744.65153124998</v>
      </c>
      <c r="BP32" s="499">
        <f t="shared" ref="BP32" si="196">SUM(BP19:BP31)</f>
        <v>307619.65153124998</v>
      </c>
      <c r="BQ32" s="499">
        <f t="shared" ref="BQ32" si="197">SUM(BQ19:BQ31)</f>
        <v>307619.65153124998</v>
      </c>
      <c r="BR32" s="499">
        <f t="shared" ref="BR32" si="198">SUM(BR19:BR31)</f>
        <v>406595.31651942781</v>
      </c>
      <c r="BS32" s="623"/>
      <c r="BT32" s="499">
        <f>SUM(BT19:BT31)</f>
        <v>320818.02672253118</v>
      </c>
      <c r="BU32" s="499">
        <f t="shared" ref="BU32" si="199">SUM(BU19:BU31)</f>
        <v>307820.55181640619</v>
      </c>
      <c r="BV32" s="499">
        <f t="shared" ref="BV32" si="200">SUM(BV19:BV31)</f>
        <v>312455.55181640619</v>
      </c>
      <c r="BW32" s="499">
        <f t="shared" ref="BW32" si="201">SUM(BW19:BW31)</f>
        <v>307820.55181640619</v>
      </c>
      <c r="BX32" s="499">
        <f t="shared" ref="BX32" si="202">SUM(BX19:BX31)</f>
        <v>307820.55181640619</v>
      </c>
      <c r="BY32" s="499">
        <f t="shared" ref="BY32" si="203">SUM(BY19:BY31)</f>
        <v>307820.55181640619</v>
      </c>
      <c r="BZ32" s="499">
        <f t="shared" ref="BZ32" si="204">SUM(BZ19:BZ31)</f>
        <v>1105895.7768164061</v>
      </c>
      <c r="CA32" s="499">
        <f t="shared" ref="CA32" si="205">SUM(CA19:CA31)</f>
        <v>469235.77681640617</v>
      </c>
      <c r="CB32" s="499">
        <f t="shared" ref="CB32" si="206">SUM(CB19:CB31)</f>
        <v>311120.55181640619</v>
      </c>
      <c r="CC32" s="499">
        <f t="shared" ref="CC32" si="207">SUM(CC19:CC31)</f>
        <v>307820.55181640619</v>
      </c>
      <c r="CD32" s="499">
        <f t="shared" ref="CD32" si="208">SUM(CD19:CD31)</f>
        <v>307820.55181640619</v>
      </c>
      <c r="CE32" s="499">
        <f t="shared" ref="CE32" si="209">SUM(CE19:CE31)</f>
        <v>437801.323673254</v>
      </c>
      <c r="CF32" s="623"/>
      <c r="CG32" s="499">
        <f>SUM(CG19:CG31)</f>
        <v>587094.993883644</v>
      </c>
      <c r="CH32" s="499">
        <f t="shared" ref="CH32" si="210">SUM(CH19:CH31)</f>
        <v>361827.53160298819</v>
      </c>
      <c r="CI32" s="499">
        <f t="shared" ref="CI32" si="211">SUM(CI19:CI31)</f>
        <v>323002.45660298824</v>
      </c>
      <c r="CJ32" s="499">
        <f t="shared" ref="CJ32" si="212">SUM(CJ19:CJ31)</f>
        <v>308022.45660298824</v>
      </c>
      <c r="CK32" s="499">
        <f t="shared" ref="CK32" si="213">SUM(CK19:CK31)</f>
        <v>308022.45660298824</v>
      </c>
      <c r="CL32" s="499">
        <f t="shared" ref="CL32" si="214">SUM(CL19:CL31)</f>
        <v>308022.45660298824</v>
      </c>
      <c r="CM32" s="499">
        <f t="shared" ref="CM32" si="215">SUM(CM19:CM31)</f>
        <v>308022.45660298824</v>
      </c>
      <c r="CN32" s="499">
        <f t="shared" ref="CN32" si="216">SUM(CN19:CN31)</f>
        <v>312657.45660298824</v>
      </c>
      <c r="CO32" s="499">
        <f t="shared" ref="CO32" si="217">SUM(CO19:CO31)</f>
        <v>308022.45660298824</v>
      </c>
      <c r="CP32" s="499">
        <f t="shared" ref="CP32" si="218">SUM(CP19:CP31)</f>
        <v>308022.45660298824</v>
      </c>
      <c r="CQ32" s="499">
        <f t="shared" ref="CQ32" si="219">SUM(CQ19:CQ31)</f>
        <v>308022.45660298824</v>
      </c>
      <c r="CR32" s="499">
        <f t="shared" ref="CR32" si="220">SUM(CR19:CR31)</f>
        <v>488701.72853034938</v>
      </c>
      <c r="CS32" s="623"/>
      <c r="CT32" s="499">
        <f>SUM(CT19:CT31)</f>
        <v>1119398.2955055621</v>
      </c>
      <c r="CU32" s="499">
        <f t="shared" ref="CU32" si="221">SUM(CU19:CU31)</f>
        <v>469640.5959135032</v>
      </c>
      <c r="CV32" s="499">
        <f t="shared" ref="CV32" si="222">SUM(CV19:CV31)</f>
        <v>311525.37091350323</v>
      </c>
      <c r="CW32" s="499">
        <f t="shared" ref="CW32" si="223">SUM(CW19:CW31)</f>
        <v>308225.37091350323</v>
      </c>
      <c r="CX32" s="499">
        <f t="shared" ref="CX32" si="224">SUM(CX19:CX31)</f>
        <v>308225.37091350323</v>
      </c>
      <c r="CY32" s="499">
        <f t="shared" ref="CY32" si="225">SUM(CY19:CY31)</f>
        <v>308225.37091350323</v>
      </c>
      <c r="CZ32" s="499">
        <f t="shared" ref="CZ32" si="226">SUM(CZ19:CZ31)</f>
        <v>574250.44591350318</v>
      </c>
      <c r="DA32" s="499">
        <f t="shared" ref="DA32" si="227">SUM(DA19:DA31)</f>
        <v>375885.44591350318</v>
      </c>
      <c r="DB32" s="499">
        <f t="shared" ref="DB32" si="228">SUM(DB19:DB31)</f>
        <v>309350.37091350323</v>
      </c>
      <c r="DC32" s="499">
        <f t="shared" ref="DC32" si="229">SUM(DC19:DC31)</f>
        <v>308225.37091350323</v>
      </c>
      <c r="DD32" s="499">
        <f t="shared" ref="DD32" si="230">SUM(DD19:DD31)</f>
        <v>308225.37091350323</v>
      </c>
      <c r="DE32" s="499">
        <f t="shared" ref="DE32" si="231">SUM(DE19:DE31)</f>
        <v>412686.67034673027</v>
      </c>
      <c r="DF32" s="623"/>
      <c r="DG32" s="499">
        <f>SUM(DG19:DG31)</f>
        <v>321577.48788558983</v>
      </c>
      <c r="DH32" s="499">
        <f t="shared" ref="DH32" si="232">SUM(DH19:DH31)</f>
        <v>313064.29979557067</v>
      </c>
      <c r="DI32" s="499">
        <f t="shared" ref="DI32" si="233">SUM(DI19:DI31)</f>
        <v>308429.29979557067</v>
      </c>
      <c r="DJ32" s="499">
        <f t="shared" ref="DJ32" si="234">SUM(DJ19:DJ31)</f>
        <v>308429.29979557067</v>
      </c>
      <c r="DK32" s="499">
        <f t="shared" ref="DK32" si="235">SUM(DK19:DK31)</f>
        <v>308429.29979557067</v>
      </c>
      <c r="DL32" s="499">
        <f t="shared" ref="DL32" si="236">SUM(DL19:DL31)</f>
        <v>308429.29979557067</v>
      </c>
      <c r="DM32" s="499">
        <f t="shared" ref="DM32" si="237">SUM(DM19:DM31)</f>
        <v>1106504.5247955709</v>
      </c>
      <c r="DN32" s="499">
        <f t="shared" ref="DN32" si="238">SUM(DN19:DN31)</f>
        <v>469844.52479557064</v>
      </c>
      <c r="DO32" s="499">
        <f t="shared" ref="DO32" si="239">SUM(DO19:DO31)</f>
        <v>311729.29979557067</v>
      </c>
      <c r="DP32" s="499">
        <f t="shared" ref="DP32" si="240">SUM(DP19:DP31)</f>
        <v>308429.29979557067</v>
      </c>
      <c r="DQ32" s="499">
        <f t="shared" ref="DQ32" si="241">SUM(DQ19:DQ31)</f>
        <v>308429.29979557067</v>
      </c>
      <c r="DR32" s="499">
        <f t="shared" ref="DR32" si="242">SUM(DR19:DR31)</f>
        <v>439117.625869693</v>
      </c>
      <c r="DS32" s="623"/>
      <c r="DT32" s="499">
        <f>SUM(DT19:DT31)</f>
        <v>587858.25235251791</v>
      </c>
      <c r="DU32" s="499">
        <f t="shared" ref="DU32" si="243">SUM(DU19:DU31)</f>
        <v>376294.32332204847</v>
      </c>
      <c r="DV32" s="499">
        <f t="shared" ref="DV32" si="244">SUM(DV19:DV31)</f>
        <v>309759.24832204852</v>
      </c>
      <c r="DW32" s="499">
        <f t="shared" ref="DW32" si="245">SUM(DW19:DW31)</f>
        <v>308634.24832204852</v>
      </c>
      <c r="DX32" s="499">
        <f t="shared" ref="DX32" si="246">SUM(DX19:DX31)</f>
        <v>308634.24832204852</v>
      </c>
      <c r="DY32" s="499">
        <f t="shared" ref="DY32" si="247">SUM(DY19:DY31)</f>
        <v>308634.24832204852</v>
      </c>
      <c r="DZ32" s="499">
        <f t="shared" ref="DZ32" si="248">SUM(DZ19:DZ31)</f>
        <v>308634.24832204852</v>
      </c>
      <c r="EA32" s="499">
        <f t="shared" ref="EA32" si="249">SUM(EA19:EA31)</f>
        <v>313269.24832204852</v>
      </c>
      <c r="EB32" s="499">
        <f t="shared" ref="EB32" si="250">SUM(EB19:EB31)</f>
        <v>308634.24832204852</v>
      </c>
      <c r="EC32" s="499">
        <f t="shared" ref="EC32" si="251">SUM(EC19:EC31)</f>
        <v>308634.24832204852</v>
      </c>
      <c r="ED32" s="499">
        <f t="shared" ref="ED32" si="252">SUM(ED19:ED31)</f>
        <v>308634.24832204852</v>
      </c>
      <c r="EE32" s="499">
        <f t="shared" ref="EE32" si="253">SUM(EE19:EE31)</f>
        <v>527759.29383777047</v>
      </c>
      <c r="EF32" s="623"/>
    </row>
    <row r="33" spans="5:136" s="18" customFormat="1" x14ac:dyDescent="0.35">
      <c r="E33" s="15" t="s">
        <v>510</v>
      </c>
      <c r="F33" s="634" t="s">
        <v>1275</v>
      </c>
      <c r="G33" s="632"/>
      <c r="H33" s="632"/>
      <c r="I33" s="632"/>
      <c r="J33" s="632"/>
      <c r="K33" s="632"/>
      <c r="L33" s="632"/>
      <c r="M33" s="632"/>
      <c r="N33" s="632"/>
      <c r="O33" s="632"/>
      <c r="P33" s="632"/>
      <c r="Q33" s="632"/>
      <c r="R33" s="18">
        <f>Dividen!N11</f>
        <v>0</v>
      </c>
      <c r="S33" s="633"/>
      <c r="T33" s="632"/>
      <c r="U33" s="632"/>
      <c r="V33" s="632"/>
      <c r="W33" s="632"/>
      <c r="X33" s="632"/>
      <c r="Y33" s="632"/>
      <c r="Z33" s="632"/>
      <c r="AA33" s="632"/>
      <c r="AB33" s="632"/>
      <c r="AC33" s="632"/>
      <c r="AD33" s="632"/>
      <c r="AE33" s="18">
        <f>Dividen!N12</f>
        <v>0</v>
      </c>
      <c r="AF33" s="633"/>
      <c r="AG33" s="632"/>
      <c r="AH33" s="632"/>
      <c r="AI33" s="632"/>
      <c r="AJ33" s="632"/>
      <c r="AK33" s="632"/>
      <c r="AL33" s="632"/>
      <c r="AM33" s="632"/>
      <c r="AN33" s="632"/>
      <c r="AO33" s="632"/>
      <c r="AP33" s="632"/>
      <c r="AQ33" s="632"/>
      <c r="AR33" s="18">
        <f>Dividen!N13</f>
        <v>0</v>
      </c>
      <c r="AS33" s="633"/>
      <c r="AT33" s="632"/>
      <c r="AU33" s="632"/>
      <c r="AV33" s="632"/>
      <c r="AW33" s="632"/>
      <c r="AX33" s="632"/>
      <c r="AY33" s="632"/>
      <c r="AZ33" s="632"/>
      <c r="BA33" s="632"/>
      <c r="BB33" s="632"/>
      <c r="BC33" s="632"/>
      <c r="BD33" s="632"/>
      <c r="BE33" s="18">
        <f>Dividen!N14</f>
        <v>0</v>
      </c>
      <c r="BF33" s="633"/>
      <c r="BG33" s="632"/>
      <c r="BH33" s="632"/>
      <c r="BI33" s="632"/>
      <c r="BJ33" s="632"/>
      <c r="BK33" s="632"/>
      <c r="BL33" s="632"/>
      <c r="BM33" s="632"/>
      <c r="BN33" s="632"/>
      <c r="BO33" s="632"/>
      <c r="BP33" s="632"/>
      <c r="BQ33" s="632"/>
      <c r="BR33" s="18">
        <f>Dividen!N15</f>
        <v>0</v>
      </c>
      <c r="BS33" s="633"/>
      <c r="BT33" s="632"/>
      <c r="BU33" s="632"/>
      <c r="BV33" s="632"/>
      <c r="BW33" s="632"/>
      <c r="BX33" s="632"/>
      <c r="BY33" s="632"/>
      <c r="BZ33" s="632"/>
      <c r="CA33" s="632"/>
      <c r="CB33" s="632"/>
      <c r="CC33" s="632"/>
      <c r="CD33" s="632"/>
      <c r="CE33" s="18">
        <f>Dividen!N16</f>
        <v>954571.69956904126</v>
      </c>
      <c r="CF33" s="633"/>
      <c r="CG33" s="632"/>
      <c r="CH33" s="632"/>
      <c r="CI33" s="632"/>
      <c r="CJ33" s="632"/>
      <c r="CK33" s="632"/>
      <c r="CL33" s="632"/>
      <c r="CM33" s="632"/>
      <c r="CN33" s="632"/>
      <c r="CO33" s="632"/>
      <c r="CP33" s="632"/>
      <c r="CQ33" s="632"/>
      <c r="CR33" s="18">
        <f>Dividen!N17</f>
        <v>1364768.6546850128</v>
      </c>
      <c r="CS33" s="633"/>
      <c r="CT33" s="632"/>
      <c r="CU33" s="632"/>
      <c r="CV33" s="632"/>
      <c r="CW33" s="632"/>
      <c r="CX33" s="632"/>
      <c r="CY33" s="632"/>
      <c r="CZ33" s="632"/>
      <c r="DA33" s="632"/>
      <c r="DB33" s="632"/>
      <c r="DC33" s="632"/>
      <c r="DD33" s="632"/>
      <c r="DE33" s="18">
        <f>Dividen!N18</f>
        <v>748095.9681415644</v>
      </c>
      <c r="DF33" s="633"/>
      <c r="DG33" s="632"/>
      <c r="DH33" s="632"/>
      <c r="DI33" s="632"/>
      <c r="DJ33" s="632"/>
      <c r="DK33" s="632"/>
      <c r="DL33" s="632"/>
      <c r="DM33" s="632"/>
      <c r="DN33" s="632"/>
      <c r="DO33" s="632"/>
      <c r="DP33" s="632"/>
      <c r="DQ33" s="632"/>
      <c r="DR33" s="18">
        <f>Dividen!N19</f>
        <v>960296.45641789876</v>
      </c>
      <c r="DS33" s="633"/>
      <c r="DT33" s="632"/>
      <c r="DU33" s="632"/>
      <c r="DV33" s="632"/>
      <c r="DW33" s="632"/>
      <c r="DX33" s="632"/>
      <c r="DY33" s="632"/>
      <c r="DZ33" s="632"/>
      <c r="EA33" s="632"/>
      <c r="EB33" s="632"/>
      <c r="EC33" s="632"/>
      <c r="ED33" s="632"/>
      <c r="EE33" s="18">
        <f>Dividen!N20</f>
        <v>1675829.9137181144</v>
      </c>
      <c r="EF33" s="633"/>
    </row>
    <row r="34" spans="5:136" s="18" customFormat="1" x14ac:dyDescent="0.35">
      <c r="E34" s="15"/>
      <c r="F34" s="634" t="s">
        <v>1321</v>
      </c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S34" s="633"/>
      <c r="T34" s="632"/>
      <c r="U34" s="632"/>
      <c r="V34" s="632"/>
      <c r="W34" s="632"/>
      <c r="X34" s="632"/>
      <c r="Y34" s="632"/>
      <c r="Z34" s="632"/>
      <c r="AA34" s="632"/>
      <c r="AB34" s="632"/>
      <c r="AC34" s="632"/>
      <c r="AD34" s="632"/>
      <c r="AE34" s="18">
        <f>LoanInterest!K10</f>
        <v>542500</v>
      </c>
      <c r="AF34" s="633"/>
      <c r="AG34" s="632"/>
      <c r="AH34" s="632"/>
      <c r="AI34" s="632"/>
      <c r="AJ34" s="632"/>
      <c r="AK34" s="632"/>
      <c r="AL34" s="632"/>
      <c r="AM34" s="632"/>
      <c r="AN34" s="632"/>
      <c r="AO34" s="632"/>
      <c r="AP34" s="632"/>
      <c r="AQ34" s="632"/>
      <c r="AR34" s="18">
        <f>LoanInterest!K11</f>
        <v>542500</v>
      </c>
      <c r="AS34" s="633"/>
      <c r="AT34" s="632"/>
      <c r="AU34" s="632"/>
      <c r="AV34" s="632"/>
      <c r="AW34" s="632"/>
      <c r="AX34" s="632"/>
      <c r="AY34" s="632"/>
      <c r="AZ34" s="632"/>
      <c r="BA34" s="632"/>
      <c r="BB34" s="632"/>
      <c r="BC34" s="632"/>
      <c r="BD34" s="632"/>
      <c r="BE34" s="18">
        <f>LoanInterest!K12</f>
        <v>542500</v>
      </c>
      <c r="BF34" s="633"/>
      <c r="BG34" s="632"/>
      <c r="BH34" s="632"/>
      <c r="BI34" s="632"/>
      <c r="BJ34" s="632"/>
      <c r="BK34" s="632"/>
      <c r="BL34" s="632"/>
      <c r="BM34" s="632"/>
      <c r="BN34" s="632"/>
      <c r="BO34" s="632"/>
      <c r="BP34" s="632"/>
      <c r="BQ34" s="632"/>
      <c r="BR34" s="18">
        <f>LoanInterest!K13</f>
        <v>542500</v>
      </c>
      <c r="BS34" s="633"/>
      <c r="BT34" s="632"/>
      <c r="BU34" s="632"/>
      <c r="BV34" s="632"/>
      <c r="BW34" s="632"/>
      <c r="BX34" s="632"/>
      <c r="BY34" s="632"/>
      <c r="BZ34" s="632"/>
      <c r="CA34" s="632"/>
      <c r="CB34" s="632"/>
      <c r="CC34" s="632"/>
      <c r="CD34" s="632"/>
      <c r="CF34" s="633"/>
      <c r="CG34" s="632"/>
      <c r="CH34" s="632"/>
      <c r="CI34" s="632"/>
      <c r="CJ34" s="632"/>
      <c r="CK34" s="632"/>
      <c r="CL34" s="632"/>
      <c r="CM34" s="632"/>
      <c r="CN34" s="632"/>
      <c r="CO34" s="632"/>
      <c r="CP34" s="632"/>
      <c r="CQ34" s="632"/>
      <c r="CS34" s="633"/>
      <c r="CT34" s="632"/>
      <c r="CU34" s="632"/>
      <c r="CV34" s="632"/>
      <c r="CW34" s="632"/>
      <c r="CX34" s="632"/>
      <c r="CY34" s="632"/>
      <c r="CZ34" s="632"/>
      <c r="DA34" s="632"/>
      <c r="DB34" s="632"/>
      <c r="DC34" s="632"/>
      <c r="DD34" s="632"/>
      <c r="DF34" s="633"/>
      <c r="DG34" s="632"/>
      <c r="DH34" s="632"/>
      <c r="DI34" s="632"/>
      <c r="DJ34" s="632"/>
      <c r="DK34" s="632"/>
      <c r="DL34" s="632"/>
      <c r="DM34" s="632"/>
      <c r="DN34" s="632"/>
      <c r="DO34" s="632"/>
      <c r="DP34" s="632"/>
      <c r="DQ34" s="632"/>
      <c r="DS34" s="633"/>
      <c r="DT34" s="632"/>
      <c r="DU34" s="632"/>
      <c r="DV34" s="632"/>
      <c r="DW34" s="632"/>
      <c r="DX34" s="632"/>
      <c r="DY34" s="632"/>
      <c r="DZ34" s="632"/>
      <c r="EA34" s="632"/>
      <c r="EB34" s="632"/>
      <c r="EC34" s="632"/>
      <c r="ED34" s="632"/>
      <c r="EF34" s="633"/>
    </row>
    <row r="35" spans="5:136" s="18" customFormat="1" x14ac:dyDescent="0.35">
      <c r="E35" s="15"/>
      <c r="F35" s="634" t="s">
        <v>1322</v>
      </c>
      <c r="G35" s="632"/>
      <c r="H35" s="632"/>
      <c r="I35" s="632"/>
      <c r="J35" s="632"/>
      <c r="K35" s="632"/>
      <c r="L35" s="632"/>
      <c r="M35" s="632"/>
      <c r="N35" s="632"/>
      <c r="O35" s="632"/>
      <c r="P35" s="632"/>
      <c r="Q35" s="632"/>
      <c r="S35" s="633"/>
      <c r="T35" s="632"/>
      <c r="U35" s="632"/>
      <c r="V35" s="632"/>
      <c r="W35" s="632"/>
      <c r="X35" s="632"/>
      <c r="Y35" s="632"/>
      <c r="Z35" s="632"/>
      <c r="AA35" s="632"/>
      <c r="AB35" s="632"/>
      <c r="AC35" s="632"/>
      <c r="AD35" s="632"/>
      <c r="AE35" s="18">
        <f>LoanInterest!N10</f>
        <v>317688</v>
      </c>
      <c r="AF35" s="633"/>
      <c r="AG35" s="632"/>
      <c r="AH35" s="632"/>
      <c r="AI35" s="632"/>
      <c r="AJ35" s="632"/>
      <c r="AK35" s="632"/>
      <c r="AL35" s="632"/>
      <c r="AM35" s="632"/>
      <c r="AN35" s="632"/>
      <c r="AO35" s="632"/>
      <c r="AP35" s="632"/>
      <c r="AQ35" s="632"/>
      <c r="AR35" s="18">
        <f>LoanInterest!N11</f>
        <v>230888</v>
      </c>
      <c r="AS35" s="633"/>
      <c r="AT35" s="632"/>
      <c r="AU35" s="632"/>
      <c r="AV35" s="632"/>
      <c r="AW35" s="632"/>
      <c r="AX35" s="632"/>
      <c r="AY35" s="632"/>
      <c r="AZ35" s="632"/>
      <c r="BA35" s="632"/>
      <c r="BB35" s="632"/>
      <c r="BC35" s="632"/>
      <c r="BD35" s="632"/>
      <c r="BE35" s="18">
        <f>LoanInterest!N12</f>
        <v>144088</v>
      </c>
      <c r="BF35" s="633"/>
      <c r="BG35" s="632"/>
      <c r="BH35" s="632"/>
      <c r="BI35" s="632"/>
      <c r="BJ35" s="632"/>
      <c r="BK35" s="632"/>
      <c r="BL35" s="632"/>
      <c r="BM35" s="632"/>
      <c r="BN35" s="632"/>
      <c r="BO35" s="632"/>
      <c r="BP35" s="632"/>
      <c r="BQ35" s="632"/>
      <c r="BR35" s="18">
        <f>LoanInterest!N13</f>
        <v>57288</v>
      </c>
      <c r="BS35" s="633"/>
      <c r="BT35" s="632"/>
      <c r="BU35" s="632"/>
      <c r="BV35" s="632"/>
      <c r="BW35" s="632"/>
      <c r="BX35" s="632"/>
      <c r="BY35" s="632"/>
      <c r="BZ35" s="632"/>
      <c r="CA35" s="632"/>
      <c r="CB35" s="632"/>
      <c r="CC35" s="632"/>
      <c r="CD35" s="632"/>
      <c r="CE35" s="18">
        <f>LoanInterest!N14</f>
        <v>13888</v>
      </c>
      <c r="CF35" s="633"/>
      <c r="CG35" s="632"/>
      <c r="CH35" s="632"/>
      <c r="CI35" s="632"/>
      <c r="CJ35" s="632"/>
      <c r="CK35" s="632"/>
      <c r="CL35" s="632"/>
      <c r="CM35" s="632"/>
      <c r="CN35" s="632"/>
      <c r="CO35" s="632"/>
      <c r="CP35" s="632"/>
      <c r="CQ35" s="632"/>
      <c r="CS35" s="633"/>
      <c r="CT35" s="632"/>
      <c r="CU35" s="632"/>
      <c r="CV35" s="632"/>
      <c r="CW35" s="632"/>
      <c r="CX35" s="632"/>
      <c r="CY35" s="632"/>
      <c r="CZ35" s="632"/>
      <c r="DA35" s="632"/>
      <c r="DB35" s="632"/>
      <c r="DC35" s="632"/>
      <c r="DD35" s="632"/>
      <c r="DF35" s="633"/>
      <c r="DG35" s="632"/>
      <c r="DH35" s="632"/>
      <c r="DI35" s="632"/>
      <c r="DJ35" s="632"/>
      <c r="DK35" s="632"/>
      <c r="DL35" s="632"/>
      <c r="DM35" s="632"/>
      <c r="DN35" s="632"/>
      <c r="DO35" s="632"/>
      <c r="DP35" s="632"/>
      <c r="DQ35" s="632"/>
      <c r="DS35" s="633"/>
      <c r="DT35" s="632"/>
      <c r="DU35" s="632"/>
      <c r="DV35" s="632"/>
      <c r="DW35" s="632"/>
      <c r="DX35" s="632"/>
      <c r="DY35" s="632"/>
      <c r="DZ35" s="632"/>
      <c r="EA35" s="632"/>
      <c r="EB35" s="632"/>
      <c r="EC35" s="632"/>
      <c r="ED35" s="632"/>
      <c r="EF35" s="633"/>
    </row>
    <row r="36" spans="5:136" x14ac:dyDescent="0.35">
      <c r="E36" s="177" t="s">
        <v>525</v>
      </c>
      <c r="F36" s="12"/>
      <c r="G36" s="628">
        <f>G17-G32</f>
        <v>212678.25833333336</v>
      </c>
      <c r="H36" s="628">
        <f t="shared" ref="H36:T36" si="254">H17-H32</f>
        <v>141826.51666666669</v>
      </c>
      <c r="I36" s="628">
        <f t="shared" si="254"/>
        <v>179387.45137500006</v>
      </c>
      <c r="J36" s="628">
        <f t="shared" si="254"/>
        <v>218073.3860833334</v>
      </c>
      <c r="K36" s="628">
        <f t="shared" si="254"/>
        <v>256759.32079166675</v>
      </c>
      <c r="L36" s="628">
        <f t="shared" si="254"/>
        <v>295445.25550000009</v>
      </c>
      <c r="M36" s="628">
        <f t="shared" si="254"/>
        <v>334131.19020833343</v>
      </c>
      <c r="N36" s="628">
        <f t="shared" si="254"/>
        <v>368182.12491666677</v>
      </c>
      <c r="O36" s="628">
        <f t="shared" si="254"/>
        <v>406868.05962500011</v>
      </c>
      <c r="P36" s="628">
        <f t="shared" si="254"/>
        <v>445553.99433333345</v>
      </c>
      <c r="Q36" s="628">
        <f t="shared" si="254"/>
        <v>484239.92904166679</v>
      </c>
      <c r="R36" s="628">
        <f>R17-R32-R33</f>
        <v>519925.86375000014</v>
      </c>
      <c r="S36" s="623"/>
      <c r="T36" s="628">
        <f t="shared" si="254"/>
        <v>237084.90679166687</v>
      </c>
      <c r="U36" s="628">
        <f t="shared" ref="U36" si="255">U17-U32</f>
        <v>83703.949833333492</v>
      </c>
      <c r="V36" s="628">
        <f t="shared" ref="V36" si="256">V17-V32</f>
        <v>255637.02200000011</v>
      </c>
      <c r="W36" s="628">
        <f t="shared" ref="W36" si="257">W17-W32</f>
        <v>430870.09416666673</v>
      </c>
      <c r="X36" s="628">
        <f t="shared" ref="X36" si="258">X17-X32</f>
        <v>606103.16633333336</v>
      </c>
      <c r="Y36" s="628">
        <f t="shared" ref="Y36" si="259">Y17-Y32</f>
        <v>781336.23849999998</v>
      </c>
      <c r="Z36" s="628">
        <f t="shared" ref="Z36" si="260">Z17-Z32</f>
        <v>690544.23566666665</v>
      </c>
      <c r="AA36" s="628">
        <f t="shared" ref="AA36" si="261">AA17-AA32</f>
        <v>798117.23283333331</v>
      </c>
      <c r="AB36" s="628">
        <f t="shared" ref="AB36" si="262">AB17-AB32</f>
        <v>1061475.3049999999</v>
      </c>
      <c r="AC36" s="628">
        <f t="shared" ref="AC36" si="263">AC17-AC32</f>
        <v>1236708.3771666666</v>
      </c>
      <c r="AD36" s="628">
        <f t="shared" ref="AD36" si="264">AD17-AD32</f>
        <v>1411941.4493333332</v>
      </c>
      <c r="AE36" s="628">
        <f>AE17-AE32-AE33-AE34-AE35</f>
        <v>714986.5214999998</v>
      </c>
      <c r="AF36" s="623"/>
      <c r="AG36" s="628">
        <f t="shared" ref="AG36" si="265">AG17-AG32</f>
        <v>877172.67699999979</v>
      </c>
      <c r="AH36" s="628">
        <f t="shared" ref="AH36" si="266">AH17-AH32</f>
        <v>1047572.8324999997</v>
      </c>
      <c r="AI36" s="628">
        <f t="shared" ref="AI36" si="267">AI17-AI32</f>
        <v>1222607.9879999994</v>
      </c>
      <c r="AJ36" s="628">
        <f t="shared" ref="AJ36" si="268">AJ17-AJ32</f>
        <v>1397643.1434999993</v>
      </c>
      <c r="AK36" s="628">
        <f t="shared" ref="AK36" si="269">AK17-AK32</f>
        <v>1572678.2989999992</v>
      </c>
      <c r="AL36" s="628">
        <f t="shared" ref="AL36" si="270">AL17-AL32</f>
        <v>1747713.4544999991</v>
      </c>
      <c r="AM36" s="628">
        <f t="shared" ref="AM36" si="271">AM17-AM32</f>
        <v>1124673.3849999991</v>
      </c>
      <c r="AN36" s="628">
        <f t="shared" ref="AN36" si="272">AN17-AN32</f>
        <v>1138293.3154999991</v>
      </c>
      <c r="AO36" s="628">
        <f t="shared" ref="AO36" si="273">AO17-AO32</f>
        <v>1577778.470999999</v>
      </c>
      <c r="AP36" s="628">
        <f t="shared" ref="AP36" si="274">AP17-AP32</f>
        <v>1752813.6264999988</v>
      </c>
      <c r="AQ36" s="628">
        <f t="shared" ref="AQ36" si="275">AQ17-AQ32</f>
        <v>1927848.7819999987</v>
      </c>
      <c r="AR36" s="628">
        <f>AR17-AR32-AR33-AR34-AR35</f>
        <v>1222577.2197458209</v>
      </c>
      <c r="AS36" s="623"/>
      <c r="AT36" s="628">
        <f t="shared" ref="AT36" si="276">AT17-AT32</f>
        <v>1118490.1489958209</v>
      </c>
      <c r="AU36" s="628">
        <f t="shared" ref="AU36" si="277">AU17-AU32</f>
        <v>1225666.3232458211</v>
      </c>
      <c r="AV36" s="628">
        <f t="shared" ref="AV36" si="278">AV17-AV32</f>
        <v>1488627.5724958209</v>
      </c>
      <c r="AW36" s="628">
        <f t="shared" ref="AW36" si="279">AW17-AW32</f>
        <v>1663463.8217458208</v>
      </c>
      <c r="AX36" s="628">
        <f t="shared" ref="AX36" si="280">AX17-AX32</f>
        <v>1838300.0709958207</v>
      </c>
      <c r="AY36" s="628">
        <f t="shared" ref="AY36" si="281">AY17-AY32</f>
        <v>2013136.3202458206</v>
      </c>
      <c r="AZ36" s="628">
        <f t="shared" ref="AZ36" si="282">AZ17-AZ32</f>
        <v>2187972.5694958204</v>
      </c>
      <c r="BA36" s="628">
        <f t="shared" ref="BA36" si="283">BA17-BA32</f>
        <v>2358173.8187458203</v>
      </c>
      <c r="BB36" s="628">
        <f t="shared" ref="BB36" si="284">BB17-BB32</f>
        <v>2533010.0679958202</v>
      </c>
      <c r="BC36" s="628">
        <f t="shared" ref="BC36" si="285">BC17-BC32</f>
        <v>2707846.3172458201</v>
      </c>
      <c r="BD36" s="628">
        <f t="shared" ref="BD36" si="286">BD17-BD32</f>
        <v>2882682.5664958199</v>
      </c>
      <c r="BE36" s="628">
        <f>BE17-BE32-BE33-BE34-BE35</f>
        <v>2205289.2381916423</v>
      </c>
      <c r="BF36" s="623"/>
      <c r="BG36" s="628">
        <f t="shared" ref="BG36:BQ36" si="287">BG17-BG32</f>
        <v>1568902.6254353924</v>
      </c>
      <c r="BH36" s="628">
        <f t="shared" si="287"/>
        <v>1582123.7489041425</v>
      </c>
      <c r="BI36" s="628">
        <f t="shared" si="287"/>
        <v>2021210.0973728925</v>
      </c>
      <c r="BJ36" s="628">
        <f t="shared" si="287"/>
        <v>2195846.4458416421</v>
      </c>
      <c r="BK36" s="628">
        <f t="shared" si="287"/>
        <v>2370482.7943103919</v>
      </c>
      <c r="BL36" s="628">
        <f t="shared" si="287"/>
        <v>2545119.1427791417</v>
      </c>
      <c r="BM36" s="628">
        <f t="shared" si="287"/>
        <v>2453730.4162478917</v>
      </c>
      <c r="BN36" s="628">
        <f t="shared" si="287"/>
        <v>2560706.6897166418</v>
      </c>
      <c r="BO36" s="628">
        <f t="shared" si="287"/>
        <v>2823468.0381853916</v>
      </c>
      <c r="BP36" s="628">
        <f t="shared" si="287"/>
        <v>2998104.3866541414</v>
      </c>
      <c r="BQ36" s="628">
        <f t="shared" si="287"/>
        <v>3172740.7351228911</v>
      </c>
      <c r="BR36" s="628">
        <f>BR17-BR32-BR33-BR34-BR35</f>
        <v>2648613.4186034631</v>
      </c>
      <c r="BS36" s="623"/>
      <c r="BT36" s="628">
        <f t="shared" ref="BT36:CD36" si="288">BT17-BT32</f>
        <v>2810051.3918809318</v>
      </c>
      <c r="BU36" s="628">
        <f t="shared" si="288"/>
        <v>2984486.8400645256</v>
      </c>
      <c r="BV36" s="628">
        <f t="shared" si="288"/>
        <v>3154287.2882481194</v>
      </c>
      <c r="BW36" s="628">
        <f t="shared" si="288"/>
        <v>3328722.7364317132</v>
      </c>
      <c r="BX36" s="628">
        <f t="shared" si="288"/>
        <v>3503158.184615307</v>
      </c>
      <c r="BY36" s="628">
        <f t="shared" si="288"/>
        <v>3677593.6327989008</v>
      </c>
      <c r="BZ36" s="628">
        <f t="shared" si="288"/>
        <v>3053953.8559824945</v>
      </c>
      <c r="CA36" s="628">
        <f t="shared" si="288"/>
        <v>3066974.0791660883</v>
      </c>
      <c r="CB36" s="628">
        <f t="shared" si="288"/>
        <v>3505859.5273496821</v>
      </c>
      <c r="CC36" s="628">
        <f t="shared" si="288"/>
        <v>3680294.9755332759</v>
      </c>
      <c r="CD36" s="628">
        <f t="shared" si="288"/>
        <v>3854730.4237168697</v>
      </c>
      <c r="CE36" s="628">
        <f>CE17-CE32-CE33-CE35</f>
        <v>2930725.400474574</v>
      </c>
      <c r="CF36" s="623"/>
      <c r="CG36" s="628">
        <f t="shared" ref="CG36:CQ36" si="289">CG17-CG32</f>
        <v>2825886.4065909302</v>
      </c>
      <c r="CH36" s="628">
        <f t="shared" si="289"/>
        <v>2946314.8749879422</v>
      </c>
      <c r="CI36" s="628">
        <f t="shared" si="289"/>
        <v>3194818.4183849539</v>
      </c>
      <c r="CJ36" s="628">
        <f t="shared" si="289"/>
        <v>3369051.9617819656</v>
      </c>
      <c r="CK36" s="628">
        <f t="shared" si="289"/>
        <v>3543285.5051789773</v>
      </c>
      <c r="CL36" s="628">
        <f t="shared" si="289"/>
        <v>3717519.048575989</v>
      </c>
      <c r="CM36" s="628">
        <f t="shared" si="289"/>
        <v>3891752.5919730007</v>
      </c>
      <c r="CN36" s="628">
        <f t="shared" si="289"/>
        <v>4061351.1353700128</v>
      </c>
      <c r="CO36" s="628">
        <f t="shared" si="289"/>
        <v>4235584.6787670245</v>
      </c>
      <c r="CP36" s="628">
        <f t="shared" si="289"/>
        <v>4409818.2221640367</v>
      </c>
      <c r="CQ36" s="628">
        <f t="shared" si="289"/>
        <v>4584051.7655610489</v>
      </c>
      <c r="CR36" s="628">
        <f>CR17-CR32-CR33</f>
        <v>3212837.3823456867</v>
      </c>
      <c r="CS36" s="623"/>
      <c r="CT36" s="628">
        <f t="shared" ref="CT36:DD36" si="290">CT17-CT32</f>
        <v>2575695.0868401248</v>
      </c>
      <c r="CU36" s="628">
        <f t="shared" si="290"/>
        <v>2588310.4909266215</v>
      </c>
      <c r="CV36" s="628">
        <f t="shared" si="290"/>
        <v>3026791.1200131183</v>
      </c>
      <c r="CW36" s="628">
        <f t="shared" si="290"/>
        <v>3200821.749099615</v>
      </c>
      <c r="CX36" s="628">
        <f t="shared" si="290"/>
        <v>3374852.3781861118</v>
      </c>
      <c r="CY36" s="628">
        <f t="shared" si="290"/>
        <v>3548883.0072726086</v>
      </c>
      <c r="CZ36" s="628">
        <f t="shared" si="290"/>
        <v>3456888.5613591056</v>
      </c>
      <c r="DA36" s="628">
        <f t="shared" si="290"/>
        <v>3563259.1154456027</v>
      </c>
      <c r="DB36" s="628">
        <f t="shared" si="290"/>
        <v>3825414.7445320995</v>
      </c>
      <c r="DC36" s="628">
        <f t="shared" si="290"/>
        <v>3999445.3736185958</v>
      </c>
      <c r="DD36" s="628">
        <f t="shared" si="290"/>
        <v>4173476.0027050921</v>
      </c>
      <c r="DE36" s="628">
        <f>DE17-DE32-DE33</f>
        <v>3494949.3642167971</v>
      </c>
      <c r="DF36" s="623"/>
      <c r="DG36" s="628">
        <f t="shared" ref="DG36:DQ36" si="291">DG17-DG32</f>
        <v>3655627.8763312073</v>
      </c>
      <c r="DH36" s="628">
        <f t="shared" si="291"/>
        <v>3824819.5765356366</v>
      </c>
      <c r="DI36" s="628">
        <f t="shared" si="291"/>
        <v>3998646.2767400658</v>
      </c>
      <c r="DJ36" s="628">
        <f t="shared" si="291"/>
        <v>4172472.976944495</v>
      </c>
      <c r="DK36" s="628">
        <f t="shared" si="291"/>
        <v>4346299.6771489242</v>
      </c>
      <c r="DL36" s="628">
        <f t="shared" si="291"/>
        <v>4520126.3773533534</v>
      </c>
      <c r="DM36" s="628">
        <f t="shared" si="291"/>
        <v>3895877.8525577825</v>
      </c>
      <c r="DN36" s="628">
        <f t="shared" si="291"/>
        <v>3908289.3277622117</v>
      </c>
      <c r="DO36" s="628">
        <f t="shared" si="291"/>
        <v>4346566.0279666409</v>
      </c>
      <c r="DP36" s="628">
        <f t="shared" si="291"/>
        <v>4520392.7281710701</v>
      </c>
      <c r="DQ36" s="628">
        <f t="shared" si="291"/>
        <v>4694219.4283754993</v>
      </c>
      <c r="DR36" s="628">
        <f>DR17-DR32-DR33</f>
        <v>3777061.3460879074</v>
      </c>
      <c r="DS36" s="623"/>
      <c r="DT36" s="628">
        <f t="shared" ref="DT36:ED36" si="292">DT17-DT32</f>
        <v>3671459.0937353894</v>
      </c>
      <c r="DU36" s="628">
        <f t="shared" si="292"/>
        <v>3777420.770413341</v>
      </c>
      <c r="DV36" s="628">
        <f t="shared" si="292"/>
        <v>4039167.5220912923</v>
      </c>
      <c r="DW36" s="628">
        <f t="shared" si="292"/>
        <v>4212789.2737692436</v>
      </c>
      <c r="DX36" s="628">
        <f t="shared" si="292"/>
        <v>4386411.0254471954</v>
      </c>
      <c r="DY36" s="628">
        <f t="shared" si="292"/>
        <v>4560032.7771251472</v>
      </c>
      <c r="DZ36" s="628">
        <f t="shared" si="292"/>
        <v>4733654.5288030989</v>
      </c>
      <c r="EA36" s="628">
        <f t="shared" si="292"/>
        <v>4902641.2804810507</v>
      </c>
      <c r="EB36" s="628">
        <f t="shared" si="292"/>
        <v>5076263.0321590025</v>
      </c>
      <c r="EC36" s="628">
        <f t="shared" si="292"/>
        <v>5249884.7838369543</v>
      </c>
      <c r="ED36" s="628">
        <f t="shared" si="292"/>
        <v>5423506.535514906</v>
      </c>
      <c r="EE36" s="628">
        <f>EE17-EE32-EE33</f>
        <v>4059173.3279590206</v>
      </c>
      <c r="EF36" s="623"/>
    </row>
    <row r="37" spans="5:136" x14ac:dyDescent="0.35">
      <c r="E37" s="625"/>
      <c r="F37" s="72"/>
      <c r="G37" s="626"/>
      <c r="H37" s="626"/>
      <c r="I37" s="626"/>
      <c r="J37" s="626"/>
      <c r="K37" s="626"/>
      <c r="L37" s="626"/>
      <c r="M37" s="626"/>
      <c r="N37" s="626"/>
      <c r="O37" s="626"/>
      <c r="P37" s="626"/>
      <c r="Q37" s="626"/>
      <c r="R37" s="626"/>
      <c r="S37" s="623"/>
      <c r="T37" s="626"/>
      <c r="U37" s="626"/>
      <c r="V37" s="626"/>
      <c r="W37" s="626"/>
      <c r="X37" s="626"/>
      <c r="Y37" s="626"/>
      <c r="Z37" s="626"/>
      <c r="AA37" s="626"/>
      <c r="AB37" s="626"/>
      <c r="AC37" s="626"/>
      <c r="AD37" s="626"/>
      <c r="AE37" s="626"/>
      <c r="AF37" s="623"/>
      <c r="AG37" s="626"/>
      <c r="AH37" s="626"/>
      <c r="AI37" s="626"/>
      <c r="AJ37" s="626"/>
      <c r="AK37" s="626"/>
      <c r="AL37" s="626"/>
      <c r="AM37" s="626"/>
      <c r="AN37" s="626"/>
      <c r="AO37" s="626"/>
      <c r="AP37" s="626"/>
      <c r="AQ37" s="626"/>
      <c r="AR37" s="626"/>
      <c r="AS37" s="623"/>
      <c r="AT37" s="626"/>
      <c r="AU37" s="626"/>
      <c r="AV37" s="626"/>
      <c r="AW37" s="626"/>
      <c r="AX37" s="626"/>
      <c r="AY37" s="626"/>
      <c r="AZ37" s="626"/>
      <c r="BA37" s="626"/>
      <c r="BB37" s="626"/>
      <c r="BC37" s="626"/>
      <c r="BD37" s="626"/>
      <c r="BE37" s="626"/>
      <c r="BF37" s="623"/>
      <c r="BG37" s="626"/>
      <c r="BH37" s="626"/>
      <c r="BI37" s="626"/>
      <c r="BJ37" s="626"/>
      <c r="BK37" s="626"/>
      <c r="BL37" s="626"/>
      <c r="BM37" s="626"/>
      <c r="BN37" s="626"/>
      <c r="BO37" s="626"/>
      <c r="BP37" s="626"/>
      <c r="BQ37" s="626"/>
      <c r="BR37" s="626"/>
      <c r="BS37" s="623"/>
      <c r="BT37" s="626"/>
      <c r="BU37" s="626"/>
      <c r="BV37" s="626"/>
      <c r="BW37" s="626"/>
      <c r="BX37" s="626"/>
      <c r="BY37" s="626"/>
      <c r="BZ37" s="626"/>
      <c r="CA37" s="626"/>
      <c r="CB37" s="626"/>
      <c r="CC37" s="626"/>
      <c r="CD37" s="626"/>
      <c r="CE37" s="626"/>
      <c r="CF37" s="623"/>
      <c r="CG37" s="626"/>
      <c r="CH37" s="626"/>
      <c r="CI37" s="626"/>
      <c r="CJ37" s="626"/>
      <c r="CK37" s="626"/>
      <c r="CL37" s="626"/>
      <c r="CM37" s="626"/>
      <c r="CN37" s="626"/>
      <c r="CO37" s="626"/>
      <c r="CP37" s="626"/>
      <c r="CQ37" s="626"/>
      <c r="CR37" s="626"/>
      <c r="CS37" s="623"/>
      <c r="CT37" s="626"/>
      <c r="CU37" s="626"/>
      <c r="CV37" s="626"/>
      <c r="CW37" s="626"/>
      <c r="CX37" s="626"/>
      <c r="CY37" s="626"/>
      <c r="CZ37" s="626"/>
      <c r="DA37" s="626"/>
      <c r="DB37" s="626"/>
      <c r="DC37" s="626"/>
      <c r="DD37" s="626"/>
      <c r="DE37" s="626"/>
      <c r="DF37" s="623"/>
      <c r="DG37" s="626"/>
      <c r="DH37" s="626"/>
      <c r="DI37" s="626"/>
      <c r="DJ37" s="626"/>
      <c r="DK37" s="626"/>
      <c r="DL37" s="626"/>
      <c r="DM37" s="626"/>
      <c r="DN37" s="626"/>
      <c r="DO37" s="626"/>
      <c r="DP37" s="626"/>
      <c r="DQ37" s="626"/>
      <c r="DR37" s="626"/>
      <c r="DS37" s="623"/>
      <c r="DT37" s="626"/>
      <c r="DU37" s="626"/>
      <c r="DV37" s="626"/>
      <c r="DW37" s="626"/>
      <c r="DX37" s="626"/>
      <c r="DY37" s="626"/>
      <c r="DZ37" s="626"/>
      <c r="EA37" s="626"/>
      <c r="EB37" s="626"/>
      <c r="EC37" s="626"/>
      <c r="ED37" s="626"/>
      <c r="EE37" s="626"/>
      <c r="EF37" s="627"/>
    </row>
    <row r="38" spans="5:136" x14ac:dyDescent="0.35">
      <c r="E38" s="4"/>
    </row>
    <row r="39" spans="5:136" x14ac:dyDescent="0.35">
      <c r="E39" s="177" t="s">
        <v>1282</v>
      </c>
    </row>
    <row r="40" spans="5:136" x14ac:dyDescent="0.35">
      <c r="E40" s="15" t="s">
        <v>269</v>
      </c>
      <c r="G40" s="4">
        <v>1</v>
      </c>
      <c r="H40" s="4">
        <f>G40+1</f>
        <v>2</v>
      </c>
      <c r="I40" s="4">
        <f t="shared" ref="I40:O40" si="293">H40+1</f>
        <v>3</v>
      </c>
      <c r="J40" s="4">
        <f t="shared" si="293"/>
        <v>4</v>
      </c>
      <c r="K40" s="4">
        <f t="shared" si="293"/>
        <v>5</v>
      </c>
      <c r="L40" s="4">
        <f t="shared" si="293"/>
        <v>6</v>
      </c>
      <c r="M40" s="4">
        <f t="shared" si="293"/>
        <v>7</v>
      </c>
      <c r="N40" s="4">
        <f t="shared" si="293"/>
        <v>8</v>
      </c>
      <c r="O40" s="4">
        <f t="shared" si="293"/>
        <v>9</v>
      </c>
      <c r="P40" s="4">
        <f>O40+1</f>
        <v>10</v>
      </c>
      <c r="CG40" s="123"/>
    </row>
    <row r="41" spans="5:136" x14ac:dyDescent="0.35">
      <c r="E41" s="82" t="s">
        <v>1278</v>
      </c>
    </row>
    <row r="42" spans="5:136" x14ac:dyDescent="0.35">
      <c r="E42" s="82" t="s">
        <v>1279</v>
      </c>
      <c r="G42" s="44">
        <f>SUM(G16:R16)</f>
        <v>1205640</v>
      </c>
      <c r="H42" s="44">
        <f>SUM(T16:AE16)</f>
        <v>5152938</v>
      </c>
      <c r="I42" s="44">
        <f>SUM(AG16:AR16)</f>
        <v>6054822</v>
      </c>
      <c r="J42" s="44">
        <f>SUM(AT16:BE16)</f>
        <v>5876322</v>
      </c>
      <c r="K42" s="44">
        <f>SUM(BG16:BR16)</f>
        <v>6144072</v>
      </c>
      <c r="L42" s="44">
        <f>SUM(BT16:CE16)</f>
        <v>6054822</v>
      </c>
      <c r="M42" s="44">
        <f>SUM(CG16:CR16)</f>
        <v>5876322</v>
      </c>
      <c r="N42" s="44">
        <f>SUM(CT16:DE16)</f>
        <v>6144072</v>
      </c>
      <c r="O42" s="44">
        <f>SUM(DG16:DR16)</f>
        <v>6054822</v>
      </c>
      <c r="P42" s="44">
        <f>SUM(DT16:EE16)</f>
        <v>6233322</v>
      </c>
    </row>
    <row r="43" spans="5:136" x14ac:dyDescent="0.35">
      <c r="E43" s="82" t="s">
        <v>1283</v>
      </c>
      <c r="G43" s="44">
        <f>'CashFlow-Yearly'!C11</f>
        <v>1205640</v>
      </c>
      <c r="H43" s="44">
        <f>'CashFlow-Yearly'!D11</f>
        <v>5152938</v>
      </c>
      <c r="I43" s="44">
        <f>'CashFlow-Yearly'!E11</f>
        <v>6054822</v>
      </c>
      <c r="J43" s="44">
        <f>'CashFlow-Yearly'!F11</f>
        <v>5876322</v>
      </c>
      <c r="K43" s="44">
        <f>'CashFlow-Yearly'!G11</f>
        <v>6144072</v>
      </c>
      <c r="L43" s="44">
        <f>'CashFlow-Yearly'!H11</f>
        <v>6054822</v>
      </c>
      <c r="M43" s="44">
        <f>'CashFlow-Yearly'!I11</f>
        <v>5876322</v>
      </c>
      <c r="N43" s="44">
        <f>'CashFlow-Yearly'!J11</f>
        <v>6144072</v>
      </c>
      <c r="O43" s="44">
        <f>'CashFlow-Yearly'!K11</f>
        <v>6054822</v>
      </c>
      <c r="P43" s="44">
        <f>'CashFlow-Yearly'!L11</f>
        <v>6233322</v>
      </c>
    </row>
    <row r="44" spans="5:136" x14ac:dyDescent="0.35">
      <c r="E44" s="82" t="s">
        <v>1280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</row>
    <row r="45" spans="5:136" x14ac:dyDescent="0.35">
      <c r="E45" s="82" t="s">
        <v>1279</v>
      </c>
      <c r="G45" s="44">
        <f>SUM(G32:R32)</f>
        <v>1185714.13625</v>
      </c>
      <c r="H45" s="44">
        <f>SUM(T32:AE32)</f>
        <v>4617689.3422500016</v>
      </c>
      <c r="I45" s="44">
        <f>SUM(AG32:AR32)</f>
        <v>4773843.3017541775</v>
      </c>
      <c r="J45" s="44">
        <f>SUM(AT32:BE32)</f>
        <v>4207021.9815541785</v>
      </c>
      <c r="K45" s="44">
        <f>SUM(BG32:BR32)</f>
        <v>5100959.8195881788</v>
      </c>
      <c r="L45" s="44">
        <f>SUM(BT32:CE32)</f>
        <v>4804250.3185598478</v>
      </c>
      <c r="M45" s="44">
        <f>SUM(CG32:CR32)</f>
        <v>4229441.3634438766</v>
      </c>
      <c r="N45" s="44">
        <f>SUM(CT32:DE32)</f>
        <v>5113864.0499873245</v>
      </c>
      <c r="O45" s="44">
        <f>SUM(DG32:DR32)</f>
        <v>4812413.56171099</v>
      </c>
      <c r="P45" s="44">
        <f>SUM(DT32:EE32)</f>
        <v>4275380.1044107741</v>
      </c>
    </row>
    <row r="46" spans="5:136" x14ac:dyDescent="0.35">
      <c r="E46" s="82" t="s">
        <v>1283</v>
      </c>
      <c r="G46" s="44">
        <f>-1*('CashFlow-Yearly'!C14+'CashFlow-Yearly'!C15+'CashFlow-Yearly'!C16+'CashFlow-Yearly'!C12)</f>
        <v>1185714.1362500002</v>
      </c>
      <c r="H46" s="44">
        <f>-1*('CashFlow-Yearly'!D14+'CashFlow-Yearly'!D15+'CashFlow-Yearly'!D16+'CashFlow-Yearly'!D12)</f>
        <v>4617689.3422499998</v>
      </c>
      <c r="I46" s="44">
        <f>-1*('CashFlow-Yearly'!E14+'CashFlow-Yearly'!E15+'CashFlow-Yearly'!E16+'CashFlow-Yearly'!E12)</f>
        <v>4773843.3017541775</v>
      </c>
      <c r="J46" s="44">
        <f>-1*('CashFlow-Yearly'!F14+'CashFlow-Yearly'!F15+'CashFlow-Yearly'!F16+'CashFlow-Yearly'!F12)</f>
        <v>4207021.9815541785</v>
      </c>
      <c r="K46" s="44">
        <f>-1*('CashFlow-Yearly'!G14+'CashFlow-Yearly'!G15+'CashFlow-Yearly'!G16+'CashFlow-Yearly'!G12)</f>
        <v>5100959.8195881769</v>
      </c>
      <c r="L46" s="44">
        <f>-1*('CashFlow-Yearly'!H14+'CashFlow-Yearly'!H15+'CashFlow-Yearly'!H16+'CashFlow-Yearly'!H12)</f>
        <v>4804250.3185598478</v>
      </c>
      <c r="M46" s="44">
        <f>-1*('CashFlow-Yearly'!I14+'CashFlow-Yearly'!I15+'CashFlow-Yearly'!I16+'CashFlow-Yearly'!I12)</f>
        <v>4229441.3634438766</v>
      </c>
      <c r="N46" s="44">
        <f>-1*('CashFlow-Yearly'!J14+'CashFlow-Yearly'!J15+'CashFlow-Yearly'!J16+'CashFlow-Yearly'!J12)</f>
        <v>5113864.0499873236</v>
      </c>
      <c r="O46" s="44">
        <f>-1*('CashFlow-Yearly'!K14+'CashFlow-Yearly'!K15+'CashFlow-Yearly'!K16+'CashFlow-Yearly'!K12)</f>
        <v>4812413.56171099</v>
      </c>
      <c r="P46" s="44">
        <f>-1*('CashFlow-Yearly'!L14+'CashFlow-Yearly'!L15+'CashFlow-Yearly'!L16+'CashFlow-Yearly'!L12)</f>
        <v>4275380.1044107741</v>
      </c>
    </row>
    <row r="47" spans="5:136" x14ac:dyDescent="0.35">
      <c r="E47" s="82" t="s">
        <v>1281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</row>
    <row r="48" spans="5:136" x14ac:dyDescent="0.35">
      <c r="E48" s="82" t="s">
        <v>1279</v>
      </c>
      <c r="G48" s="44">
        <f>R36</f>
        <v>519925.86375000014</v>
      </c>
      <c r="H48" s="44">
        <f>AE36</f>
        <v>714986.5214999998</v>
      </c>
      <c r="I48" s="44">
        <f>AR36</f>
        <v>1222577.2197458209</v>
      </c>
      <c r="J48" s="44">
        <f>BE36</f>
        <v>2205289.2381916423</v>
      </c>
      <c r="K48" s="44">
        <f>BR36</f>
        <v>2648613.4186034631</v>
      </c>
      <c r="L48" s="44">
        <f>CE36</f>
        <v>2930725.400474574</v>
      </c>
      <c r="M48" s="44">
        <f>CR36</f>
        <v>3212837.3823456867</v>
      </c>
      <c r="N48" s="44">
        <f>DE36</f>
        <v>3494949.3642167971</v>
      </c>
      <c r="O48" s="44">
        <f>DR36</f>
        <v>3777061.3460879074</v>
      </c>
      <c r="P48" s="44">
        <f>EE36</f>
        <v>4059173.3279590206</v>
      </c>
    </row>
    <row r="49" spans="5:16" x14ac:dyDescent="0.35">
      <c r="E49" s="82" t="s">
        <v>1283</v>
      </c>
      <c r="G49" s="44">
        <f>'CashFlow-Yearly'!C33</f>
        <v>519925.86374999955</v>
      </c>
      <c r="H49" s="44">
        <f>'CashFlow-Yearly'!D33</f>
        <v>714986.5214999998</v>
      </c>
      <c r="I49" s="44">
        <f>'CashFlow-Yearly'!E33</f>
        <v>1222577.2197458223</v>
      </c>
      <c r="J49" s="44">
        <f>'CashFlow-Yearly'!F33</f>
        <v>2205289.2381916437</v>
      </c>
      <c r="K49" s="44">
        <f>'CashFlow-Yearly'!G33</f>
        <v>2648613.4186034668</v>
      </c>
      <c r="L49" s="44">
        <f>'CashFlow-Yearly'!H33</f>
        <v>2930725.4004745781</v>
      </c>
      <c r="M49" s="44">
        <f>'CashFlow-Yearly'!I33</f>
        <v>3212837.3823456895</v>
      </c>
      <c r="N49" s="44">
        <f>'CashFlow-Yearly'!J33</f>
        <v>3494949.3642168008</v>
      </c>
      <c r="O49" s="44">
        <f>'CashFlow-Yearly'!K33</f>
        <v>3777061.3460879121</v>
      </c>
      <c r="P49" s="44">
        <f>'CashFlow-Yearly'!L33</f>
        <v>4059173.3279590234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5"/>
  <sheetViews>
    <sheetView showGridLines="0" zoomScale="90" zoomScaleNormal="90" workbookViewId="0">
      <pane ySplit="10" topLeftCell="A11" activePane="bottomLeft" state="frozen"/>
      <selection pane="bottomLeft" activeCell="I12" sqref="I12"/>
    </sheetView>
  </sheetViews>
  <sheetFormatPr defaultColWidth="13.1796875" defaultRowHeight="10.5" x14ac:dyDescent="0.35"/>
  <cols>
    <col min="1" max="1" width="4.81640625" style="370" customWidth="1"/>
    <col min="2" max="2" width="20.1796875" style="370" customWidth="1"/>
    <col min="3" max="3" width="5.6328125" style="370" customWidth="1"/>
    <col min="4" max="4" width="18.453125" style="370" customWidth="1"/>
    <col min="5" max="5" width="5.1796875" style="370" customWidth="1"/>
    <col min="6" max="6" width="9.81640625" style="370" customWidth="1"/>
    <col min="7" max="7" width="10.1796875" style="370" customWidth="1"/>
    <col min="8" max="9" width="9.36328125" style="370" customWidth="1"/>
    <col min="10" max="10" width="14" style="370" customWidth="1"/>
    <col min="11" max="11" width="12.1796875" style="370" customWidth="1"/>
    <col min="12" max="12" width="10.453125" style="370" customWidth="1"/>
    <col min="13" max="13" width="8.54296875" style="370" customWidth="1"/>
    <col min="14" max="15" width="11.1796875" style="370" customWidth="1"/>
    <col min="16" max="16" width="5.1796875" style="370" customWidth="1"/>
    <col min="17" max="17" width="6.36328125" style="370" customWidth="1"/>
    <col min="18" max="24" width="11.1796875" style="370" customWidth="1"/>
    <col min="25" max="16384" width="13.1796875" style="370"/>
  </cols>
  <sheetData>
    <row r="1" spans="1:21" x14ac:dyDescent="0.35">
      <c r="A1" s="1" t="s">
        <v>0</v>
      </c>
      <c r="B1" s="415"/>
      <c r="C1" s="415"/>
    </row>
    <row r="2" spans="1:21" x14ac:dyDescent="0.35">
      <c r="A2" s="367" t="str">
        <f>[1]ProjectValuation!A2</f>
        <v>Financial Pre-Feasibility Study</v>
      </c>
      <c r="B2" s="415"/>
      <c r="C2" s="415"/>
    </row>
    <row r="3" spans="1:21" x14ac:dyDescent="0.35">
      <c r="A3" s="416" t="s">
        <v>954</v>
      </c>
      <c r="B3" s="417"/>
      <c r="C3" s="417"/>
      <c r="Q3" s="506"/>
      <c r="R3" s="506"/>
      <c r="S3" s="506"/>
    </row>
    <row r="4" spans="1:21" x14ac:dyDescent="0.35">
      <c r="A4" s="416" t="str">
        <f>'CashFlow-Monthly'!A4</f>
        <v>Case-3: pakan diproduksi, Jumlah peliharaan di naikkan dari 3.000 menjadi 12.000 ekor</v>
      </c>
      <c r="B4" s="417"/>
      <c r="C4" s="417"/>
    </row>
    <row r="5" spans="1:21" x14ac:dyDescent="0.35">
      <c r="A5" s="416"/>
      <c r="B5" s="417"/>
      <c r="C5" s="417"/>
      <c r="G5" s="418"/>
      <c r="H5" s="418"/>
      <c r="I5" s="418"/>
      <c r="J5" s="418"/>
      <c r="K5" s="418"/>
      <c r="L5" s="418"/>
      <c r="M5" s="418"/>
      <c r="N5" s="418"/>
      <c r="O5" s="418"/>
    </row>
    <row r="7" spans="1:21" x14ac:dyDescent="0.35">
      <c r="F7" s="368" t="s">
        <v>910</v>
      </c>
      <c r="O7" s="418"/>
    </row>
    <row r="8" spans="1:21" x14ac:dyDescent="0.35">
      <c r="A8" s="419" t="s">
        <v>955</v>
      </c>
      <c r="B8" s="419"/>
      <c r="C8" s="419"/>
      <c r="D8" s="420"/>
      <c r="F8" s="419" t="s">
        <v>956</v>
      </c>
      <c r="G8" s="419"/>
      <c r="H8" s="419"/>
      <c r="I8" s="419"/>
      <c r="J8" s="419"/>
      <c r="K8" s="419"/>
      <c r="L8" s="419"/>
      <c r="M8" s="419"/>
      <c r="N8" s="419"/>
      <c r="O8" s="419"/>
      <c r="Q8" s="419" t="s">
        <v>957</v>
      </c>
      <c r="R8" s="419"/>
      <c r="S8" s="419"/>
      <c r="T8" s="419"/>
    </row>
    <row r="9" spans="1:21" ht="31.5" customHeight="1" x14ac:dyDescent="0.35">
      <c r="A9" s="421"/>
      <c r="B9" s="421"/>
      <c r="C9" s="421"/>
      <c r="D9" s="421"/>
      <c r="F9" s="422" t="s">
        <v>269</v>
      </c>
      <c r="G9" s="423" t="s">
        <v>1116</v>
      </c>
      <c r="H9" s="423" t="s">
        <v>1270</v>
      </c>
      <c r="I9" s="423" t="s">
        <v>1271</v>
      </c>
      <c r="J9" s="423" t="s">
        <v>1274</v>
      </c>
      <c r="K9" s="423" t="s">
        <v>1272</v>
      </c>
      <c r="L9" s="424" t="s">
        <v>1124</v>
      </c>
      <c r="M9" s="423" t="s">
        <v>958</v>
      </c>
      <c r="N9" s="423" t="s">
        <v>959</v>
      </c>
      <c r="O9" s="423" t="s">
        <v>960</v>
      </c>
      <c r="Q9" s="426" t="s">
        <v>269</v>
      </c>
      <c r="R9" s="427" t="s">
        <v>959</v>
      </c>
      <c r="S9" s="427" t="s">
        <v>961</v>
      </c>
      <c r="T9" s="427" t="s">
        <v>962</v>
      </c>
    </row>
    <row r="10" spans="1:21" x14ac:dyDescent="0.35">
      <c r="A10" s="421"/>
      <c r="B10" s="421"/>
      <c r="C10" s="421"/>
      <c r="D10" s="421"/>
      <c r="F10" s="502" t="s">
        <v>963</v>
      </c>
      <c r="G10" s="425" t="s">
        <v>964</v>
      </c>
      <c r="H10" s="425" t="s">
        <v>965</v>
      </c>
      <c r="I10" s="425" t="s">
        <v>1120</v>
      </c>
      <c r="J10" s="425" t="s">
        <v>966</v>
      </c>
      <c r="K10" s="425" t="s">
        <v>1121</v>
      </c>
      <c r="L10" s="503" t="s">
        <v>1118</v>
      </c>
      <c r="M10" s="425" t="s">
        <v>1119</v>
      </c>
      <c r="N10" s="425" t="s">
        <v>1122</v>
      </c>
      <c r="O10" s="504" t="s">
        <v>1123</v>
      </c>
      <c r="Q10" s="422"/>
      <c r="R10" s="422"/>
      <c r="S10" s="422"/>
      <c r="T10" s="422"/>
    </row>
    <row r="11" spans="1:21" x14ac:dyDescent="0.35">
      <c r="A11" s="382" t="s">
        <v>67</v>
      </c>
      <c r="B11" s="383" t="s">
        <v>967</v>
      </c>
      <c r="C11" s="383"/>
      <c r="D11" s="383"/>
      <c r="F11" s="428">
        <v>1</v>
      </c>
      <c r="G11" s="430">
        <f>'CashFlow-Yearly'!C32</f>
        <v>0</v>
      </c>
      <c r="H11" s="430">
        <f>'CashFlow-Yearly'!C11</f>
        <v>1205640</v>
      </c>
      <c r="I11" s="430">
        <f>G11+H11</f>
        <v>1205640</v>
      </c>
      <c r="J11" s="506">
        <f>'CashFlow-Yearly'!C14+'CashFlow-Yearly'!C15+'CashFlow-Yearly'!C16</f>
        <v>-1255472.8911400002</v>
      </c>
      <c r="K11" s="501">
        <f>I11+J11</f>
        <v>-49832.891140000196</v>
      </c>
      <c r="L11" s="506">
        <f>IncomeStatement!B21</f>
        <v>-49832.891140000196</v>
      </c>
      <c r="M11" s="505">
        <v>0</v>
      </c>
      <c r="N11" s="383">
        <f>IF(L11&lt;0,0,L11*M11)</f>
        <v>0</v>
      </c>
      <c r="O11" s="383">
        <f>'CashFlow-Yearly'!C33</f>
        <v>519925.86374999955</v>
      </c>
      <c r="Q11" s="428">
        <v>1</v>
      </c>
      <c r="R11" s="383">
        <f>N11</f>
        <v>0</v>
      </c>
      <c r="S11" s="432">
        <f>R11*$C$16%</f>
        <v>0</v>
      </c>
      <c r="T11" s="433">
        <f>R11-S11</f>
        <v>0</v>
      </c>
      <c r="U11" s="431"/>
    </row>
    <row r="12" spans="1:21" x14ac:dyDescent="0.35">
      <c r="A12" s="382" t="s">
        <v>68</v>
      </c>
      <c r="B12" s="383" t="s">
        <v>968</v>
      </c>
      <c r="C12" s="383"/>
      <c r="D12" s="383"/>
      <c r="F12" s="428">
        <v>2</v>
      </c>
      <c r="G12" s="430">
        <f>'CashFlow-Yearly'!D32</f>
        <v>519925.86374999955</v>
      </c>
      <c r="H12" s="430">
        <f>'CashFlow-Yearly'!D11</f>
        <v>5152938</v>
      </c>
      <c r="I12" s="430">
        <f t="shared" ref="I12:I20" si="0">G12+H12</f>
        <v>5672863.8637499996</v>
      </c>
      <c r="J12" s="506">
        <f>'CashFlow-Yearly'!D14+'CashFlow-Yearly'!D15+'CashFlow-Yearly'!D16</f>
        <v>-4899801.3241211111</v>
      </c>
      <c r="K12" s="501">
        <f>I12+J12</f>
        <v>773062.53962888848</v>
      </c>
      <c r="L12" s="506">
        <f>IncomeStatement!C21</f>
        <v>-64551.324121111073</v>
      </c>
      <c r="M12" s="505">
        <v>0</v>
      </c>
      <c r="N12" s="383">
        <f>IF(L12&lt;0,0,L12*M12)</f>
        <v>0</v>
      </c>
      <c r="O12" s="383">
        <f>'CashFlow-Yearly'!D33</f>
        <v>714986.5214999998</v>
      </c>
      <c r="Q12" s="428">
        <v>2</v>
      </c>
      <c r="R12" s="383">
        <f t="shared" ref="R12:R20" si="1">N12</f>
        <v>0</v>
      </c>
      <c r="S12" s="432">
        <f>R12*$C$16%</f>
        <v>0</v>
      </c>
      <c r="T12" s="433">
        <f>R12-S12</f>
        <v>0</v>
      </c>
      <c r="U12" s="431"/>
    </row>
    <row r="13" spans="1:21" x14ac:dyDescent="0.35">
      <c r="A13" s="382"/>
      <c r="B13" s="383" t="s">
        <v>1126</v>
      </c>
      <c r="C13" s="383"/>
      <c r="D13" s="383"/>
      <c r="F13" s="428">
        <v>3</v>
      </c>
      <c r="G13" s="430">
        <f>'CashFlow-Yearly'!E32</f>
        <v>714986.5214999998</v>
      </c>
      <c r="H13" s="430">
        <f>'CashFlow-Yearly'!E11</f>
        <v>6054822</v>
      </c>
      <c r="I13" s="430">
        <f t="shared" si="0"/>
        <v>6769808.5214999998</v>
      </c>
      <c r="J13" s="506">
        <f>'CashFlow-Yearly'!E14+'CashFlow-Yearly'!E15+'CashFlow-Yearly'!E16</f>
        <v>-5055955.2836252889</v>
      </c>
      <c r="K13" s="501">
        <f>I13+J13</f>
        <v>1713853.2378747109</v>
      </c>
      <c r="L13" s="506">
        <f>IncomeStatement!D21</f>
        <v>767978.71637471113</v>
      </c>
      <c r="M13" s="505">
        <v>0</v>
      </c>
      <c r="N13" s="383">
        <f t="shared" ref="N13:N20" si="2">IF(L13&lt;0,0,L13*M13)</f>
        <v>0</v>
      </c>
      <c r="O13" s="383">
        <f>'CashFlow-Yearly'!E33</f>
        <v>1222577.2197458223</v>
      </c>
      <c r="Q13" s="428">
        <v>3</v>
      </c>
      <c r="R13" s="383">
        <f t="shared" si="1"/>
        <v>0</v>
      </c>
      <c r="S13" s="432">
        <f t="shared" ref="S13:S20" si="3">R13*$C$16%</f>
        <v>0</v>
      </c>
      <c r="T13" s="433">
        <f>R13-S13</f>
        <v>0</v>
      </c>
      <c r="U13" s="431"/>
    </row>
    <row r="14" spans="1:21" x14ac:dyDescent="0.35">
      <c r="A14" s="382"/>
      <c r="B14" s="383" t="s">
        <v>969</v>
      </c>
      <c r="C14" s="383"/>
      <c r="D14" s="383"/>
      <c r="F14" s="428">
        <v>4</v>
      </c>
      <c r="G14" s="430">
        <f>'CashFlow-Yearly'!F32</f>
        <v>1222577.2197458223</v>
      </c>
      <c r="H14" s="430">
        <f>'CashFlow-Yearly'!F11</f>
        <v>5876322</v>
      </c>
      <c r="I14" s="430">
        <f t="shared" si="0"/>
        <v>7098899.2197458223</v>
      </c>
      <c r="J14" s="506">
        <f>'CashFlow-Yearly'!F14+'CashFlow-Yearly'!F15+'CashFlow-Yearly'!F16</f>
        <v>-4489133.9634252898</v>
      </c>
      <c r="K14" s="501">
        <f t="shared" ref="K12:K20" si="4">I14+J14</f>
        <v>2609765.2563205324</v>
      </c>
      <c r="L14" s="506">
        <f>IncomeStatement!E21</f>
        <v>1243100.0365747102</v>
      </c>
      <c r="M14" s="505">
        <v>0</v>
      </c>
      <c r="N14" s="383">
        <f t="shared" si="2"/>
        <v>0</v>
      </c>
      <c r="O14" s="383">
        <f>'CashFlow-Yearly'!F33</f>
        <v>2205289.2381916437</v>
      </c>
      <c r="Q14" s="428">
        <v>4</v>
      </c>
      <c r="R14" s="383">
        <f t="shared" si="1"/>
        <v>0</v>
      </c>
      <c r="S14" s="432">
        <f t="shared" si="3"/>
        <v>0</v>
      </c>
      <c r="T14" s="433">
        <f t="shared" ref="T14:T20" si="5">R14-S14</f>
        <v>0</v>
      </c>
      <c r="U14" s="431"/>
    </row>
    <row r="15" spans="1:21" x14ac:dyDescent="0.35">
      <c r="A15" s="382" t="s">
        <v>69</v>
      </c>
      <c r="B15" s="383" t="s">
        <v>970</v>
      </c>
      <c r="C15" s="383"/>
      <c r="D15" s="381"/>
      <c r="F15" s="428">
        <v>5</v>
      </c>
      <c r="G15" s="430">
        <f>'CashFlow-Yearly'!G32</f>
        <v>2205289.2381916437</v>
      </c>
      <c r="H15" s="430">
        <f>'CashFlow-Yearly'!G11</f>
        <v>6144072</v>
      </c>
      <c r="I15" s="430">
        <f t="shared" si="0"/>
        <v>8349361.2381916437</v>
      </c>
      <c r="J15" s="506">
        <f>'CashFlow-Yearly'!G14+'CashFlow-Yearly'!G15+'CashFlow-Yearly'!G16</f>
        <v>-5383071.8014592882</v>
      </c>
      <c r="K15" s="501">
        <f t="shared" si="4"/>
        <v>2966289.4367323555</v>
      </c>
      <c r="L15" s="506">
        <f>IncomeStatement!F21</f>
        <v>703712.19854071143</v>
      </c>
      <c r="M15" s="505">
        <v>0</v>
      </c>
      <c r="N15" s="383">
        <f t="shared" si="2"/>
        <v>0</v>
      </c>
      <c r="O15" s="383">
        <f>'CashFlow-Yearly'!G33</f>
        <v>2648613.4186034668</v>
      </c>
      <c r="Q15" s="428">
        <v>5</v>
      </c>
      <c r="R15" s="383">
        <f t="shared" si="1"/>
        <v>0</v>
      </c>
      <c r="S15" s="432">
        <f t="shared" si="3"/>
        <v>0</v>
      </c>
      <c r="T15" s="433">
        <f t="shared" si="5"/>
        <v>0</v>
      </c>
      <c r="U15" s="431"/>
    </row>
    <row r="16" spans="1:21" x14ac:dyDescent="0.35">
      <c r="A16" s="382" t="s">
        <v>971</v>
      </c>
      <c r="B16" s="383" t="s">
        <v>972</v>
      </c>
      <c r="C16" s="434">
        <v>60</v>
      </c>
      <c r="D16" s="435" t="s">
        <v>973</v>
      </c>
      <c r="F16" s="428">
        <v>6</v>
      </c>
      <c r="G16" s="430">
        <f>'CashFlow-Yearly'!H32</f>
        <v>2648613.4186034668</v>
      </c>
      <c r="H16" s="430">
        <f>'CashFlow-Yearly'!H11</f>
        <v>6054822</v>
      </c>
      <c r="I16" s="430">
        <f t="shared" si="0"/>
        <v>8703435.4186034668</v>
      </c>
      <c r="J16" s="506">
        <f>'CashFlow-Yearly'!H14+'CashFlow-Yearly'!H15+'CashFlow-Yearly'!H16</f>
        <v>-5086362.3004309591</v>
      </c>
      <c r="K16" s="501">
        <f t="shared" si="4"/>
        <v>3617073.1181725077</v>
      </c>
      <c r="L16" s="506">
        <f>IncomeStatement!G21</f>
        <v>954571.69956904126</v>
      </c>
      <c r="M16" s="505">
        <v>1</v>
      </c>
      <c r="N16" s="383">
        <f t="shared" si="2"/>
        <v>954571.69956904126</v>
      </c>
      <c r="O16" s="383">
        <f>'CashFlow-Yearly'!H33</f>
        <v>2930725.4004745781</v>
      </c>
      <c r="Q16" s="428">
        <v>6</v>
      </c>
      <c r="R16" s="383">
        <f t="shared" si="1"/>
        <v>954571.69956904126</v>
      </c>
      <c r="S16" s="432">
        <f>R16*$C$16%</f>
        <v>572743.01974142471</v>
      </c>
      <c r="T16" s="433">
        <f t="shared" si="5"/>
        <v>381828.67982761655</v>
      </c>
      <c r="U16" s="431"/>
    </row>
    <row r="17" spans="1:21" x14ac:dyDescent="0.35">
      <c r="A17" s="382"/>
      <c r="B17" s="383" t="s">
        <v>974</v>
      </c>
      <c r="C17" s="436">
        <v>40</v>
      </c>
      <c r="D17" s="435" t="s">
        <v>973</v>
      </c>
      <c r="F17" s="428">
        <v>7</v>
      </c>
      <c r="G17" s="430">
        <f>'CashFlow-Yearly'!I32</f>
        <v>2930725.4004745781</v>
      </c>
      <c r="H17" s="430">
        <f>'CashFlow-Yearly'!I11</f>
        <v>5876322</v>
      </c>
      <c r="I17" s="430">
        <f t="shared" si="0"/>
        <v>8807047.4004745781</v>
      </c>
      <c r="J17" s="506">
        <f>'CashFlow-Yearly'!I14+'CashFlow-Yearly'!I15+'CashFlow-Yearly'!I16</f>
        <v>-4511553.3453149879</v>
      </c>
      <c r="K17" s="501">
        <f t="shared" si="4"/>
        <v>4295494.0551595902</v>
      </c>
      <c r="L17" s="506">
        <f>IncomeStatement!H21</f>
        <v>1364768.6546850128</v>
      </c>
      <c r="M17" s="505">
        <v>1</v>
      </c>
      <c r="N17" s="383">
        <f t="shared" si="2"/>
        <v>1364768.6546850128</v>
      </c>
      <c r="O17" s="383">
        <f>'CashFlow-Yearly'!I33</f>
        <v>3212837.3823456895</v>
      </c>
      <c r="Q17" s="428">
        <v>7</v>
      </c>
      <c r="R17" s="383">
        <f t="shared" si="1"/>
        <v>1364768.6546850128</v>
      </c>
      <c r="S17" s="432">
        <f t="shared" si="3"/>
        <v>818861.19281100761</v>
      </c>
      <c r="T17" s="433">
        <f t="shared" si="5"/>
        <v>545907.46187400515</v>
      </c>
      <c r="U17" s="431"/>
    </row>
    <row r="18" spans="1:21" x14ac:dyDescent="0.35">
      <c r="F18" s="428">
        <v>8</v>
      </c>
      <c r="G18" s="430">
        <f>'CashFlow-Yearly'!J32</f>
        <v>3212837.3823456895</v>
      </c>
      <c r="H18" s="430">
        <f>'CashFlow-Yearly'!J11</f>
        <v>6144072</v>
      </c>
      <c r="I18" s="430">
        <f t="shared" si="0"/>
        <v>9356909.3823456895</v>
      </c>
      <c r="J18" s="506">
        <f>'CashFlow-Yearly'!J14+'CashFlow-Yearly'!J15+'CashFlow-Yearly'!J16</f>
        <v>-5395976.0318584349</v>
      </c>
      <c r="K18" s="501">
        <f t="shared" si="4"/>
        <v>3960933.3504872546</v>
      </c>
      <c r="L18" s="506">
        <f>IncomeStatement!I21</f>
        <v>748095.9681415644</v>
      </c>
      <c r="M18" s="505">
        <v>1</v>
      </c>
      <c r="N18" s="383">
        <f t="shared" si="2"/>
        <v>748095.9681415644</v>
      </c>
      <c r="O18" s="383">
        <f>'CashFlow-Yearly'!J33</f>
        <v>3494949.3642168008</v>
      </c>
      <c r="Q18" s="428">
        <v>8</v>
      </c>
      <c r="R18" s="383">
        <f t="shared" si="1"/>
        <v>748095.9681415644</v>
      </c>
      <c r="S18" s="432">
        <f t="shared" si="3"/>
        <v>448857.58088493865</v>
      </c>
      <c r="T18" s="433">
        <f t="shared" si="5"/>
        <v>299238.38725662575</v>
      </c>
      <c r="U18" s="431"/>
    </row>
    <row r="19" spans="1:21" x14ac:dyDescent="0.35">
      <c r="F19" s="428">
        <v>9</v>
      </c>
      <c r="G19" s="430">
        <f>'CashFlow-Yearly'!K32</f>
        <v>3494949.3642168008</v>
      </c>
      <c r="H19" s="430">
        <f>'CashFlow-Yearly'!K11</f>
        <v>6054822</v>
      </c>
      <c r="I19" s="430">
        <f t="shared" si="0"/>
        <v>9549771.3642168008</v>
      </c>
      <c r="J19" s="506">
        <f>'CashFlow-Yearly'!K14+'CashFlow-Yearly'!K15+'CashFlow-Yearly'!K16</f>
        <v>-5094525.5435821014</v>
      </c>
      <c r="K19" s="501">
        <f t="shared" si="4"/>
        <v>4455245.8206346994</v>
      </c>
      <c r="L19" s="506">
        <f>IncomeStatement!J21</f>
        <v>960296.45641789876</v>
      </c>
      <c r="M19" s="505">
        <v>1</v>
      </c>
      <c r="N19" s="383">
        <f t="shared" si="2"/>
        <v>960296.45641789876</v>
      </c>
      <c r="O19" s="383">
        <f>'CashFlow-Yearly'!K33</f>
        <v>3777061.3460879121</v>
      </c>
      <c r="Q19" s="428">
        <v>9</v>
      </c>
      <c r="R19" s="383">
        <f t="shared" si="1"/>
        <v>960296.45641789876</v>
      </c>
      <c r="S19" s="432">
        <f t="shared" si="3"/>
        <v>576177.87385073921</v>
      </c>
      <c r="T19" s="433">
        <f t="shared" si="5"/>
        <v>384118.58256715955</v>
      </c>
      <c r="U19" s="431"/>
    </row>
    <row r="20" spans="1:21" x14ac:dyDescent="0.35">
      <c r="A20" s="437"/>
      <c r="B20" s="429"/>
      <c r="C20" s="429"/>
      <c r="D20" s="429"/>
      <c r="F20" s="428">
        <v>10</v>
      </c>
      <c r="G20" s="430">
        <f>'CashFlow-Yearly'!L32</f>
        <v>3777061.3460879121</v>
      </c>
      <c r="H20" s="430">
        <f>'CashFlow-Yearly'!L11</f>
        <v>6233322</v>
      </c>
      <c r="I20" s="430">
        <f t="shared" si="0"/>
        <v>10010383.346087912</v>
      </c>
      <c r="J20" s="506">
        <f>'CashFlow-Yearly'!L14+'CashFlow-Yearly'!L15+'CashFlow-Yearly'!L16</f>
        <v>-4557492.0862818854</v>
      </c>
      <c r="K20" s="501">
        <f t="shared" si="4"/>
        <v>5452891.2598060267</v>
      </c>
      <c r="L20" s="506">
        <f>IncomeStatement!K21</f>
        <v>1675829.9137181144</v>
      </c>
      <c r="M20" s="505">
        <v>1</v>
      </c>
      <c r="N20" s="383">
        <f t="shared" si="2"/>
        <v>1675829.9137181144</v>
      </c>
      <c r="O20" s="383">
        <f>'CashFlow-Yearly'!L33</f>
        <v>4059173.3279590234</v>
      </c>
      <c r="Q20" s="428">
        <v>10</v>
      </c>
      <c r="R20" s="383">
        <f t="shared" si="1"/>
        <v>1675829.9137181144</v>
      </c>
      <c r="S20" s="432">
        <f t="shared" si="3"/>
        <v>1005497.9482308686</v>
      </c>
      <c r="T20" s="433">
        <f t="shared" si="5"/>
        <v>670331.96548724582</v>
      </c>
      <c r="U20" s="431"/>
    </row>
    <row r="21" spans="1:21" x14ac:dyDescent="0.35">
      <c r="F21" s="421"/>
      <c r="G21" s="422"/>
      <c r="H21" s="422"/>
      <c r="I21" s="422"/>
      <c r="J21" s="422"/>
      <c r="K21" s="422"/>
      <c r="L21" s="422"/>
      <c r="M21" s="422"/>
      <c r="N21" s="422"/>
      <c r="O21" s="422"/>
      <c r="Q21" s="422"/>
      <c r="R21" s="422"/>
      <c r="S21" s="422"/>
      <c r="T21" s="422"/>
    </row>
    <row r="22" spans="1:21" x14ac:dyDescent="0.35">
      <c r="A22" s="421"/>
      <c r="B22" s="421"/>
      <c r="C22" s="421"/>
      <c r="D22" s="421"/>
      <c r="R22" s="439"/>
      <c r="S22" s="439"/>
      <c r="T22" s="439"/>
    </row>
    <row r="23" spans="1:21" x14ac:dyDescent="0.35">
      <c r="F23" s="372" t="s">
        <v>259</v>
      </c>
    </row>
    <row r="24" spans="1:21" x14ac:dyDescent="0.35">
      <c r="F24" s="15" t="s">
        <v>1276</v>
      </c>
    </row>
    <row r="25" spans="1:21" x14ac:dyDescent="0.35">
      <c r="F25" s="438" t="s">
        <v>1125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showGridLines="0" zoomScale="90" zoomScaleNormal="90" workbookViewId="0">
      <selection activeCell="O4" sqref="O4"/>
    </sheetView>
  </sheetViews>
  <sheetFormatPr defaultColWidth="13.1796875" defaultRowHeight="10.5" x14ac:dyDescent="0.5"/>
  <cols>
    <col min="1" max="1" width="32.81640625" style="368" customWidth="1"/>
    <col min="2" max="2" width="6" style="368" bestFit="1" customWidth="1"/>
    <col min="3" max="12" width="11.1796875" style="368" customWidth="1"/>
    <col min="13" max="13" width="4.81640625" style="368" customWidth="1"/>
    <col min="14" max="14" width="12.81640625" style="368" customWidth="1"/>
    <col min="15" max="16" width="9.6328125" style="368" customWidth="1"/>
    <col min="17" max="17" width="17.81640625" style="368" customWidth="1"/>
    <col min="18" max="16384" width="13.1796875" style="368"/>
  </cols>
  <sheetData>
    <row r="1" spans="1:18" x14ac:dyDescent="0.35">
      <c r="A1" s="1" t="s">
        <v>0</v>
      </c>
      <c r="B1" s="367"/>
    </row>
    <row r="2" spans="1:18" x14ac:dyDescent="0.5">
      <c r="A2" s="367" t="str">
        <f>[1]ProjectValuation!A2</f>
        <v>Financial Pre-Feasibility Study</v>
      </c>
      <c r="B2" s="367"/>
    </row>
    <row r="3" spans="1:18" x14ac:dyDescent="0.5">
      <c r="A3" s="369" t="s">
        <v>930</v>
      </c>
      <c r="B3" s="369"/>
      <c r="Q3" s="402"/>
    </row>
    <row r="4" spans="1:18" x14ac:dyDescent="0.5">
      <c r="A4" s="527" t="str">
        <f>Dividen!A4</f>
        <v>Case-3: pakan diproduksi, Jumlah peliharaan di naikkan dari 3.000 menjadi 12.000 ekor</v>
      </c>
      <c r="B4" s="388"/>
    </row>
    <row r="5" spans="1:18" x14ac:dyDescent="0.5">
      <c r="A5" s="388"/>
      <c r="B5" s="388"/>
    </row>
    <row r="6" spans="1:18" x14ac:dyDescent="0.5">
      <c r="A6" s="388"/>
      <c r="B6" s="388"/>
      <c r="D6" s="387"/>
    </row>
    <row r="7" spans="1:18" x14ac:dyDescent="0.5">
      <c r="A7" s="368" t="s">
        <v>910</v>
      </c>
      <c r="P7" s="368" t="s">
        <v>931</v>
      </c>
    </row>
    <row r="8" spans="1:18" ht="20.2" customHeight="1" x14ac:dyDescent="0.5">
      <c r="A8" s="390" t="s">
        <v>269</v>
      </c>
      <c r="B8" s="390"/>
      <c r="C8" s="391">
        <v>1</v>
      </c>
      <c r="D8" s="391">
        <f>C8+1</f>
        <v>2</v>
      </c>
      <c r="E8" s="391">
        <f t="shared" ref="E8:L8" si="0">D8+1</f>
        <v>3</v>
      </c>
      <c r="F8" s="391">
        <f t="shared" si="0"/>
        <v>4</v>
      </c>
      <c r="G8" s="391">
        <f t="shared" si="0"/>
        <v>5</v>
      </c>
      <c r="H8" s="391">
        <f t="shared" si="0"/>
        <v>6</v>
      </c>
      <c r="I8" s="391">
        <f t="shared" si="0"/>
        <v>7</v>
      </c>
      <c r="J8" s="391">
        <f t="shared" si="0"/>
        <v>8</v>
      </c>
      <c r="K8" s="391">
        <f t="shared" si="0"/>
        <v>9</v>
      </c>
      <c r="L8" s="391">
        <f t="shared" si="0"/>
        <v>10</v>
      </c>
      <c r="P8" s="403" t="s">
        <v>269</v>
      </c>
      <c r="Q8" s="404" t="s">
        <v>932</v>
      </c>
      <c r="R8" s="404" t="s">
        <v>933</v>
      </c>
    </row>
    <row r="9" spans="1:18" x14ac:dyDescent="0.5">
      <c r="A9" s="373" t="s">
        <v>934</v>
      </c>
      <c r="B9" s="373"/>
      <c r="C9" s="402"/>
      <c r="D9" s="402"/>
      <c r="E9" s="402"/>
      <c r="F9" s="402"/>
      <c r="G9" s="402"/>
      <c r="H9" s="402"/>
      <c r="I9" s="402"/>
      <c r="J9" s="402"/>
      <c r="K9" s="402"/>
      <c r="L9" s="402"/>
      <c r="P9" s="405">
        <v>1</v>
      </c>
      <c r="Q9" s="402">
        <f>C25</f>
        <v>1290467.1088599998</v>
      </c>
      <c r="R9" s="402"/>
    </row>
    <row r="10" spans="1:18" x14ac:dyDescent="0.5">
      <c r="A10" s="368" t="s">
        <v>935</v>
      </c>
      <c r="C10" s="402">
        <f>(CapitalInvestment!E21+CapitalInvestment!E22)/1000</f>
        <v>1340300</v>
      </c>
      <c r="D10" s="402">
        <f>C23</f>
        <v>1340300</v>
      </c>
      <c r="E10" s="402">
        <f t="shared" ref="E10:L11" si="1">D23</f>
        <v>4030300</v>
      </c>
      <c r="F10" s="402">
        <f t="shared" si="1"/>
        <v>4030300</v>
      </c>
      <c r="G10" s="402">
        <f t="shared" si="1"/>
        <v>4030300</v>
      </c>
      <c r="H10" s="402">
        <f t="shared" si="1"/>
        <v>4030300</v>
      </c>
      <c r="I10" s="402">
        <f t="shared" si="1"/>
        <v>4030300</v>
      </c>
      <c r="J10" s="402">
        <f t="shared" si="1"/>
        <v>4030300</v>
      </c>
      <c r="K10" s="402">
        <f t="shared" si="1"/>
        <v>4030300</v>
      </c>
      <c r="L10" s="402">
        <f t="shared" si="1"/>
        <v>4030300</v>
      </c>
      <c r="P10" s="405">
        <v>2</v>
      </c>
      <c r="Q10" s="402">
        <f>D25</f>
        <v>3915915.784738889</v>
      </c>
      <c r="R10" s="406">
        <f>100*(Q10-Q9)/Q9</f>
        <v>203.44948413278146</v>
      </c>
    </row>
    <row r="11" spans="1:18" x14ac:dyDescent="0.5">
      <c r="A11" s="368" t="s">
        <v>936</v>
      </c>
      <c r="C11" s="407">
        <v>0</v>
      </c>
      <c r="D11" s="408">
        <f>C24</f>
        <v>-49832.891140000196</v>
      </c>
      <c r="E11" s="408">
        <f>D24</f>
        <v>-114384.21526111127</v>
      </c>
      <c r="F11" s="408">
        <f>E24</f>
        <v>653594.50111359986</v>
      </c>
      <c r="G11" s="408">
        <f>F24</f>
        <v>1896694.53768831</v>
      </c>
      <c r="H11" s="408">
        <f t="shared" si="1"/>
        <v>2600406.7362290216</v>
      </c>
      <c r="I11" s="408">
        <f t="shared" si="1"/>
        <v>2600406.7362290216</v>
      </c>
      <c r="J11" s="408">
        <f t="shared" si="1"/>
        <v>2600406.7362290216</v>
      </c>
      <c r="K11" s="408">
        <f t="shared" si="1"/>
        <v>2600406.7362290216</v>
      </c>
      <c r="L11" s="408">
        <f>K24</f>
        <v>2600406.7362290216</v>
      </c>
      <c r="P11" s="405">
        <v>3</v>
      </c>
      <c r="Q11" s="402">
        <f>E25</f>
        <v>4683894.5011136001</v>
      </c>
      <c r="R11" s="406">
        <f t="shared" ref="R11:R17" si="2">100*(Q11-Q10)/Q10</f>
        <v>19.611727079721135</v>
      </c>
    </row>
    <row r="12" spans="1:18" x14ac:dyDescent="0.5">
      <c r="A12" s="368" t="s">
        <v>937</v>
      </c>
      <c r="C12" s="409">
        <f>C10+C11</f>
        <v>1340300</v>
      </c>
      <c r="D12" s="409">
        <f t="shared" ref="D12:L12" si="3">D10+D11</f>
        <v>1290467.1088599998</v>
      </c>
      <c r="E12" s="409">
        <f t="shared" si="3"/>
        <v>3915915.784738889</v>
      </c>
      <c r="F12" s="409">
        <f t="shared" si="3"/>
        <v>4683894.5011136001</v>
      </c>
      <c r="G12" s="409">
        <f t="shared" si="3"/>
        <v>5926994.5376883103</v>
      </c>
      <c r="H12" s="409">
        <f t="shared" si="3"/>
        <v>6630706.7362290211</v>
      </c>
      <c r="I12" s="409">
        <f t="shared" si="3"/>
        <v>6630706.7362290211</v>
      </c>
      <c r="J12" s="409">
        <f t="shared" si="3"/>
        <v>6630706.7362290211</v>
      </c>
      <c r="K12" s="409">
        <f t="shared" si="3"/>
        <v>6630706.7362290211</v>
      </c>
      <c r="L12" s="409">
        <f t="shared" si="3"/>
        <v>6630706.7362290211</v>
      </c>
      <c r="P12" s="405">
        <v>4</v>
      </c>
      <c r="Q12" s="402">
        <f>F25</f>
        <v>5926994.5376883103</v>
      </c>
      <c r="R12" s="406">
        <f t="shared" si="2"/>
        <v>26.53988120951832</v>
      </c>
    </row>
    <row r="13" spans="1:18" x14ac:dyDescent="0.5">
      <c r="A13" s="373" t="s">
        <v>938</v>
      </c>
      <c r="B13" s="373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P13" s="405">
        <v>5</v>
      </c>
      <c r="Q13" s="402">
        <f>G25</f>
        <v>6630706.7362290211</v>
      </c>
      <c r="R13" s="406">
        <f t="shared" si="2"/>
        <v>11.873002312824431</v>
      </c>
    </row>
    <row r="14" spans="1:18" x14ac:dyDescent="0.5">
      <c r="A14" s="368" t="s">
        <v>939</v>
      </c>
      <c r="B14" s="373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P14" s="405">
        <v>6</v>
      </c>
      <c r="Q14" s="402">
        <f>H25</f>
        <v>6630706.7362290211</v>
      </c>
      <c r="R14" s="406">
        <f t="shared" si="2"/>
        <v>0</v>
      </c>
    </row>
    <row r="15" spans="1:18" x14ac:dyDescent="0.5">
      <c r="A15" s="368" t="s">
        <v>940</v>
      </c>
      <c r="C15" s="410">
        <v>0</v>
      </c>
      <c r="D15" s="402">
        <f>(CapitalInvestment!AB12+CapitalInvestment!AB13)/1000</f>
        <v>2690000</v>
      </c>
      <c r="E15" s="410">
        <v>0</v>
      </c>
      <c r="F15" s="410">
        <v>0</v>
      </c>
      <c r="G15" s="410">
        <v>0</v>
      </c>
      <c r="H15" s="410">
        <v>0</v>
      </c>
      <c r="I15" s="410">
        <v>0</v>
      </c>
      <c r="J15" s="410">
        <v>0</v>
      </c>
      <c r="K15" s="410">
        <v>0</v>
      </c>
      <c r="L15" s="410">
        <v>0</v>
      </c>
      <c r="P15" s="405">
        <v>7</v>
      </c>
      <c r="Q15" s="402">
        <f>I25</f>
        <v>6630706.7362290211</v>
      </c>
      <c r="R15" s="406">
        <f t="shared" si="2"/>
        <v>0</v>
      </c>
    </row>
    <row r="16" spans="1:18" x14ac:dyDescent="0.5">
      <c r="A16" s="368" t="s">
        <v>941</v>
      </c>
      <c r="C16" s="408">
        <f t="shared" ref="C16:L16" si="4">-1*$C$10*C28</f>
        <v>0</v>
      </c>
      <c r="D16" s="408">
        <f t="shared" si="4"/>
        <v>0</v>
      </c>
      <c r="E16" s="408">
        <f t="shared" si="4"/>
        <v>0</v>
      </c>
      <c r="F16" s="408">
        <f t="shared" si="4"/>
        <v>0</v>
      </c>
      <c r="G16" s="408">
        <f t="shared" si="4"/>
        <v>0</v>
      </c>
      <c r="H16" s="408">
        <f t="shared" si="4"/>
        <v>0</v>
      </c>
      <c r="I16" s="408">
        <f t="shared" si="4"/>
        <v>0</v>
      </c>
      <c r="J16" s="408">
        <f t="shared" si="4"/>
        <v>0</v>
      </c>
      <c r="K16" s="408">
        <f t="shared" si="4"/>
        <v>0</v>
      </c>
      <c r="L16" s="408">
        <f t="shared" si="4"/>
        <v>0</v>
      </c>
      <c r="P16" s="405">
        <v>8</v>
      </c>
      <c r="Q16" s="402">
        <f>J25</f>
        <v>6630706.7362290211</v>
      </c>
      <c r="R16" s="406">
        <f t="shared" si="2"/>
        <v>0</v>
      </c>
    </row>
    <row r="17" spans="1:18" x14ac:dyDescent="0.5">
      <c r="A17" s="371" t="s">
        <v>942</v>
      </c>
      <c r="B17" s="373"/>
      <c r="C17" s="409">
        <f>SUM(C15:C16)</f>
        <v>0</v>
      </c>
      <c r="D17" s="409">
        <f t="shared" ref="D17:L17" si="5">SUM(D15:D16)</f>
        <v>2690000</v>
      </c>
      <c r="E17" s="409">
        <f t="shared" si="5"/>
        <v>0</v>
      </c>
      <c r="F17" s="409">
        <f t="shared" si="5"/>
        <v>0</v>
      </c>
      <c r="G17" s="409">
        <f t="shared" si="5"/>
        <v>0</v>
      </c>
      <c r="H17" s="409">
        <f t="shared" si="5"/>
        <v>0</v>
      </c>
      <c r="I17" s="409">
        <f t="shared" si="5"/>
        <v>0</v>
      </c>
      <c r="J17" s="409">
        <f t="shared" si="5"/>
        <v>0</v>
      </c>
      <c r="K17" s="409">
        <f t="shared" si="5"/>
        <v>0</v>
      </c>
      <c r="L17" s="409">
        <f t="shared" si="5"/>
        <v>0</v>
      </c>
      <c r="P17" s="405">
        <v>9</v>
      </c>
      <c r="Q17" s="402">
        <f>K25</f>
        <v>6630706.7362290211</v>
      </c>
      <c r="R17" s="406">
        <f t="shared" si="2"/>
        <v>0</v>
      </c>
    </row>
    <row r="18" spans="1:18" x14ac:dyDescent="0.5">
      <c r="A18" s="368" t="s">
        <v>943</v>
      </c>
      <c r="B18" s="373"/>
      <c r="C18" s="402"/>
      <c r="D18" s="402"/>
      <c r="E18" s="402"/>
      <c r="F18" s="402"/>
      <c r="G18" s="402"/>
      <c r="H18" s="402"/>
      <c r="I18" s="402"/>
      <c r="J18" s="402"/>
      <c r="K18" s="402"/>
      <c r="L18" s="402"/>
      <c r="P18" s="405">
        <v>10</v>
      </c>
      <c r="Q18" s="402">
        <f>L25</f>
        <v>6630706.7362290211</v>
      </c>
      <c r="R18" s="406">
        <f>100*(Q18-Q17)/Q17</f>
        <v>0</v>
      </c>
    </row>
    <row r="19" spans="1:18" x14ac:dyDescent="0.5">
      <c r="A19" s="368" t="s">
        <v>944</v>
      </c>
      <c r="C19" s="402">
        <f>IncomeStatement!B21</f>
        <v>-49832.891140000196</v>
      </c>
      <c r="D19" s="402">
        <f>IncomeStatement!C21</f>
        <v>-64551.324121111073</v>
      </c>
      <c r="E19" s="402">
        <f>IncomeStatement!D21</f>
        <v>767978.71637471113</v>
      </c>
      <c r="F19" s="402">
        <f>IncomeStatement!E21</f>
        <v>1243100.0365747102</v>
      </c>
      <c r="G19" s="402">
        <f>IncomeStatement!F21</f>
        <v>703712.19854071143</v>
      </c>
      <c r="H19" s="402">
        <f>IncomeStatement!G21</f>
        <v>954571.69956904126</v>
      </c>
      <c r="I19" s="402">
        <f>IncomeStatement!H21</f>
        <v>1364768.6546850128</v>
      </c>
      <c r="J19" s="402">
        <f>IncomeStatement!I21</f>
        <v>748095.9681415644</v>
      </c>
      <c r="K19" s="402">
        <f>IncomeStatement!J21</f>
        <v>960296.45641789876</v>
      </c>
      <c r="L19" s="402">
        <f>IncomeStatement!K21</f>
        <v>1675829.9137181144</v>
      </c>
      <c r="P19" s="401"/>
      <c r="Q19" s="401"/>
      <c r="R19" s="401"/>
    </row>
    <row r="20" spans="1:18" x14ac:dyDescent="0.5">
      <c r="A20" s="368" t="s">
        <v>945</v>
      </c>
      <c r="C20" s="507">
        <f>Dividen!N11</f>
        <v>0</v>
      </c>
      <c r="D20" s="507">
        <f>-1*Dividen!N12</f>
        <v>0</v>
      </c>
      <c r="E20" s="507">
        <f>-1*Dividen!N13</f>
        <v>0</v>
      </c>
      <c r="F20" s="507">
        <f>-1*Dividen!N14</f>
        <v>0</v>
      </c>
      <c r="G20" s="507">
        <f>-1*Dividen!N15</f>
        <v>0</v>
      </c>
      <c r="H20" s="507">
        <f>-1*Dividen!N16</f>
        <v>-954571.69956904126</v>
      </c>
      <c r="I20" s="507">
        <f>-1*Dividen!N17</f>
        <v>-1364768.6546850128</v>
      </c>
      <c r="J20" s="507">
        <f>-1*Dividen!N18</f>
        <v>-748095.9681415644</v>
      </c>
      <c r="K20" s="507">
        <f>-1*Dividen!N19</f>
        <v>-960296.45641789876</v>
      </c>
      <c r="L20" s="507">
        <f>-1*Dividen!N20</f>
        <v>-1675829.9137181144</v>
      </c>
      <c r="N20" s="376" t="s">
        <v>946</v>
      </c>
    </row>
    <row r="21" spans="1:18" x14ac:dyDescent="0.5">
      <c r="A21" s="368" t="s">
        <v>947</v>
      </c>
      <c r="C21" s="409">
        <f>C19+C20</f>
        <v>-49832.891140000196</v>
      </c>
      <c r="D21" s="409">
        <f t="shared" ref="D21:L21" si="6">D19+D20</f>
        <v>-64551.324121111073</v>
      </c>
      <c r="E21" s="409">
        <f t="shared" si="6"/>
        <v>767978.71637471113</v>
      </c>
      <c r="F21" s="409">
        <f t="shared" si="6"/>
        <v>1243100.0365747102</v>
      </c>
      <c r="G21" s="409">
        <f t="shared" si="6"/>
        <v>703712.19854071143</v>
      </c>
      <c r="H21" s="409">
        <f t="shared" si="6"/>
        <v>0</v>
      </c>
      <c r="I21" s="409">
        <f>I19+I20</f>
        <v>0</v>
      </c>
      <c r="J21" s="409">
        <f t="shared" si="6"/>
        <v>0</v>
      </c>
      <c r="K21" s="409">
        <f t="shared" si="6"/>
        <v>0</v>
      </c>
      <c r="L21" s="409">
        <f t="shared" si="6"/>
        <v>0</v>
      </c>
    </row>
    <row r="22" spans="1:18" x14ac:dyDescent="0.5">
      <c r="A22" s="373" t="s">
        <v>948</v>
      </c>
      <c r="C22" s="402"/>
      <c r="D22" s="402"/>
      <c r="E22" s="402"/>
      <c r="F22" s="402"/>
      <c r="G22" s="402"/>
      <c r="H22" s="402"/>
      <c r="I22" s="402"/>
      <c r="J22" s="402"/>
      <c r="K22" s="402"/>
      <c r="L22" s="402"/>
    </row>
    <row r="23" spans="1:18" x14ac:dyDescent="0.5">
      <c r="A23" s="368" t="s">
        <v>935</v>
      </c>
      <c r="C23" s="402">
        <f>C10+C17</f>
        <v>1340300</v>
      </c>
      <c r="D23" s="402">
        <f t="shared" ref="D23:L23" si="7">D10+D17</f>
        <v>4030300</v>
      </c>
      <c r="E23" s="402">
        <f t="shared" si="7"/>
        <v>4030300</v>
      </c>
      <c r="F23" s="402">
        <f t="shared" si="7"/>
        <v>4030300</v>
      </c>
      <c r="G23" s="402">
        <f t="shared" si="7"/>
        <v>4030300</v>
      </c>
      <c r="H23" s="402">
        <f t="shared" si="7"/>
        <v>4030300</v>
      </c>
      <c r="I23" s="402">
        <f t="shared" si="7"/>
        <v>4030300</v>
      </c>
      <c r="J23" s="402">
        <f t="shared" si="7"/>
        <v>4030300</v>
      </c>
      <c r="K23" s="402">
        <f t="shared" si="7"/>
        <v>4030300</v>
      </c>
      <c r="L23" s="402">
        <f t="shared" si="7"/>
        <v>4030300</v>
      </c>
    </row>
    <row r="24" spans="1:18" x14ac:dyDescent="0.5">
      <c r="A24" s="368" t="s">
        <v>949</v>
      </c>
      <c r="C24" s="408">
        <f>C11+C21</f>
        <v>-49832.891140000196</v>
      </c>
      <c r="D24" s="408">
        <f>D11+D21</f>
        <v>-114384.21526111127</v>
      </c>
      <c r="E24" s="408">
        <f>E11+E21</f>
        <v>653594.50111359986</v>
      </c>
      <c r="F24" s="408">
        <f t="shared" ref="F24:L24" si="8">F11+F21</f>
        <v>1896694.53768831</v>
      </c>
      <c r="G24" s="408">
        <f t="shared" si="8"/>
        <v>2600406.7362290216</v>
      </c>
      <c r="H24" s="408">
        <f t="shared" si="8"/>
        <v>2600406.7362290216</v>
      </c>
      <c r="I24" s="408">
        <f t="shared" si="8"/>
        <v>2600406.7362290216</v>
      </c>
      <c r="J24" s="408">
        <f t="shared" si="8"/>
        <v>2600406.7362290216</v>
      </c>
      <c r="K24" s="408">
        <f t="shared" si="8"/>
        <v>2600406.7362290216</v>
      </c>
      <c r="L24" s="408">
        <f t="shared" si="8"/>
        <v>2600406.7362290216</v>
      </c>
    </row>
    <row r="25" spans="1:18" x14ac:dyDescent="0.5">
      <c r="A25" s="368" t="s">
        <v>950</v>
      </c>
      <c r="C25" s="409">
        <f>C23+C24</f>
        <v>1290467.1088599998</v>
      </c>
      <c r="D25" s="409">
        <f>D23+D24</f>
        <v>3915915.784738889</v>
      </c>
      <c r="E25" s="409">
        <f>E23+E24</f>
        <v>4683894.5011136001</v>
      </c>
      <c r="F25" s="409">
        <f t="shared" ref="F25:L25" si="9">F23+F24</f>
        <v>5926994.5376883103</v>
      </c>
      <c r="G25" s="409">
        <f t="shared" si="9"/>
        <v>6630706.7362290211</v>
      </c>
      <c r="H25" s="409">
        <f t="shared" si="9"/>
        <v>6630706.7362290211</v>
      </c>
      <c r="I25" s="409">
        <f t="shared" si="9"/>
        <v>6630706.7362290211</v>
      </c>
      <c r="J25" s="409">
        <f t="shared" si="9"/>
        <v>6630706.7362290211</v>
      </c>
      <c r="K25" s="409">
        <f t="shared" si="9"/>
        <v>6630706.7362290211</v>
      </c>
      <c r="L25" s="409">
        <f t="shared" si="9"/>
        <v>6630706.7362290211</v>
      </c>
    </row>
    <row r="26" spans="1:18" x14ac:dyDescent="0.5">
      <c r="A26" s="411"/>
      <c r="B26" s="411"/>
      <c r="C26" s="412"/>
      <c r="D26" s="412"/>
      <c r="E26" s="412"/>
      <c r="F26" s="412"/>
      <c r="G26" s="412"/>
      <c r="H26" s="412"/>
      <c r="I26" s="412"/>
      <c r="J26" s="412"/>
      <c r="K26" s="412"/>
      <c r="L26" s="412"/>
    </row>
    <row r="27" spans="1:18" x14ac:dyDescent="0.5">
      <c r="A27" s="373" t="s">
        <v>951</v>
      </c>
      <c r="C27" s="392"/>
      <c r="D27" s="392"/>
      <c r="E27" s="392"/>
      <c r="F27" s="392"/>
      <c r="G27" s="392"/>
      <c r="H27" s="392"/>
      <c r="I27" s="392"/>
      <c r="J27" s="392"/>
      <c r="K27" s="392"/>
      <c r="L27" s="392"/>
    </row>
    <row r="28" spans="1:18" x14ac:dyDescent="0.5">
      <c r="A28" s="371" t="s">
        <v>952</v>
      </c>
      <c r="B28" s="371"/>
      <c r="C28" s="413">
        <v>0</v>
      </c>
      <c r="D28" s="413">
        <v>0</v>
      </c>
      <c r="E28" s="413">
        <v>0</v>
      </c>
      <c r="F28" s="413">
        <v>0</v>
      </c>
      <c r="G28" s="413">
        <v>0</v>
      </c>
      <c r="H28" s="413">
        <v>0</v>
      </c>
      <c r="I28" s="413">
        <v>0</v>
      </c>
      <c r="J28" s="413">
        <v>0</v>
      </c>
      <c r="K28" s="413">
        <v>0</v>
      </c>
      <c r="L28" s="413">
        <v>0</v>
      </c>
    </row>
    <row r="30" spans="1:18" x14ac:dyDescent="0.5">
      <c r="C30" s="414"/>
      <c r="D30" s="392"/>
    </row>
    <row r="31" spans="1:18" x14ac:dyDescent="0.5">
      <c r="C31" s="414"/>
      <c r="D31" s="392"/>
    </row>
    <row r="32" spans="1:18" x14ac:dyDescent="0.5">
      <c r="C32" s="3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13"/>
  <sheetViews>
    <sheetView showGridLines="0" zoomScale="90" zoomScaleNormal="90" workbookViewId="0">
      <pane ySplit="8" topLeftCell="A9" activePane="bottomLeft" state="frozen"/>
      <selection pane="bottomLeft" activeCell="A3" sqref="A3:A4"/>
    </sheetView>
  </sheetViews>
  <sheetFormatPr defaultColWidth="12" defaultRowHeight="10.5" x14ac:dyDescent="0.35"/>
  <cols>
    <col min="1" max="2" width="12" style="4"/>
    <col min="3" max="3" width="12.453125" style="4" bestFit="1" customWidth="1"/>
    <col min="4" max="4" width="12" style="4"/>
    <col min="5" max="5" width="14.1796875" style="4" customWidth="1"/>
    <col min="6" max="7" width="12" style="4"/>
    <col min="8" max="8" width="24" style="4" bestFit="1" customWidth="1"/>
    <col min="9" max="9" width="14" style="4" bestFit="1" customWidth="1"/>
    <col min="10" max="10" width="12.1796875" style="4" bestFit="1" customWidth="1"/>
    <col min="11" max="11" width="17.453125" style="4" bestFit="1" customWidth="1"/>
    <col min="12" max="12" width="16.453125" style="4" bestFit="1" customWidth="1"/>
    <col min="13" max="13" width="15.453125" style="4" bestFit="1" customWidth="1"/>
    <col min="14" max="14" width="12" style="4"/>
    <col min="15" max="15" width="27.1796875" style="4" customWidth="1"/>
    <col min="16" max="16384" width="12" style="4"/>
  </cols>
  <sheetData>
    <row r="1" spans="1:16" x14ac:dyDescent="0.35">
      <c r="A1" s="73" t="str">
        <f>'CashFlow-Monthly'!A1</f>
        <v>Peternakan Ayam Petelur</v>
      </c>
    </row>
    <row r="2" spans="1:16" x14ac:dyDescent="0.35">
      <c r="A2" s="73" t="str">
        <f>'CashFlow-Monthly'!A2</f>
        <v>Financial Pre-Feasibility Study</v>
      </c>
    </row>
    <row r="3" spans="1:16" x14ac:dyDescent="0.35">
      <c r="A3" s="528" t="s">
        <v>540</v>
      </c>
    </row>
    <row r="4" spans="1:16" x14ac:dyDescent="0.35">
      <c r="A4" s="10" t="str">
        <f>Asumsi!A4</f>
        <v>Case-3: pakan diproduksi, Jumlah peliharaan di naikkan dari 3.000 menjadi 12.000 ekor</v>
      </c>
    </row>
    <row r="5" spans="1:16" x14ac:dyDescent="0.35">
      <c r="A5" s="124"/>
    </row>
    <row r="6" spans="1:16" x14ac:dyDescent="0.35">
      <c r="A6" s="124"/>
    </row>
    <row r="8" spans="1:16" s="20" customFormat="1" ht="22.5" customHeight="1" x14ac:dyDescent="0.5">
      <c r="A8" s="23" t="s">
        <v>536</v>
      </c>
      <c r="B8" s="70"/>
      <c r="C8" s="70"/>
      <c r="D8" s="70"/>
      <c r="E8" s="70"/>
      <c r="H8" s="23" t="s">
        <v>882</v>
      </c>
      <c r="I8" s="23"/>
      <c r="J8" s="23"/>
      <c r="K8" s="23"/>
      <c r="L8" s="361" t="s">
        <v>883</v>
      </c>
      <c r="M8" s="362" t="s">
        <v>884</v>
      </c>
    </row>
    <row r="10" spans="1:16" ht="10.5" customHeight="1" x14ac:dyDescent="0.35">
      <c r="A10" s="4" t="s">
        <v>383</v>
      </c>
      <c r="B10" s="195" t="s">
        <v>384</v>
      </c>
      <c r="C10" s="13"/>
      <c r="D10" s="196"/>
      <c r="H10" s="352" t="s">
        <v>881</v>
      </c>
      <c r="I10" s="353" t="s">
        <v>677</v>
      </c>
      <c r="J10" s="354" t="s">
        <v>678</v>
      </c>
      <c r="K10" s="354" t="s">
        <v>679</v>
      </c>
      <c r="L10" s="355" t="s">
        <v>680</v>
      </c>
      <c r="M10" s="354" t="s">
        <v>681</v>
      </c>
      <c r="O10" s="161" t="s">
        <v>672</v>
      </c>
    </row>
    <row r="11" spans="1:16" ht="10.5" customHeight="1" x14ac:dyDescent="0.35">
      <c r="B11" s="195" t="s">
        <v>537</v>
      </c>
      <c r="H11" s="356" t="s">
        <v>682</v>
      </c>
      <c r="I11" s="357" t="s">
        <v>683</v>
      </c>
      <c r="J11" s="358">
        <v>5.3E-3</v>
      </c>
      <c r="K11" s="358">
        <v>7.4999999999999997E-3</v>
      </c>
      <c r="L11" s="359">
        <v>5.7500000000000002E-2</v>
      </c>
      <c r="M11" s="358">
        <v>0.15</v>
      </c>
      <c r="O11" s="4" t="s">
        <v>383</v>
      </c>
    </row>
    <row r="12" spans="1:16" ht="10.5" customHeight="1" x14ac:dyDescent="0.35">
      <c r="A12" s="4" t="s">
        <v>385</v>
      </c>
      <c r="B12" s="197"/>
      <c r="C12" s="13"/>
      <c r="D12" s="196"/>
      <c r="H12" s="356" t="s">
        <v>684</v>
      </c>
      <c r="I12" s="357" t="s">
        <v>685</v>
      </c>
      <c r="J12" s="358">
        <v>4.82E-2</v>
      </c>
      <c r="K12" s="358">
        <v>6.83E-2</v>
      </c>
      <c r="L12" s="359">
        <v>0.1183</v>
      </c>
      <c r="M12" s="358">
        <v>0.15</v>
      </c>
      <c r="O12" s="11" t="s">
        <v>673</v>
      </c>
    </row>
    <row r="13" spans="1:16" ht="10.5" customHeight="1" x14ac:dyDescent="0.35">
      <c r="A13" s="4" t="s">
        <v>386</v>
      </c>
      <c r="B13" s="151"/>
      <c r="C13" s="198"/>
      <c r="D13" s="199"/>
      <c r="E13" s="200"/>
      <c r="H13" s="356" t="s">
        <v>686</v>
      </c>
      <c r="I13" s="357" t="s">
        <v>687</v>
      </c>
      <c r="J13" s="358">
        <v>3.85E-2</v>
      </c>
      <c r="K13" s="358">
        <v>5.4600000000000003E-2</v>
      </c>
      <c r="L13" s="359">
        <v>0.1046</v>
      </c>
      <c r="M13" s="358">
        <v>0.26</v>
      </c>
    </row>
    <row r="14" spans="1:16" ht="10.5" customHeight="1" x14ac:dyDescent="0.35">
      <c r="A14" s="12" t="s">
        <v>387</v>
      </c>
      <c r="B14" s="201"/>
      <c r="C14" s="202"/>
      <c r="D14" s="203"/>
      <c r="E14" s="200"/>
      <c r="H14" s="356" t="s">
        <v>688</v>
      </c>
      <c r="I14" s="357" t="s">
        <v>689</v>
      </c>
      <c r="J14" s="358">
        <v>2.0400000000000001E-2</v>
      </c>
      <c r="K14" s="358">
        <v>2.8899999999999999E-2</v>
      </c>
      <c r="L14" s="359">
        <v>7.8899999999999998E-2</v>
      </c>
      <c r="M14" s="358">
        <v>0.1898</v>
      </c>
      <c r="O14" s="4" t="s">
        <v>674</v>
      </c>
    </row>
    <row r="15" spans="1:16" ht="10.5" customHeight="1" x14ac:dyDescent="0.35">
      <c r="A15" s="12" t="s">
        <v>388</v>
      </c>
      <c r="B15" s="201"/>
      <c r="C15" s="202"/>
      <c r="D15" s="203"/>
      <c r="E15" s="200"/>
      <c r="H15" s="356" t="s">
        <v>690</v>
      </c>
      <c r="I15" s="357" t="s">
        <v>691</v>
      </c>
      <c r="J15" s="358">
        <v>6.9500000000000006E-2</v>
      </c>
      <c r="K15" s="358">
        <v>9.8599999999999993E-2</v>
      </c>
      <c r="L15" s="359">
        <v>0.14860000000000001</v>
      </c>
      <c r="M15" s="358">
        <v>0.25</v>
      </c>
      <c r="O15" s="4" t="s">
        <v>675</v>
      </c>
    </row>
    <row r="16" spans="1:16" ht="10.5" customHeight="1" x14ac:dyDescent="0.35">
      <c r="A16" s="12" t="s">
        <v>389</v>
      </c>
      <c r="B16" s="204"/>
      <c r="C16" s="205"/>
      <c r="D16" s="205"/>
      <c r="E16" s="205"/>
      <c r="H16" s="356" t="s">
        <v>692</v>
      </c>
      <c r="I16" s="357" t="s">
        <v>693</v>
      </c>
      <c r="J16" s="358">
        <v>0.12839999999999999</v>
      </c>
      <c r="K16" s="358">
        <v>0.18210000000000001</v>
      </c>
      <c r="L16" s="359">
        <v>0.2321</v>
      </c>
      <c r="M16" s="358">
        <v>0.35</v>
      </c>
      <c r="O16" s="12" t="s">
        <v>885</v>
      </c>
      <c r="P16" s="350">
        <v>6.9500000000000006E-2</v>
      </c>
    </row>
    <row r="17" spans="1:16" ht="10.5" customHeight="1" x14ac:dyDescent="0.35">
      <c r="A17" s="12" t="s">
        <v>390</v>
      </c>
      <c r="B17" s="151"/>
      <c r="C17" s="198"/>
      <c r="D17" s="199"/>
      <c r="E17" s="200"/>
      <c r="H17" s="356" t="s">
        <v>694</v>
      </c>
      <c r="I17" s="357" t="s">
        <v>695</v>
      </c>
      <c r="J17" s="358">
        <v>3.85E-2</v>
      </c>
      <c r="K17" s="358">
        <v>5.4600000000000003E-2</v>
      </c>
      <c r="L17" s="359">
        <v>0.1046</v>
      </c>
      <c r="M17" s="358">
        <v>0.18</v>
      </c>
      <c r="O17" s="12" t="s">
        <v>886</v>
      </c>
      <c r="P17" s="4">
        <v>1.42</v>
      </c>
    </row>
    <row r="18" spans="1:16" ht="10.5" customHeight="1" x14ac:dyDescent="0.35">
      <c r="B18" s="151"/>
      <c r="C18" s="206"/>
      <c r="D18" s="206"/>
      <c r="E18" s="206"/>
      <c r="H18" s="356" t="s">
        <v>696</v>
      </c>
      <c r="I18" s="357" t="s">
        <v>689</v>
      </c>
      <c r="J18" s="358">
        <v>2.0400000000000001E-2</v>
      </c>
      <c r="K18" s="358">
        <v>2.8899999999999999E-2</v>
      </c>
      <c r="L18" s="359">
        <v>7.8899999999999998E-2</v>
      </c>
      <c r="M18" s="358">
        <v>0.25</v>
      </c>
      <c r="O18" s="12" t="s">
        <v>887</v>
      </c>
      <c r="P18" s="350">
        <v>0.05</v>
      </c>
    </row>
    <row r="19" spans="1:16" ht="10.5" customHeight="1" x14ac:dyDescent="0.35">
      <c r="A19" s="4" t="s">
        <v>391</v>
      </c>
      <c r="B19" s="151"/>
      <c r="C19" s="200"/>
      <c r="D19" s="200"/>
      <c r="E19" s="200"/>
      <c r="H19" s="356" t="s">
        <v>697</v>
      </c>
      <c r="I19" s="357" t="s">
        <v>698</v>
      </c>
      <c r="J19" s="358">
        <v>0</v>
      </c>
      <c r="K19" s="358">
        <v>0</v>
      </c>
      <c r="L19" s="359">
        <v>0.05</v>
      </c>
      <c r="M19" s="358">
        <v>0.3</v>
      </c>
      <c r="O19" s="4" t="s">
        <v>676</v>
      </c>
      <c r="P19" s="351">
        <f>(P16*P17+P18)</f>
        <v>0.14868999999999999</v>
      </c>
    </row>
    <row r="20" spans="1:16" ht="10.5" customHeight="1" x14ac:dyDescent="0.35">
      <c r="A20" s="11" t="s">
        <v>392</v>
      </c>
      <c r="B20" s="151"/>
      <c r="C20" s="200"/>
      <c r="D20" s="200"/>
      <c r="E20" s="200"/>
      <c r="H20" s="356" t="s">
        <v>699</v>
      </c>
      <c r="I20" s="357" t="s">
        <v>700</v>
      </c>
      <c r="J20" s="358">
        <v>4.3E-3</v>
      </c>
      <c r="K20" s="358">
        <v>6.1000000000000004E-3</v>
      </c>
      <c r="L20" s="359">
        <v>5.6099999999999997E-2</v>
      </c>
      <c r="M20" s="358">
        <v>0.24</v>
      </c>
    </row>
    <row r="21" spans="1:16" ht="10.5" customHeight="1" x14ac:dyDescent="0.35">
      <c r="A21" s="4" t="s">
        <v>393</v>
      </c>
      <c r="B21" s="207"/>
      <c r="C21" s="200"/>
      <c r="D21" s="200"/>
      <c r="E21" s="200"/>
      <c r="H21" s="356" t="s">
        <v>701</v>
      </c>
      <c r="I21" s="357" t="s">
        <v>702</v>
      </c>
      <c r="J21" s="358">
        <v>2.6800000000000001E-2</v>
      </c>
      <c r="K21" s="358">
        <v>3.7999999999999999E-2</v>
      </c>
      <c r="L21" s="359">
        <v>8.7999999999999995E-2</v>
      </c>
      <c r="M21" s="358">
        <v>0.2</v>
      </c>
    </row>
    <row r="22" spans="1:16" ht="10.5" customHeight="1" x14ac:dyDescent="0.35">
      <c r="A22" s="208" t="s">
        <v>394</v>
      </c>
      <c r="B22" s="207"/>
      <c r="C22" s="200"/>
      <c r="D22" s="200"/>
      <c r="E22" s="206"/>
      <c r="H22" s="356" t="s">
        <v>703</v>
      </c>
      <c r="I22" s="357" t="s">
        <v>685</v>
      </c>
      <c r="J22" s="358">
        <v>4.82E-2</v>
      </c>
      <c r="K22" s="358">
        <v>6.83E-2</v>
      </c>
      <c r="L22" s="359">
        <v>0.1183</v>
      </c>
      <c r="M22" s="358">
        <v>0</v>
      </c>
    </row>
    <row r="23" spans="1:16" ht="10.5" customHeight="1" x14ac:dyDescent="0.35">
      <c r="A23" s="4" t="s">
        <v>395</v>
      </c>
      <c r="B23" s="123"/>
      <c r="C23" s="200"/>
      <c r="D23" s="200"/>
      <c r="E23" s="206"/>
      <c r="H23" s="356" t="s">
        <v>704</v>
      </c>
      <c r="I23" s="357" t="s">
        <v>705</v>
      </c>
      <c r="J23" s="358">
        <v>5.8799999999999998E-2</v>
      </c>
      <c r="K23" s="358">
        <v>8.3500000000000005E-2</v>
      </c>
      <c r="L23" s="359">
        <v>0.13350000000000001</v>
      </c>
      <c r="M23" s="358">
        <v>0</v>
      </c>
    </row>
    <row r="24" spans="1:16" ht="10.5" customHeight="1" x14ac:dyDescent="0.35">
      <c r="A24" s="4" t="s">
        <v>396</v>
      </c>
      <c r="B24" s="123"/>
      <c r="C24" s="200"/>
      <c r="D24" s="200"/>
      <c r="E24" s="206"/>
      <c r="H24" s="356" t="s">
        <v>706</v>
      </c>
      <c r="I24" s="357" t="s">
        <v>685</v>
      </c>
      <c r="J24" s="358">
        <v>4.82E-2</v>
      </c>
      <c r="K24" s="358">
        <v>6.83E-2</v>
      </c>
      <c r="L24" s="359">
        <v>0.1183</v>
      </c>
      <c r="M24" s="358">
        <v>0.32500000000000001</v>
      </c>
    </row>
    <row r="25" spans="1:16" ht="10.5" customHeight="1" x14ac:dyDescent="0.35">
      <c r="A25" s="208" t="s">
        <v>397</v>
      </c>
      <c r="H25" s="356" t="s">
        <v>707</v>
      </c>
      <c r="I25" s="357" t="s">
        <v>708</v>
      </c>
      <c r="J25" s="358">
        <v>8.0199999999999994E-2</v>
      </c>
      <c r="K25" s="358">
        <v>0.1138</v>
      </c>
      <c r="L25" s="359">
        <v>0.1638</v>
      </c>
      <c r="M25" s="358">
        <v>5.5E-2</v>
      </c>
    </row>
    <row r="26" spans="1:16" ht="10.5" customHeight="1" x14ac:dyDescent="0.35">
      <c r="A26" s="4" t="s">
        <v>398</v>
      </c>
      <c r="H26" s="356" t="s">
        <v>709</v>
      </c>
      <c r="I26" s="357" t="s">
        <v>609</v>
      </c>
      <c r="J26" s="358">
        <v>0.17499999999999999</v>
      </c>
      <c r="K26" s="358">
        <v>0.2482</v>
      </c>
      <c r="L26" s="359">
        <v>0.29820000000000002</v>
      </c>
      <c r="M26" s="358">
        <v>0.18</v>
      </c>
    </row>
    <row r="27" spans="1:16" ht="10.5" customHeight="1" x14ac:dyDescent="0.35">
      <c r="A27" s="4" t="s">
        <v>399</v>
      </c>
      <c r="H27" s="356" t="s">
        <v>710</v>
      </c>
      <c r="I27" s="357" t="s">
        <v>711</v>
      </c>
      <c r="J27" s="358">
        <v>6.4000000000000003E-3</v>
      </c>
      <c r="K27" s="358">
        <v>9.1000000000000004E-3</v>
      </c>
      <c r="L27" s="359">
        <v>5.91E-2</v>
      </c>
      <c r="M27" s="358">
        <v>0.25</v>
      </c>
    </row>
    <row r="28" spans="1:16" ht="10.5" customHeight="1" x14ac:dyDescent="0.35">
      <c r="A28" s="4" t="s">
        <v>400</v>
      </c>
      <c r="H28" s="356" t="s">
        <v>712</v>
      </c>
      <c r="I28" s="357" t="s">
        <v>713</v>
      </c>
      <c r="J28" s="358">
        <v>9.6299999999999997E-2</v>
      </c>
      <c r="K28" s="358">
        <v>0.1366</v>
      </c>
      <c r="L28" s="359">
        <v>0.18659999999999999</v>
      </c>
      <c r="M28" s="358">
        <v>0.27179999999999999</v>
      </c>
    </row>
    <row r="29" spans="1:16" ht="10.5" customHeight="1" x14ac:dyDescent="0.35">
      <c r="A29" s="4" t="s">
        <v>401</v>
      </c>
      <c r="H29" s="356" t="s">
        <v>714</v>
      </c>
      <c r="I29" s="357" t="s">
        <v>685</v>
      </c>
      <c r="J29" s="358">
        <v>4.82E-2</v>
      </c>
      <c r="K29" s="358">
        <v>6.83E-2</v>
      </c>
      <c r="L29" s="359">
        <v>0.1183</v>
      </c>
      <c r="M29" s="358">
        <v>0.3</v>
      </c>
    </row>
    <row r="30" spans="1:16" ht="10.5" customHeight="1" x14ac:dyDescent="0.35">
      <c r="A30" s="4" t="s">
        <v>402</v>
      </c>
      <c r="H30" s="356" t="s">
        <v>715</v>
      </c>
      <c r="I30" s="357" t="s">
        <v>716</v>
      </c>
      <c r="J30" s="358">
        <v>9.1000000000000004E-3</v>
      </c>
      <c r="K30" s="358">
        <v>1.2800000000000001E-2</v>
      </c>
      <c r="L30" s="359">
        <v>6.2799999999999995E-2</v>
      </c>
      <c r="M30" s="358">
        <v>0</v>
      </c>
    </row>
    <row r="31" spans="1:16" ht="10.5" customHeight="1" x14ac:dyDescent="0.35">
      <c r="H31" s="356" t="s">
        <v>717</v>
      </c>
      <c r="I31" s="357" t="s">
        <v>708</v>
      </c>
      <c r="J31" s="358">
        <v>8.0199999999999994E-2</v>
      </c>
      <c r="K31" s="358">
        <v>0.1138</v>
      </c>
      <c r="L31" s="359">
        <v>0.1638</v>
      </c>
      <c r="M31" s="358">
        <v>0.25</v>
      </c>
    </row>
    <row r="32" spans="1:16" ht="10.5" customHeight="1" x14ac:dyDescent="0.35">
      <c r="A32" s="11" t="s">
        <v>538</v>
      </c>
      <c r="H32" s="356" t="s">
        <v>718</v>
      </c>
      <c r="I32" s="357" t="s">
        <v>691</v>
      </c>
      <c r="J32" s="358">
        <v>6.9500000000000006E-2</v>
      </c>
      <c r="K32" s="358">
        <v>9.8599999999999993E-2</v>
      </c>
      <c r="L32" s="359">
        <v>0.14860000000000001</v>
      </c>
      <c r="M32" s="358">
        <v>0.1</v>
      </c>
    </row>
    <row r="33" spans="1:16" ht="10.5" customHeight="1" x14ac:dyDescent="0.35">
      <c r="A33" s="242" t="s">
        <v>888</v>
      </c>
      <c r="B33" s="243"/>
      <c r="C33" s="244"/>
      <c r="H33" s="356" t="s">
        <v>719</v>
      </c>
      <c r="I33" s="357" t="s">
        <v>720</v>
      </c>
      <c r="J33" s="358">
        <v>1.2800000000000001E-2</v>
      </c>
      <c r="K33" s="358">
        <v>1.8200000000000001E-2</v>
      </c>
      <c r="L33" s="359">
        <v>6.8199999999999997E-2</v>
      </c>
      <c r="M33" s="358">
        <v>0.22</v>
      </c>
    </row>
    <row r="34" spans="1:16" ht="10.5" customHeight="1" x14ac:dyDescent="0.35">
      <c r="A34" s="245" t="s">
        <v>415</v>
      </c>
      <c r="B34" s="17"/>
      <c r="C34" s="348">
        <v>6.54E-2</v>
      </c>
      <c r="H34" s="356" t="s">
        <v>721</v>
      </c>
      <c r="I34" s="357" t="s">
        <v>722</v>
      </c>
      <c r="J34" s="358">
        <v>3.2199999999999999E-2</v>
      </c>
      <c r="K34" s="358">
        <v>4.5699999999999998E-2</v>
      </c>
      <c r="L34" s="359">
        <v>9.5699999999999993E-2</v>
      </c>
      <c r="M34" s="358">
        <v>0.34</v>
      </c>
    </row>
    <row r="35" spans="1:16" ht="10.5" customHeight="1" x14ac:dyDescent="0.35">
      <c r="A35" s="245" t="s">
        <v>416</v>
      </c>
      <c r="B35" s="17"/>
      <c r="C35" s="348">
        <v>3.5799999999999998E-2</v>
      </c>
      <c r="H35" s="356" t="s">
        <v>723</v>
      </c>
      <c r="I35" s="357" t="s">
        <v>687</v>
      </c>
      <c r="J35" s="358">
        <v>6.4000000000000003E-3</v>
      </c>
      <c r="K35" s="358">
        <v>9.1000000000000004E-3</v>
      </c>
      <c r="L35" s="359">
        <v>5.91E-2</v>
      </c>
      <c r="M35" s="358">
        <v>0.185</v>
      </c>
      <c r="P35" s="4" t="s">
        <v>1029</v>
      </c>
    </row>
    <row r="36" spans="1:16" ht="10.5" customHeight="1" x14ac:dyDescent="0.35">
      <c r="A36" s="246" t="s">
        <v>417</v>
      </c>
      <c r="B36" s="247"/>
      <c r="C36" s="349">
        <v>2.8899999999999999E-2</v>
      </c>
      <c r="H36" s="356" t="s">
        <v>724</v>
      </c>
      <c r="I36" s="357" t="s">
        <v>725</v>
      </c>
      <c r="J36" s="358">
        <v>1.7100000000000001E-2</v>
      </c>
      <c r="K36" s="358">
        <v>2.4299999999999999E-2</v>
      </c>
      <c r="L36" s="359">
        <v>7.4300000000000005E-2</v>
      </c>
      <c r="M36" s="358">
        <v>0.1</v>
      </c>
    </row>
    <row r="37" spans="1:16" x14ac:dyDescent="0.35">
      <c r="H37" s="356" t="s">
        <v>726</v>
      </c>
      <c r="I37" s="357" t="s">
        <v>708</v>
      </c>
      <c r="J37" s="358">
        <v>8.0199999999999994E-2</v>
      </c>
      <c r="K37" s="358">
        <v>0.1138</v>
      </c>
      <c r="L37" s="359">
        <v>0.1638</v>
      </c>
      <c r="M37" s="358">
        <v>0.28000000000000003</v>
      </c>
    </row>
    <row r="38" spans="1:16" ht="10.5" customHeight="1" x14ac:dyDescent="0.35">
      <c r="A38" s="248" t="s">
        <v>403</v>
      </c>
      <c r="B38" s="243" t="s">
        <v>404</v>
      </c>
      <c r="C38" s="243"/>
      <c r="D38" s="243"/>
      <c r="E38" s="244"/>
      <c r="H38" s="356" t="s">
        <v>727</v>
      </c>
      <c r="I38" s="357" t="s">
        <v>705</v>
      </c>
      <c r="J38" s="358">
        <v>5.8799999999999998E-2</v>
      </c>
      <c r="K38" s="358">
        <v>8.3500000000000005E-2</v>
      </c>
      <c r="L38" s="359">
        <v>0.13350000000000001</v>
      </c>
      <c r="M38" s="358">
        <v>0.2</v>
      </c>
      <c r="P38" s="4">
        <f>ROUND((D40*D45)+(D39*D41*(1-D42)),2)</f>
        <v>0.09</v>
      </c>
    </row>
    <row r="39" spans="1:16" ht="10.5" customHeight="1" x14ac:dyDescent="0.35">
      <c r="A39" s="249"/>
      <c r="B39" s="17" t="s">
        <v>405</v>
      </c>
      <c r="C39" s="17"/>
      <c r="D39" s="108">
        <f>Asumsi!C33/100</f>
        <v>0</v>
      </c>
      <c r="E39" s="251"/>
      <c r="H39" s="356" t="s">
        <v>728</v>
      </c>
      <c r="I39" s="357" t="s">
        <v>705</v>
      </c>
      <c r="J39" s="358">
        <v>5.8799999999999998E-2</v>
      </c>
      <c r="K39" s="358">
        <v>8.3500000000000005E-2</v>
      </c>
      <c r="L39" s="359">
        <v>0.13350000000000001</v>
      </c>
      <c r="M39" s="358">
        <v>0.33</v>
      </c>
    </row>
    <row r="40" spans="1:16" ht="10.5" customHeight="1" x14ac:dyDescent="0.35">
      <c r="A40" s="249"/>
      <c r="B40" s="17" t="s">
        <v>406</v>
      </c>
      <c r="C40" s="17"/>
      <c r="D40" s="108">
        <f>Asumsi!C34/100</f>
        <v>1</v>
      </c>
      <c r="E40" s="251"/>
      <c r="H40" s="356" t="s">
        <v>729</v>
      </c>
      <c r="I40" s="357" t="s">
        <v>698</v>
      </c>
      <c r="J40" s="358">
        <v>0</v>
      </c>
      <c r="K40" s="358">
        <v>0</v>
      </c>
      <c r="L40" s="359">
        <v>0.05</v>
      </c>
      <c r="M40" s="358">
        <v>0.25</v>
      </c>
    </row>
    <row r="41" spans="1:16" ht="10.5" customHeight="1" x14ac:dyDescent="0.35">
      <c r="A41" s="249"/>
      <c r="B41" s="17" t="s">
        <v>407</v>
      </c>
      <c r="C41" s="17"/>
      <c r="D41" s="209">
        <f>Asumsi!C35/100</f>
        <v>0.08</v>
      </c>
      <c r="E41" s="251"/>
      <c r="H41" s="356" t="s">
        <v>730</v>
      </c>
      <c r="I41" s="357" t="s">
        <v>691</v>
      </c>
      <c r="J41" s="358">
        <v>6.9500000000000006E-2</v>
      </c>
      <c r="K41" s="358">
        <v>9.8599999999999993E-2</v>
      </c>
      <c r="L41" s="359">
        <v>0.14860000000000001</v>
      </c>
      <c r="M41" s="358">
        <v>0</v>
      </c>
    </row>
    <row r="42" spans="1:16" ht="10.5" customHeight="1" x14ac:dyDescent="0.35">
      <c r="A42" s="249"/>
      <c r="B42" s="17" t="s">
        <v>408</v>
      </c>
      <c r="C42" s="17"/>
      <c r="D42" s="209">
        <f>Asumsi!C41/100</f>
        <v>0.22</v>
      </c>
      <c r="E42" s="251"/>
      <c r="H42" s="356" t="s">
        <v>731</v>
      </c>
      <c r="I42" s="357" t="s">
        <v>711</v>
      </c>
      <c r="J42" s="358">
        <v>6.4000000000000003E-3</v>
      </c>
      <c r="K42" s="358">
        <v>9.1000000000000004E-3</v>
      </c>
      <c r="L42" s="359">
        <v>5.91E-2</v>
      </c>
      <c r="M42" s="358">
        <v>0</v>
      </c>
    </row>
    <row r="43" spans="1:16" ht="10.5" customHeight="1" x14ac:dyDescent="0.35">
      <c r="A43" s="249"/>
      <c r="B43" s="17" t="s">
        <v>409</v>
      </c>
      <c r="C43" s="17"/>
      <c r="D43" s="210">
        <f>C34</f>
        <v>6.54E-2</v>
      </c>
      <c r="E43" s="252" t="s">
        <v>410</v>
      </c>
      <c r="H43" s="356" t="s">
        <v>732</v>
      </c>
      <c r="I43" s="357" t="s">
        <v>716</v>
      </c>
      <c r="J43" s="358">
        <v>9.1000000000000004E-3</v>
      </c>
      <c r="K43" s="358">
        <v>1.2800000000000001E-2</v>
      </c>
      <c r="L43" s="359">
        <v>6.2799999999999995E-2</v>
      </c>
      <c r="M43" s="358">
        <v>0.27</v>
      </c>
    </row>
    <row r="44" spans="1:16" ht="10.5" customHeight="1" x14ac:dyDescent="0.35">
      <c r="A44" s="249"/>
      <c r="B44" s="17" t="s">
        <v>411</v>
      </c>
      <c r="C44" s="17"/>
      <c r="D44" s="210">
        <f>C36</f>
        <v>2.8899999999999999E-2</v>
      </c>
      <c r="E44" s="252" t="s">
        <v>410</v>
      </c>
      <c r="H44" s="356" t="s">
        <v>733</v>
      </c>
      <c r="I44" s="357" t="s">
        <v>734</v>
      </c>
      <c r="J44" s="358">
        <v>7.4999999999999997E-3</v>
      </c>
      <c r="K44" s="358">
        <v>1.0699999999999999E-2</v>
      </c>
      <c r="L44" s="359">
        <v>6.0699999999999997E-2</v>
      </c>
      <c r="M44" s="358">
        <v>0.25</v>
      </c>
    </row>
    <row r="45" spans="1:16" ht="10.5" customHeight="1" x14ac:dyDescent="0.35">
      <c r="A45" s="249"/>
      <c r="B45" s="17" t="s">
        <v>412</v>
      </c>
      <c r="C45" s="17"/>
      <c r="D45" s="108">
        <f>D43+D44</f>
        <v>9.4299999999999995E-2</v>
      </c>
      <c r="E45" s="253" t="s">
        <v>539</v>
      </c>
      <c r="H45" s="356" t="s">
        <v>735</v>
      </c>
      <c r="I45" s="357" t="s">
        <v>689</v>
      </c>
      <c r="J45" s="358">
        <v>2.0400000000000001E-2</v>
      </c>
      <c r="K45" s="358">
        <v>2.8899999999999999E-2</v>
      </c>
      <c r="L45" s="359">
        <v>7.8899999999999998E-2</v>
      </c>
      <c r="M45" s="358">
        <v>0.35</v>
      </c>
    </row>
    <row r="46" spans="1:16" ht="10.5" customHeight="1" x14ac:dyDescent="0.35">
      <c r="A46" s="249"/>
      <c r="B46" s="17" t="s">
        <v>413</v>
      </c>
      <c r="C46" s="17"/>
      <c r="D46" s="255"/>
      <c r="E46" s="251"/>
      <c r="H46" s="356" t="s">
        <v>736</v>
      </c>
      <c r="I46" s="357" t="s">
        <v>691</v>
      </c>
      <c r="J46" s="358">
        <v>6.9500000000000006E-2</v>
      </c>
      <c r="K46" s="358">
        <v>9.8599999999999993E-2</v>
      </c>
      <c r="L46" s="359">
        <v>0.14860000000000001</v>
      </c>
      <c r="M46" s="358">
        <v>0.3</v>
      </c>
    </row>
    <row r="47" spans="1:16" ht="10.5" customHeight="1" x14ac:dyDescent="0.35">
      <c r="A47" s="250"/>
      <c r="B47" s="247" t="s">
        <v>414</v>
      </c>
      <c r="C47" s="247"/>
      <c r="D47" s="109">
        <f>ROUND((D40*D45)+(D39*D41)*(1-D42),2)</f>
        <v>0.09</v>
      </c>
      <c r="E47" s="254"/>
      <c r="H47" s="356" t="s">
        <v>737</v>
      </c>
      <c r="I47" s="357" t="s">
        <v>713</v>
      </c>
      <c r="J47" s="358">
        <v>9.6299999999999997E-2</v>
      </c>
      <c r="K47" s="358">
        <v>0.1366</v>
      </c>
      <c r="L47" s="359">
        <v>0.18659999999999999</v>
      </c>
      <c r="M47" s="358">
        <v>0.28000000000000003</v>
      </c>
    </row>
    <row r="48" spans="1:16" x14ac:dyDescent="0.35">
      <c r="H48" s="356" t="s">
        <v>738</v>
      </c>
      <c r="I48" s="357" t="s">
        <v>705</v>
      </c>
      <c r="J48" s="358">
        <v>5.8799999999999998E-2</v>
      </c>
      <c r="K48" s="358">
        <v>8.3500000000000005E-2</v>
      </c>
      <c r="L48" s="359">
        <v>0.13350000000000001</v>
      </c>
      <c r="M48" s="358">
        <v>0.2843</v>
      </c>
    </row>
    <row r="49" spans="1:13" x14ac:dyDescent="0.35">
      <c r="A49" s="4" t="s">
        <v>1030</v>
      </c>
      <c r="F49" s="292"/>
      <c r="H49" s="356" t="s">
        <v>739</v>
      </c>
      <c r="I49" s="357" t="s">
        <v>705</v>
      </c>
      <c r="J49" s="358">
        <v>5.8799999999999998E-2</v>
      </c>
      <c r="K49" s="358">
        <v>8.3500000000000005E-2</v>
      </c>
      <c r="L49" s="359">
        <v>0.13350000000000001</v>
      </c>
      <c r="M49" s="358">
        <v>0.3</v>
      </c>
    </row>
    <row r="50" spans="1:13" x14ac:dyDescent="0.35">
      <c r="B50" s="4" t="s">
        <v>1031</v>
      </c>
      <c r="D50" s="447">
        <f>D40</f>
        <v>1</v>
      </c>
      <c r="H50" s="356" t="s">
        <v>740</v>
      </c>
      <c r="I50" s="357" t="s">
        <v>695</v>
      </c>
      <c r="J50" s="358">
        <v>3.85E-2</v>
      </c>
      <c r="K50" s="358">
        <v>5.4600000000000003E-2</v>
      </c>
      <c r="L50" s="359">
        <v>0.1046</v>
      </c>
      <c r="M50" s="358">
        <v>0.25</v>
      </c>
    </row>
    <row r="51" spans="1:13" x14ac:dyDescent="0.35">
      <c r="B51" s="4" t="s">
        <v>1032</v>
      </c>
      <c r="D51" s="447">
        <f>D45</f>
        <v>9.4299999999999995E-2</v>
      </c>
      <c r="H51" s="356" t="s">
        <v>741</v>
      </c>
      <c r="I51" s="357" t="s">
        <v>689</v>
      </c>
      <c r="J51" s="358">
        <v>2.0400000000000001E-2</v>
      </c>
      <c r="K51" s="358">
        <v>2.8899999999999999E-2</v>
      </c>
      <c r="L51" s="359">
        <v>7.8899999999999998E-2</v>
      </c>
      <c r="M51" s="358">
        <v>0.18</v>
      </c>
    </row>
    <row r="52" spans="1:13" x14ac:dyDescent="0.35">
      <c r="B52" s="4" t="s">
        <v>1033</v>
      </c>
      <c r="D52" s="447">
        <f>D39</f>
        <v>0</v>
      </c>
      <c r="E52" s="448"/>
      <c r="H52" s="356" t="s">
        <v>742</v>
      </c>
      <c r="I52" s="357" t="s">
        <v>693</v>
      </c>
      <c r="J52" s="358">
        <v>0.12839999999999999</v>
      </c>
      <c r="K52" s="358">
        <v>0.18210000000000001</v>
      </c>
      <c r="L52" s="359">
        <v>0.2321</v>
      </c>
      <c r="M52" s="358">
        <v>0.27179999999999999</v>
      </c>
    </row>
    <row r="53" spans="1:13" x14ac:dyDescent="0.35">
      <c r="B53" s="4" t="s">
        <v>1034</v>
      </c>
      <c r="D53" s="447">
        <f>D41</f>
        <v>0.08</v>
      </c>
      <c r="H53" s="356" t="s">
        <v>743</v>
      </c>
      <c r="I53" s="357" t="s">
        <v>689</v>
      </c>
      <c r="J53" s="358">
        <v>2.0400000000000001E-2</v>
      </c>
      <c r="K53" s="358">
        <v>2.8899999999999999E-2</v>
      </c>
      <c r="L53" s="359">
        <v>7.8899999999999998E-2</v>
      </c>
      <c r="M53" s="358">
        <v>0.22</v>
      </c>
    </row>
    <row r="54" spans="1:13" x14ac:dyDescent="0.35">
      <c r="B54" s="4" t="s">
        <v>1035</v>
      </c>
      <c r="D54" s="447">
        <f>D42</f>
        <v>0.22</v>
      </c>
      <c r="H54" s="356" t="s">
        <v>744</v>
      </c>
      <c r="I54" s="357" t="s">
        <v>702</v>
      </c>
      <c r="J54" s="358">
        <v>2.6800000000000001E-2</v>
      </c>
      <c r="K54" s="358">
        <v>3.7999999999999999E-2</v>
      </c>
      <c r="L54" s="359">
        <v>8.7999999999999995E-2</v>
      </c>
      <c r="M54" s="358">
        <v>0.125</v>
      </c>
    </row>
    <row r="55" spans="1:13" x14ac:dyDescent="0.35">
      <c r="H55" s="356" t="s">
        <v>745</v>
      </c>
      <c r="I55" s="357" t="s">
        <v>711</v>
      </c>
      <c r="J55" s="358">
        <v>6.4000000000000003E-3</v>
      </c>
      <c r="K55" s="358">
        <v>9.1000000000000004E-3</v>
      </c>
      <c r="L55" s="359">
        <v>5.91E-2</v>
      </c>
      <c r="M55" s="358">
        <v>0.19</v>
      </c>
    </row>
    <row r="56" spans="1:13" x14ac:dyDescent="0.35">
      <c r="B56" s="4" t="s">
        <v>1036</v>
      </c>
      <c r="D56" s="350">
        <f>D50*D51</f>
        <v>9.4299999999999995E-2</v>
      </c>
      <c r="H56" s="356" t="s">
        <v>746</v>
      </c>
      <c r="I56" s="357" t="s">
        <v>698</v>
      </c>
      <c r="J56" s="358">
        <v>0</v>
      </c>
      <c r="K56" s="358">
        <v>0</v>
      </c>
      <c r="L56" s="359">
        <v>0.05</v>
      </c>
      <c r="M56" s="358">
        <v>0.22</v>
      </c>
    </row>
    <row r="57" spans="1:13" x14ac:dyDescent="0.35">
      <c r="B57" s="4" t="s">
        <v>1037</v>
      </c>
      <c r="D57" s="350">
        <f>D52*D53</f>
        <v>0</v>
      </c>
      <c r="H57" s="356" t="s">
        <v>747</v>
      </c>
      <c r="I57" s="357" t="s">
        <v>695</v>
      </c>
      <c r="J57" s="358">
        <v>3.85E-2</v>
      </c>
      <c r="K57" s="358">
        <v>5.4600000000000003E-2</v>
      </c>
      <c r="L57" s="359">
        <v>0.1046</v>
      </c>
      <c r="M57" s="358">
        <v>0.27</v>
      </c>
    </row>
    <row r="58" spans="1:13" x14ac:dyDescent="0.35">
      <c r="B58" s="4" t="s">
        <v>1038</v>
      </c>
      <c r="D58" s="134">
        <f>1-D54</f>
        <v>0.78</v>
      </c>
      <c r="H58" s="356" t="s">
        <v>748</v>
      </c>
      <c r="I58" s="357" t="s">
        <v>749</v>
      </c>
      <c r="J58" s="358">
        <v>0.107</v>
      </c>
      <c r="K58" s="358">
        <v>0.15179999999999999</v>
      </c>
      <c r="L58" s="359">
        <v>0.20180000000000001</v>
      </c>
      <c r="M58" s="358">
        <v>0.25</v>
      </c>
    </row>
    <row r="59" spans="1:13" x14ac:dyDescent="0.35">
      <c r="H59" s="356" t="s">
        <v>750</v>
      </c>
      <c r="I59" s="357" t="s">
        <v>691</v>
      </c>
      <c r="J59" s="358">
        <v>6.9500000000000006E-2</v>
      </c>
      <c r="K59" s="358">
        <v>9.8599999999999993E-2</v>
      </c>
      <c r="L59" s="359">
        <v>0.14860000000000001</v>
      </c>
      <c r="M59" s="358">
        <v>0.22500000000000001</v>
      </c>
    </row>
    <row r="60" spans="1:13" x14ac:dyDescent="0.35">
      <c r="B60" s="4" t="s">
        <v>1039</v>
      </c>
      <c r="D60" s="331">
        <f>ROUND((D56+D57*D58),2)</f>
        <v>0.09</v>
      </c>
      <c r="H60" s="356" t="s">
        <v>751</v>
      </c>
      <c r="I60" s="357" t="s">
        <v>749</v>
      </c>
      <c r="J60" s="358">
        <v>0.107</v>
      </c>
      <c r="K60" s="358">
        <v>0.15179999999999999</v>
      </c>
      <c r="L60" s="359">
        <v>0.20180000000000001</v>
      </c>
      <c r="M60" s="358">
        <v>0.3</v>
      </c>
    </row>
    <row r="61" spans="1:13" x14ac:dyDescent="0.35">
      <c r="H61" s="356" t="s">
        <v>752</v>
      </c>
      <c r="I61" s="357" t="s">
        <v>734</v>
      </c>
      <c r="J61" s="358">
        <v>7.4999999999999997E-3</v>
      </c>
      <c r="K61" s="358">
        <v>1.0699999999999999E-2</v>
      </c>
      <c r="L61" s="359">
        <v>6.0699999999999997E-2</v>
      </c>
      <c r="M61" s="358">
        <v>0.2</v>
      </c>
    </row>
    <row r="62" spans="1:13" x14ac:dyDescent="0.35">
      <c r="H62" s="356" t="s">
        <v>753</v>
      </c>
      <c r="I62" s="357" t="s">
        <v>713</v>
      </c>
      <c r="J62" s="358">
        <v>9.6299999999999997E-2</v>
      </c>
      <c r="K62" s="358">
        <v>0.1366</v>
      </c>
      <c r="L62" s="359">
        <v>0.18659999999999999</v>
      </c>
      <c r="M62" s="358">
        <v>0.3</v>
      </c>
    </row>
    <row r="63" spans="1:13" x14ac:dyDescent="0.35">
      <c r="H63" s="356" t="s">
        <v>754</v>
      </c>
      <c r="I63" s="357" t="s">
        <v>685</v>
      </c>
      <c r="J63" s="358">
        <v>4.82E-2</v>
      </c>
      <c r="K63" s="358">
        <v>6.83E-2</v>
      </c>
      <c r="L63" s="359">
        <v>0.1183</v>
      </c>
      <c r="M63" s="358">
        <v>0.2</v>
      </c>
    </row>
    <row r="64" spans="1:13" x14ac:dyDescent="0.35">
      <c r="H64" s="356" t="s">
        <v>755</v>
      </c>
      <c r="I64" s="357" t="s">
        <v>700</v>
      </c>
      <c r="J64" s="358">
        <v>4.3E-3</v>
      </c>
      <c r="K64" s="358">
        <v>6.1000000000000004E-3</v>
      </c>
      <c r="L64" s="359">
        <v>5.6099999999999997E-2</v>
      </c>
      <c r="M64" s="358">
        <v>0.2</v>
      </c>
    </row>
    <row r="65" spans="8:13" x14ac:dyDescent="0.35">
      <c r="H65" s="356" t="s">
        <v>756</v>
      </c>
      <c r="I65" s="357" t="s">
        <v>683</v>
      </c>
      <c r="J65" s="358">
        <v>5.3E-3</v>
      </c>
      <c r="K65" s="358">
        <v>7.4999999999999997E-3</v>
      </c>
      <c r="L65" s="359">
        <v>5.7500000000000002E-2</v>
      </c>
      <c r="M65" s="358">
        <v>0.25</v>
      </c>
    </row>
    <row r="66" spans="8:13" x14ac:dyDescent="0.35">
      <c r="H66" s="356" t="s">
        <v>757</v>
      </c>
      <c r="I66" s="357" t="s">
        <v>708</v>
      </c>
      <c r="J66" s="358">
        <v>8.0199999999999994E-2</v>
      </c>
      <c r="K66" s="358">
        <v>0.1138</v>
      </c>
      <c r="L66" s="359">
        <v>0.1638</v>
      </c>
      <c r="M66" s="358">
        <v>0.3</v>
      </c>
    </row>
    <row r="67" spans="8:13" x14ac:dyDescent="0.35">
      <c r="H67" s="356" t="s">
        <v>758</v>
      </c>
      <c r="I67" s="357" t="s">
        <v>687</v>
      </c>
      <c r="J67" s="358">
        <v>5.8799999999999998E-2</v>
      </c>
      <c r="K67" s="358">
        <v>8.3500000000000005E-2</v>
      </c>
      <c r="L67" s="359">
        <v>0.13350000000000001</v>
      </c>
      <c r="M67" s="358">
        <v>0.31</v>
      </c>
    </row>
    <row r="68" spans="8:13" x14ac:dyDescent="0.35">
      <c r="H68" s="356" t="s">
        <v>759</v>
      </c>
      <c r="I68" s="357" t="s">
        <v>722</v>
      </c>
      <c r="J68" s="358">
        <v>3.2199999999999999E-2</v>
      </c>
      <c r="K68" s="358">
        <v>4.5699999999999998E-2</v>
      </c>
      <c r="L68" s="359">
        <v>9.5699999999999993E-2</v>
      </c>
      <c r="M68" s="358">
        <v>0.15</v>
      </c>
    </row>
    <row r="69" spans="8:13" x14ac:dyDescent="0.35">
      <c r="H69" s="356" t="s">
        <v>760</v>
      </c>
      <c r="I69" s="357" t="s">
        <v>698</v>
      </c>
      <c r="J69" s="358">
        <v>0</v>
      </c>
      <c r="K69" s="358">
        <v>0</v>
      </c>
      <c r="L69" s="359">
        <v>0.05</v>
      </c>
      <c r="M69" s="358">
        <v>0.3</v>
      </c>
    </row>
    <row r="70" spans="8:13" x14ac:dyDescent="0.35">
      <c r="H70" s="356" t="s">
        <v>761</v>
      </c>
      <c r="I70" s="357" t="s">
        <v>693</v>
      </c>
      <c r="J70" s="358">
        <v>0.12839999999999999</v>
      </c>
      <c r="K70" s="358">
        <v>0.18210000000000001</v>
      </c>
      <c r="L70" s="359">
        <v>0.2321</v>
      </c>
      <c r="M70" s="358">
        <v>0.25</v>
      </c>
    </row>
    <row r="71" spans="8:13" x14ac:dyDescent="0.35">
      <c r="H71" s="356" t="s">
        <v>762</v>
      </c>
      <c r="I71" s="357" t="s">
        <v>695</v>
      </c>
      <c r="J71" s="358">
        <v>3.85E-2</v>
      </c>
      <c r="K71" s="358">
        <v>5.4600000000000003E-2</v>
      </c>
      <c r="L71" s="359">
        <v>0.1046</v>
      </c>
      <c r="M71" s="358">
        <v>0.22</v>
      </c>
    </row>
    <row r="72" spans="8:13" x14ac:dyDescent="0.35">
      <c r="H72" s="356" t="s">
        <v>763</v>
      </c>
      <c r="I72" s="357" t="s">
        <v>702</v>
      </c>
      <c r="J72" s="358">
        <v>2.6800000000000001E-2</v>
      </c>
      <c r="K72" s="358">
        <v>3.7999999999999999E-2</v>
      </c>
      <c r="L72" s="359">
        <v>8.7999999999999995E-2</v>
      </c>
      <c r="M72" s="358">
        <v>0.25</v>
      </c>
    </row>
    <row r="73" spans="8:13" x14ac:dyDescent="0.35">
      <c r="H73" s="356" t="s">
        <v>764</v>
      </c>
      <c r="I73" s="357" t="s">
        <v>683</v>
      </c>
      <c r="J73" s="358">
        <v>5.3E-3</v>
      </c>
      <c r="K73" s="358">
        <v>7.4999999999999997E-3</v>
      </c>
      <c r="L73" s="359">
        <v>5.7500000000000002E-2</v>
      </c>
      <c r="M73" s="358">
        <v>0</v>
      </c>
    </row>
    <row r="74" spans="8:13" x14ac:dyDescent="0.35">
      <c r="H74" s="356" t="s">
        <v>765</v>
      </c>
      <c r="I74" s="357" t="s">
        <v>687</v>
      </c>
      <c r="J74" s="358">
        <v>9.6299999999999997E-2</v>
      </c>
      <c r="K74" s="358">
        <v>0.1366</v>
      </c>
      <c r="L74" s="359">
        <v>0.18659999999999999</v>
      </c>
      <c r="M74" s="358">
        <v>0.29149999999999998</v>
      </c>
    </row>
    <row r="75" spans="8:13" x14ac:dyDescent="0.35">
      <c r="H75" s="356" t="s">
        <v>766</v>
      </c>
      <c r="I75" s="357" t="s">
        <v>687</v>
      </c>
      <c r="J75" s="358">
        <v>5.8799999999999998E-2</v>
      </c>
      <c r="K75" s="358">
        <v>8.3500000000000005E-2</v>
      </c>
      <c r="L75" s="359">
        <v>0.13350000000000001</v>
      </c>
      <c r="M75" s="358">
        <v>0.29149999999999998</v>
      </c>
    </row>
    <row r="76" spans="8:13" x14ac:dyDescent="0.35">
      <c r="H76" s="356" t="s">
        <v>767</v>
      </c>
      <c r="I76" s="357" t="s">
        <v>687</v>
      </c>
      <c r="J76" s="358">
        <v>1.7100000000000001E-2</v>
      </c>
      <c r="K76" s="358">
        <v>2.4299999999999999E-2</v>
      </c>
      <c r="L76" s="359">
        <v>7.4300000000000005E-2</v>
      </c>
      <c r="M76" s="358">
        <v>0.18640000000000001</v>
      </c>
    </row>
    <row r="77" spans="8:13" x14ac:dyDescent="0.35">
      <c r="H77" s="356" t="s">
        <v>768</v>
      </c>
      <c r="I77" s="357" t="s">
        <v>687</v>
      </c>
      <c r="J77" s="358">
        <v>0.12839999999999999</v>
      </c>
      <c r="K77" s="358">
        <v>0.18210000000000001</v>
      </c>
      <c r="L77" s="359">
        <v>0.2321</v>
      </c>
      <c r="M77" s="358">
        <v>0.18640000000000001</v>
      </c>
    </row>
    <row r="78" spans="8:13" x14ac:dyDescent="0.35">
      <c r="H78" s="356" t="s">
        <v>769</v>
      </c>
      <c r="I78" s="357" t="s">
        <v>685</v>
      </c>
      <c r="J78" s="358">
        <v>4.82E-2</v>
      </c>
      <c r="K78" s="358">
        <v>6.83E-2</v>
      </c>
      <c r="L78" s="359">
        <v>0.1183</v>
      </c>
      <c r="M78" s="358">
        <v>0.25</v>
      </c>
    </row>
    <row r="79" spans="8:13" x14ac:dyDescent="0.35">
      <c r="H79" s="356" t="s">
        <v>770</v>
      </c>
      <c r="I79" s="357" t="s">
        <v>711</v>
      </c>
      <c r="J79" s="358">
        <v>6.4000000000000003E-3</v>
      </c>
      <c r="K79" s="358">
        <v>9.1000000000000004E-3</v>
      </c>
      <c r="L79" s="359">
        <v>5.91E-2</v>
      </c>
      <c r="M79" s="358">
        <v>0.16500000000000001</v>
      </c>
    </row>
    <row r="80" spans="8:13" x14ac:dyDescent="0.35">
      <c r="H80" s="356" t="s">
        <v>771</v>
      </c>
      <c r="I80" s="357" t="s">
        <v>689</v>
      </c>
      <c r="J80" s="358">
        <v>2.0400000000000001E-2</v>
      </c>
      <c r="K80" s="358">
        <v>2.8899999999999999E-2</v>
      </c>
      <c r="L80" s="359">
        <v>7.8899999999999998E-2</v>
      </c>
      <c r="M80" s="358">
        <v>0.09</v>
      </c>
    </row>
    <row r="81" spans="8:13" x14ac:dyDescent="0.35">
      <c r="H81" s="356" t="s">
        <v>772</v>
      </c>
      <c r="I81" s="357" t="s">
        <v>716</v>
      </c>
      <c r="J81" s="358">
        <v>9.1000000000000004E-3</v>
      </c>
      <c r="K81" s="358">
        <v>1.2800000000000001E-2</v>
      </c>
      <c r="L81" s="359">
        <v>6.2799999999999995E-2</v>
      </c>
      <c r="M81" s="358">
        <v>0.2</v>
      </c>
    </row>
    <row r="82" spans="8:13" x14ac:dyDescent="0.35">
      <c r="H82" s="356" t="s">
        <v>773</v>
      </c>
      <c r="I82" s="357" t="s">
        <v>774</v>
      </c>
      <c r="J82" s="358">
        <v>2.35E-2</v>
      </c>
      <c r="K82" s="358">
        <v>3.3300000000000003E-2</v>
      </c>
      <c r="L82" s="359">
        <v>8.3299999999999999E-2</v>
      </c>
      <c r="M82" s="358">
        <v>0.3</v>
      </c>
    </row>
    <row r="83" spans="8:13" x14ac:dyDescent="0.35">
      <c r="H83" s="363" t="s">
        <v>775</v>
      </c>
      <c r="I83" s="364" t="s">
        <v>689</v>
      </c>
      <c r="J83" s="365">
        <v>2.0400000000000001E-2</v>
      </c>
      <c r="K83" s="365">
        <v>2.8899999999999999E-2</v>
      </c>
      <c r="L83" s="365">
        <v>7.8899999999999998E-2</v>
      </c>
      <c r="M83" s="365">
        <v>0.22</v>
      </c>
    </row>
    <row r="84" spans="8:13" x14ac:dyDescent="0.35">
      <c r="H84" s="356" t="s">
        <v>776</v>
      </c>
      <c r="I84" s="357" t="s">
        <v>687</v>
      </c>
      <c r="J84" s="358">
        <v>6.9500000000000006E-2</v>
      </c>
      <c r="K84" s="358">
        <v>9.8599999999999993E-2</v>
      </c>
      <c r="L84" s="359">
        <v>0.14860000000000001</v>
      </c>
      <c r="M84" s="358">
        <v>0.20230000000000001</v>
      </c>
    </row>
    <row r="85" spans="8:13" x14ac:dyDescent="0.35">
      <c r="H85" s="356" t="s">
        <v>777</v>
      </c>
      <c r="I85" s="357" t="s">
        <v>708</v>
      </c>
      <c r="J85" s="358">
        <v>8.0199999999999994E-2</v>
      </c>
      <c r="K85" s="358">
        <v>0.1138</v>
      </c>
      <c r="L85" s="359">
        <v>0.1638</v>
      </c>
      <c r="M85" s="358">
        <v>0.15</v>
      </c>
    </row>
    <row r="86" spans="8:13" x14ac:dyDescent="0.35">
      <c r="H86" s="356" t="s">
        <v>778</v>
      </c>
      <c r="I86" s="357" t="s">
        <v>711</v>
      </c>
      <c r="J86" s="358">
        <v>6.4000000000000003E-3</v>
      </c>
      <c r="K86" s="358">
        <v>9.1000000000000004E-3</v>
      </c>
      <c r="L86" s="359">
        <v>5.91E-2</v>
      </c>
      <c r="M86" s="358">
        <v>0.125</v>
      </c>
    </row>
    <row r="87" spans="8:13" x14ac:dyDescent="0.35">
      <c r="H87" s="356" t="s">
        <v>779</v>
      </c>
      <c r="I87" s="357" t="s">
        <v>711</v>
      </c>
      <c r="J87" s="358">
        <v>6.4000000000000003E-3</v>
      </c>
      <c r="K87" s="358">
        <v>9.1000000000000004E-3</v>
      </c>
      <c r="L87" s="359">
        <v>5.91E-2</v>
      </c>
      <c r="M87" s="358">
        <v>0</v>
      </c>
    </row>
    <row r="88" spans="8:13" x14ac:dyDescent="0.35">
      <c r="H88" s="356" t="s">
        <v>780</v>
      </c>
      <c r="I88" s="357" t="s">
        <v>734</v>
      </c>
      <c r="J88" s="358">
        <v>7.4999999999999997E-3</v>
      </c>
      <c r="K88" s="358">
        <v>1.0699999999999999E-2</v>
      </c>
      <c r="L88" s="359">
        <v>6.0699999999999997E-2</v>
      </c>
      <c r="M88" s="358">
        <v>0.23</v>
      </c>
    </row>
    <row r="89" spans="8:13" x14ac:dyDescent="0.35">
      <c r="H89" s="356" t="s">
        <v>781</v>
      </c>
      <c r="I89" s="357" t="s">
        <v>774</v>
      </c>
      <c r="J89" s="358">
        <v>2.35E-2</v>
      </c>
      <c r="K89" s="358">
        <v>3.3300000000000003E-2</v>
      </c>
      <c r="L89" s="359">
        <v>8.3299999999999999E-2</v>
      </c>
      <c r="M89" s="358">
        <v>0.24</v>
      </c>
    </row>
    <row r="90" spans="8:13" x14ac:dyDescent="0.35">
      <c r="H90" s="356" t="s">
        <v>782</v>
      </c>
      <c r="I90" s="357" t="s">
        <v>705</v>
      </c>
      <c r="J90" s="358">
        <v>5.8799999999999998E-2</v>
      </c>
      <c r="K90" s="358">
        <v>8.3500000000000005E-2</v>
      </c>
      <c r="L90" s="359">
        <v>0.13350000000000001</v>
      </c>
      <c r="M90" s="358">
        <v>0.25</v>
      </c>
    </row>
    <row r="91" spans="8:13" x14ac:dyDescent="0.35">
      <c r="H91" s="356" t="s">
        <v>783</v>
      </c>
      <c r="I91" s="357" t="s">
        <v>734</v>
      </c>
      <c r="J91" s="358">
        <v>7.4999999999999997E-3</v>
      </c>
      <c r="K91" s="358">
        <v>1.0699999999999999E-2</v>
      </c>
      <c r="L91" s="359">
        <v>6.0699999999999997E-2</v>
      </c>
      <c r="M91" s="358">
        <v>0.23200000000000001</v>
      </c>
    </row>
    <row r="92" spans="8:13" x14ac:dyDescent="0.35">
      <c r="H92" s="356" t="s">
        <v>784</v>
      </c>
      <c r="I92" s="357" t="s">
        <v>711</v>
      </c>
      <c r="J92" s="358">
        <v>6.4000000000000003E-3</v>
      </c>
      <c r="K92" s="358">
        <v>9.1000000000000004E-3</v>
      </c>
      <c r="L92" s="359">
        <v>5.91E-2</v>
      </c>
      <c r="M92" s="358">
        <v>0</v>
      </c>
    </row>
    <row r="93" spans="8:13" x14ac:dyDescent="0.35">
      <c r="H93" s="356" t="s">
        <v>785</v>
      </c>
      <c r="I93" s="357" t="s">
        <v>685</v>
      </c>
      <c r="J93" s="358">
        <v>4.82E-2</v>
      </c>
      <c r="K93" s="358">
        <v>6.83E-2</v>
      </c>
      <c r="L93" s="359">
        <v>0.1183</v>
      </c>
      <c r="M93" s="358">
        <v>0.2</v>
      </c>
    </row>
    <row r="94" spans="8:13" x14ac:dyDescent="0.35">
      <c r="H94" s="356" t="s">
        <v>786</v>
      </c>
      <c r="I94" s="357" t="s">
        <v>689</v>
      </c>
      <c r="J94" s="358">
        <v>2.0400000000000001E-2</v>
      </c>
      <c r="K94" s="358">
        <v>2.8899999999999999E-2</v>
      </c>
      <c r="L94" s="359">
        <v>7.8899999999999998E-2</v>
      </c>
      <c r="M94" s="358">
        <v>0.2</v>
      </c>
    </row>
    <row r="95" spans="8:13" x14ac:dyDescent="0.35">
      <c r="H95" s="356" t="s">
        <v>787</v>
      </c>
      <c r="I95" s="357" t="s">
        <v>691</v>
      </c>
      <c r="J95" s="358">
        <v>6.9500000000000006E-2</v>
      </c>
      <c r="K95" s="358">
        <v>9.8599999999999993E-2</v>
      </c>
      <c r="L95" s="359">
        <v>0.14860000000000001</v>
      </c>
      <c r="M95" s="358">
        <v>0.3</v>
      </c>
    </row>
    <row r="96" spans="8:13" x14ac:dyDescent="0.35">
      <c r="H96" s="356" t="s">
        <v>788</v>
      </c>
      <c r="I96" s="357" t="s">
        <v>683</v>
      </c>
      <c r="J96" s="358">
        <v>5.3E-3</v>
      </c>
      <c r="K96" s="358">
        <v>7.4999999999999997E-3</v>
      </c>
      <c r="L96" s="359">
        <v>5.7500000000000002E-2</v>
      </c>
      <c r="M96" s="358">
        <v>0.25</v>
      </c>
    </row>
    <row r="97" spans="8:13" x14ac:dyDescent="0.35">
      <c r="H97" s="356" t="s">
        <v>789</v>
      </c>
      <c r="I97" s="357" t="s">
        <v>687</v>
      </c>
      <c r="J97" s="358">
        <v>0.12839999999999999</v>
      </c>
      <c r="K97" s="358">
        <v>0.18210000000000001</v>
      </c>
      <c r="L97" s="359">
        <v>0.2321</v>
      </c>
      <c r="M97" s="358">
        <v>0.23100000000000001</v>
      </c>
    </row>
    <row r="98" spans="8:13" x14ac:dyDescent="0.35">
      <c r="H98" s="356" t="s">
        <v>790</v>
      </c>
      <c r="I98" s="357" t="s">
        <v>734</v>
      </c>
      <c r="J98" s="358">
        <v>7.4999999999999997E-3</v>
      </c>
      <c r="K98" s="358">
        <v>1.0699999999999999E-2</v>
      </c>
      <c r="L98" s="359">
        <v>6.0699999999999997E-2</v>
      </c>
      <c r="M98" s="358">
        <v>0.15</v>
      </c>
    </row>
    <row r="99" spans="8:13" x14ac:dyDescent="0.35">
      <c r="H99" s="356" t="s">
        <v>791</v>
      </c>
      <c r="I99" s="357" t="s">
        <v>691</v>
      </c>
      <c r="J99" s="358">
        <v>6.9500000000000006E-2</v>
      </c>
      <c r="K99" s="358">
        <v>9.8599999999999993E-2</v>
      </c>
      <c r="L99" s="359">
        <v>0.14860000000000001</v>
      </c>
      <c r="M99" s="358">
        <v>0.1</v>
      </c>
    </row>
    <row r="100" spans="8:13" x14ac:dyDescent="0.35">
      <c r="H100" s="356" t="s">
        <v>792</v>
      </c>
      <c r="I100" s="357" t="s">
        <v>749</v>
      </c>
      <c r="J100" s="358">
        <v>0.107</v>
      </c>
      <c r="K100" s="358">
        <v>0.15179999999999999</v>
      </c>
      <c r="L100" s="359">
        <v>0.20180000000000001</v>
      </c>
      <c r="M100" s="358">
        <v>0.2281</v>
      </c>
    </row>
    <row r="101" spans="8:13" x14ac:dyDescent="0.35">
      <c r="H101" s="356" t="s">
        <v>793</v>
      </c>
      <c r="I101" s="357" t="s">
        <v>720</v>
      </c>
      <c r="J101" s="358">
        <v>1.2800000000000001E-2</v>
      </c>
      <c r="K101" s="358">
        <v>1.8200000000000001E-2</v>
      </c>
      <c r="L101" s="359">
        <v>6.8199999999999997E-2</v>
      </c>
      <c r="M101" s="358">
        <v>0.2</v>
      </c>
    </row>
    <row r="102" spans="8:13" x14ac:dyDescent="0.35">
      <c r="H102" s="356" t="s">
        <v>794</v>
      </c>
      <c r="I102" s="357" t="s">
        <v>609</v>
      </c>
      <c r="J102" s="358">
        <v>0.17499999999999999</v>
      </c>
      <c r="K102" s="358">
        <v>0.2482</v>
      </c>
      <c r="L102" s="359">
        <v>0.29820000000000002</v>
      </c>
      <c r="M102" s="358">
        <v>0.17</v>
      </c>
    </row>
    <row r="103" spans="8:13" x14ac:dyDescent="0.35">
      <c r="H103" s="356" t="s">
        <v>795</v>
      </c>
      <c r="I103" s="357" t="s">
        <v>687</v>
      </c>
      <c r="J103" s="358">
        <v>0.107</v>
      </c>
      <c r="K103" s="358">
        <v>0.15179999999999999</v>
      </c>
      <c r="L103" s="359">
        <v>0.20180000000000001</v>
      </c>
      <c r="M103" s="358">
        <v>0.29149999999999998</v>
      </c>
    </row>
    <row r="104" spans="8:13" x14ac:dyDescent="0.35">
      <c r="H104" s="356" t="s">
        <v>796</v>
      </c>
      <c r="I104" s="357" t="s">
        <v>687</v>
      </c>
      <c r="J104" s="358">
        <v>2.0400000000000001E-2</v>
      </c>
      <c r="K104" s="358">
        <v>2.8899999999999999E-2</v>
      </c>
      <c r="L104" s="359">
        <v>7.8899999999999998E-2</v>
      </c>
      <c r="M104" s="358">
        <v>0.2</v>
      </c>
    </row>
    <row r="105" spans="8:13" x14ac:dyDescent="0.35">
      <c r="H105" s="356" t="s">
        <v>797</v>
      </c>
      <c r="I105" s="357" t="s">
        <v>698</v>
      </c>
      <c r="J105" s="358">
        <v>0</v>
      </c>
      <c r="K105" s="358">
        <v>0</v>
      </c>
      <c r="L105" s="359">
        <v>0.05</v>
      </c>
      <c r="M105" s="358">
        <v>0.125</v>
      </c>
    </row>
    <row r="106" spans="8:13" x14ac:dyDescent="0.35">
      <c r="H106" s="356" t="s">
        <v>798</v>
      </c>
      <c r="I106" s="357" t="s">
        <v>716</v>
      </c>
      <c r="J106" s="358">
        <v>9.1000000000000004E-3</v>
      </c>
      <c r="K106" s="358">
        <v>1.2800000000000001E-2</v>
      </c>
      <c r="L106" s="359">
        <v>6.2799999999999995E-2</v>
      </c>
      <c r="M106" s="358">
        <v>0.15</v>
      </c>
    </row>
    <row r="107" spans="8:13" x14ac:dyDescent="0.35">
      <c r="H107" s="356" t="s">
        <v>799</v>
      </c>
      <c r="I107" s="357" t="s">
        <v>698</v>
      </c>
      <c r="J107" s="358">
        <v>0</v>
      </c>
      <c r="K107" s="358">
        <v>0</v>
      </c>
      <c r="L107" s="359">
        <v>0.05</v>
      </c>
      <c r="M107" s="358">
        <v>0.24940000000000001</v>
      </c>
    </row>
    <row r="108" spans="8:13" x14ac:dyDescent="0.35">
      <c r="H108" s="356" t="s">
        <v>800</v>
      </c>
      <c r="I108" s="357" t="s">
        <v>711</v>
      </c>
      <c r="J108" s="358">
        <v>6.4000000000000003E-3</v>
      </c>
      <c r="K108" s="358">
        <v>9.1000000000000004E-3</v>
      </c>
      <c r="L108" s="359">
        <v>5.91E-2</v>
      </c>
      <c r="M108" s="358">
        <v>0.2281</v>
      </c>
    </row>
    <row r="109" spans="8:13" x14ac:dyDescent="0.35">
      <c r="H109" s="356" t="s">
        <v>801</v>
      </c>
      <c r="I109" s="357" t="s">
        <v>695</v>
      </c>
      <c r="J109" s="358">
        <v>3.85E-2</v>
      </c>
      <c r="K109" s="358">
        <v>5.4600000000000003E-2</v>
      </c>
      <c r="L109" s="359">
        <v>0.1046</v>
      </c>
      <c r="M109" s="358">
        <v>0.1</v>
      </c>
    </row>
    <row r="110" spans="8:13" x14ac:dyDescent="0.35">
      <c r="H110" s="356" t="s">
        <v>802</v>
      </c>
      <c r="I110" s="357" t="s">
        <v>687</v>
      </c>
      <c r="J110" s="358">
        <v>6.9500000000000006E-2</v>
      </c>
      <c r="K110" s="358">
        <v>9.8599999999999993E-2</v>
      </c>
      <c r="L110" s="359">
        <v>0.14860000000000001</v>
      </c>
      <c r="M110" s="358">
        <v>0.2</v>
      </c>
    </row>
    <row r="111" spans="8:13" x14ac:dyDescent="0.35">
      <c r="H111" s="356" t="s">
        <v>803</v>
      </c>
      <c r="I111" s="357" t="s">
        <v>687</v>
      </c>
      <c r="J111" s="358">
        <v>0.12839999999999999</v>
      </c>
      <c r="K111" s="358">
        <v>0.18210000000000001</v>
      </c>
      <c r="L111" s="359">
        <v>0.2321</v>
      </c>
      <c r="M111" s="358">
        <v>0.3</v>
      </c>
    </row>
    <row r="112" spans="8:13" x14ac:dyDescent="0.35">
      <c r="H112" s="356" t="s">
        <v>804</v>
      </c>
      <c r="I112" s="357" t="s">
        <v>720</v>
      </c>
      <c r="J112" s="358">
        <v>1.2800000000000001E-2</v>
      </c>
      <c r="K112" s="358">
        <v>1.8200000000000001E-2</v>
      </c>
      <c r="L112" s="359">
        <v>6.8199999999999997E-2</v>
      </c>
      <c r="M112" s="358">
        <v>0.24</v>
      </c>
    </row>
    <row r="113" spans="8:13" x14ac:dyDescent="0.35">
      <c r="H113" s="356" t="s">
        <v>805</v>
      </c>
      <c r="I113" s="357" t="s">
        <v>708</v>
      </c>
      <c r="J113" s="358">
        <v>8.0199999999999994E-2</v>
      </c>
      <c r="K113" s="358">
        <v>0.1138</v>
      </c>
      <c r="L113" s="359">
        <v>0.1638</v>
      </c>
      <c r="M113" s="358">
        <v>0.2281</v>
      </c>
    </row>
    <row r="114" spans="8:13" x14ac:dyDescent="0.35">
      <c r="H114" s="356" t="s">
        <v>806</v>
      </c>
      <c r="I114" s="357" t="s">
        <v>713</v>
      </c>
      <c r="J114" s="358">
        <v>9.6299999999999997E-2</v>
      </c>
      <c r="K114" s="358">
        <v>0.1366</v>
      </c>
      <c r="L114" s="359">
        <v>0.18659999999999999</v>
      </c>
      <c r="M114" s="358">
        <v>0.2281</v>
      </c>
    </row>
    <row r="115" spans="8:13" x14ac:dyDescent="0.35">
      <c r="H115" s="356" t="s">
        <v>807</v>
      </c>
      <c r="I115" s="357" t="s">
        <v>716</v>
      </c>
      <c r="J115" s="358">
        <v>9.1000000000000004E-3</v>
      </c>
      <c r="K115" s="358">
        <v>1.2800000000000001E-2</v>
      </c>
      <c r="L115" s="359">
        <v>6.2799999999999995E-2</v>
      </c>
      <c r="M115" s="358">
        <v>0.35</v>
      </c>
    </row>
    <row r="116" spans="8:13" x14ac:dyDescent="0.35">
      <c r="H116" s="356" t="s">
        <v>808</v>
      </c>
      <c r="I116" s="357" t="s">
        <v>774</v>
      </c>
      <c r="J116" s="358">
        <v>2.35E-2</v>
      </c>
      <c r="K116" s="358">
        <v>3.3300000000000003E-2</v>
      </c>
      <c r="L116" s="359">
        <v>8.3299999999999999E-2</v>
      </c>
      <c r="M116" s="358">
        <v>0.15</v>
      </c>
    </row>
    <row r="117" spans="8:13" x14ac:dyDescent="0.35">
      <c r="H117" s="356" t="s">
        <v>809</v>
      </c>
      <c r="I117" s="357" t="s">
        <v>689</v>
      </c>
      <c r="J117" s="358">
        <v>2.0400000000000001E-2</v>
      </c>
      <c r="K117" s="358">
        <v>2.8899999999999999E-2</v>
      </c>
      <c r="L117" s="359">
        <v>7.8899999999999998E-2</v>
      </c>
      <c r="M117" s="358">
        <v>0.3</v>
      </c>
    </row>
    <row r="118" spans="8:13" x14ac:dyDescent="0.35">
      <c r="H118" s="356" t="s">
        <v>810</v>
      </c>
      <c r="I118" s="357" t="s">
        <v>691</v>
      </c>
      <c r="J118" s="358">
        <v>6.9500000000000006E-2</v>
      </c>
      <c r="K118" s="358">
        <v>9.8599999999999993E-2</v>
      </c>
      <c r="L118" s="359">
        <v>0.14860000000000001</v>
      </c>
      <c r="M118" s="358">
        <v>0.12</v>
      </c>
    </row>
    <row r="119" spans="8:13" x14ac:dyDescent="0.35">
      <c r="H119" s="356" t="s">
        <v>811</v>
      </c>
      <c r="I119" s="357" t="s">
        <v>691</v>
      </c>
      <c r="J119" s="358">
        <v>6.9500000000000006E-2</v>
      </c>
      <c r="K119" s="358">
        <v>9.8599999999999993E-2</v>
      </c>
      <c r="L119" s="359">
        <v>0.14860000000000001</v>
      </c>
      <c r="M119" s="358">
        <v>0.25</v>
      </c>
    </row>
    <row r="120" spans="8:13" x14ac:dyDescent="0.35">
      <c r="H120" s="356" t="s">
        <v>812</v>
      </c>
      <c r="I120" s="357" t="s">
        <v>685</v>
      </c>
      <c r="J120" s="358">
        <v>4.82E-2</v>
      </c>
      <c r="K120" s="358">
        <v>6.83E-2</v>
      </c>
      <c r="L120" s="359">
        <v>0.1183</v>
      </c>
      <c r="M120" s="358">
        <v>0.15</v>
      </c>
    </row>
    <row r="121" spans="8:13" x14ac:dyDescent="0.35">
      <c r="H121" s="356" t="s">
        <v>813</v>
      </c>
      <c r="I121" s="357" t="s">
        <v>774</v>
      </c>
      <c r="J121" s="358">
        <v>2.35E-2</v>
      </c>
      <c r="K121" s="358">
        <v>3.3300000000000003E-2</v>
      </c>
      <c r="L121" s="359">
        <v>8.3299999999999999E-2</v>
      </c>
      <c r="M121" s="358">
        <v>0.27179999999999999</v>
      </c>
    </row>
    <row r="122" spans="8:13" x14ac:dyDescent="0.35">
      <c r="H122" s="356" t="s">
        <v>814</v>
      </c>
      <c r="I122" s="357" t="s">
        <v>702</v>
      </c>
      <c r="J122" s="358">
        <v>2.6800000000000001E-2</v>
      </c>
      <c r="K122" s="358">
        <v>3.7999999999999999E-2</v>
      </c>
      <c r="L122" s="359">
        <v>8.7999999999999995E-2</v>
      </c>
      <c r="M122" s="358">
        <v>0.31</v>
      </c>
    </row>
    <row r="123" spans="8:13" x14ac:dyDescent="0.35">
      <c r="H123" s="356" t="s">
        <v>815</v>
      </c>
      <c r="I123" s="357" t="s">
        <v>713</v>
      </c>
      <c r="J123" s="358">
        <v>9.6299999999999997E-2</v>
      </c>
      <c r="K123" s="358">
        <v>0.1366</v>
      </c>
      <c r="L123" s="359">
        <v>0.18659999999999999</v>
      </c>
      <c r="M123" s="358">
        <v>0.32</v>
      </c>
    </row>
    <row r="124" spans="8:13" x14ac:dyDescent="0.35">
      <c r="H124" s="356" t="s">
        <v>816</v>
      </c>
      <c r="I124" s="357" t="s">
        <v>687</v>
      </c>
      <c r="J124" s="358">
        <v>0.107</v>
      </c>
      <c r="K124" s="358">
        <v>0.15179999999999999</v>
      </c>
      <c r="L124" s="359">
        <v>0.20180000000000001</v>
      </c>
      <c r="M124" s="358">
        <v>0.25</v>
      </c>
    </row>
    <row r="125" spans="8:13" x14ac:dyDescent="0.35">
      <c r="H125" s="356" t="s">
        <v>817</v>
      </c>
      <c r="I125" s="357" t="s">
        <v>685</v>
      </c>
      <c r="J125" s="358">
        <v>4.82E-2</v>
      </c>
      <c r="K125" s="358">
        <v>6.83E-2</v>
      </c>
      <c r="L125" s="359">
        <v>0.1183</v>
      </c>
      <c r="M125" s="358">
        <v>0.32</v>
      </c>
    </row>
    <row r="126" spans="8:13" x14ac:dyDescent="0.35">
      <c r="H126" s="356" t="s">
        <v>818</v>
      </c>
      <c r="I126" s="357" t="s">
        <v>698</v>
      </c>
      <c r="J126" s="358">
        <v>0</v>
      </c>
      <c r="K126" s="358">
        <v>0</v>
      </c>
      <c r="L126" s="359">
        <v>0.05</v>
      </c>
      <c r="M126" s="358">
        <v>0.25800000000000001</v>
      </c>
    </row>
    <row r="127" spans="8:13" x14ac:dyDescent="0.35">
      <c r="H127" s="356" t="s">
        <v>819</v>
      </c>
      <c r="I127" s="357" t="s">
        <v>698</v>
      </c>
      <c r="J127" s="358">
        <v>0</v>
      </c>
      <c r="K127" s="358">
        <v>0</v>
      </c>
      <c r="L127" s="359">
        <v>0.05</v>
      </c>
      <c r="M127" s="358">
        <v>0.28000000000000003</v>
      </c>
    </row>
    <row r="128" spans="8:13" x14ac:dyDescent="0.35">
      <c r="H128" s="356" t="s">
        <v>820</v>
      </c>
      <c r="I128" s="357" t="s">
        <v>691</v>
      </c>
      <c r="J128" s="358">
        <v>6.9500000000000006E-2</v>
      </c>
      <c r="K128" s="358">
        <v>9.8599999999999993E-2</v>
      </c>
      <c r="L128" s="359">
        <v>0.14860000000000001</v>
      </c>
      <c r="M128" s="358">
        <v>0.3</v>
      </c>
    </row>
    <row r="129" spans="8:13" x14ac:dyDescent="0.35">
      <c r="H129" s="356" t="s">
        <v>821</v>
      </c>
      <c r="I129" s="357" t="s">
        <v>691</v>
      </c>
      <c r="J129" s="358">
        <v>6.9500000000000006E-2</v>
      </c>
      <c r="K129" s="358">
        <v>9.8599999999999993E-2</v>
      </c>
      <c r="L129" s="359">
        <v>0.14860000000000001</v>
      </c>
      <c r="M129" s="358">
        <v>0.2281</v>
      </c>
    </row>
    <row r="130" spans="8:13" x14ac:dyDescent="0.35">
      <c r="H130" s="356" t="s">
        <v>822</v>
      </c>
      <c r="I130" s="357" t="s">
        <v>708</v>
      </c>
      <c r="J130" s="358">
        <v>8.0199999999999994E-2</v>
      </c>
      <c r="K130" s="358">
        <v>0.1138</v>
      </c>
      <c r="L130" s="359">
        <v>0.1638</v>
      </c>
      <c r="M130" s="358">
        <v>0.3</v>
      </c>
    </row>
    <row r="131" spans="8:13" x14ac:dyDescent="0.35">
      <c r="H131" s="356" t="s">
        <v>823</v>
      </c>
      <c r="I131" s="357" t="s">
        <v>698</v>
      </c>
      <c r="J131" s="358">
        <v>0</v>
      </c>
      <c r="K131" s="358">
        <v>0</v>
      </c>
      <c r="L131" s="359">
        <v>0.05</v>
      </c>
      <c r="M131" s="358">
        <v>0.22</v>
      </c>
    </row>
    <row r="132" spans="8:13" x14ac:dyDescent="0.35">
      <c r="H132" s="356" t="s">
        <v>824</v>
      </c>
      <c r="I132" s="357" t="s">
        <v>722</v>
      </c>
      <c r="J132" s="358">
        <v>3.2199999999999999E-2</v>
      </c>
      <c r="K132" s="358">
        <v>4.5699999999999998E-2</v>
      </c>
      <c r="L132" s="359">
        <v>9.5699999999999993E-2</v>
      </c>
      <c r="M132" s="358">
        <v>0.15</v>
      </c>
    </row>
    <row r="133" spans="8:13" x14ac:dyDescent="0.35">
      <c r="H133" s="356" t="s">
        <v>825</v>
      </c>
      <c r="I133" s="357" t="s">
        <v>749</v>
      </c>
      <c r="J133" s="358">
        <v>0.107</v>
      </c>
      <c r="K133" s="358">
        <v>0.15179999999999999</v>
      </c>
      <c r="L133" s="359">
        <v>0.20180000000000001</v>
      </c>
      <c r="M133" s="358">
        <v>0.28999999999999998</v>
      </c>
    </row>
    <row r="134" spans="8:13" x14ac:dyDescent="0.35">
      <c r="H134" s="356" t="s">
        <v>826</v>
      </c>
      <c r="I134" s="357" t="s">
        <v>689</v>
      </c>
      <c r="J134" s="358">
        <v>2.0400000000000001E-2</v>
      </c>
      <c r="K134" s="358">
        <v>2.8899999999999999E-2</v>
      </c>
      <c r="L134" s="359">
        <v>7.8899999999999998E-2</v>
      </c>
      <c r="M134" s="358">
        <v>0.25</v>
      </c>
    </row>
    <row r="135" spans="8:13" x14ac:dyDescent="0.35">
      <c r="H135" s="356" t="s">
        <v>827</v>
      </c>
      <c r="I135" s="357" t="s">
        <v>705</v>
      </c>
      <c r="J135" s="358">
        <v>5.8799999999999998E-2</v>
      </c>
      <c r="K135" s="358">
        <v>8.3500000000000005E-2</v>
      </c>
      <c r="L135" s="359">
        <v>0.13350000000000001</v>
      </c>
      <c r="M135" s="358">
        <v>0.3</v>
      </c>
    </row>
    <row r="136" spans="8:13" x14ac:dyDescent="0.35">
      <c r="H136" s="356" t="s">
        <v>828</v>
      </c>
      <c r="I136" s="357" t="s">
        <v>702</v>
      </c>
      <c r="J136" s="358">
        <v>2.6800000000000001E-2</v>
      </c>
      <c r="K136" s="358">
        <v>3.7999999999999999E-2</v>
      </c>
      <c r="L136" s="359">
        <v>8.7999999999999995E-2</v>
      </c>
      <c r="M136" s="358">
        <v>0.1</v>
      </c>
    </row>
    <row r="137" spans="8:13" x14ac:dyDescent="0.35">
      <c r="H137" s="356" t="s">
        <v>829</v>
      </c>
      <c r="I137" s="357" t="s">
        <v>725</v>
      </c>
      <c r="J137" s="358">
        <v>1.7100000000000001E-2</v>
      </c>
      <c r="K137" s="358">
        <v>2.4299999999999999E-2</v>
      </c>
      <c r="L137" s="359">
        <v>7.4300000000000005E-2</v>
      </c>
      <c r="M137" s="358">
        <v>0.29499999999999998</v>
      </c>
    </row>
    <row r="138" spans="8:13" x14ac:dyDescent="0.35">
      <c r="H138" s="356" t="s">
        <v>830</v>
      </c>
      <c r="I138" s="357" t="s">
        <v>689</v>
      </c>
      <c r="J138" s="358">
        <v>2.0400000000000001E-2</v>
      </c>
      <c r="K138" s="358">
        <v>2.8899999999999999E-2</v>
      </c>
      <c r="L138" s="359">
        <v>7.8899999999999998E-2</v>
      </c>
      <c r="M138" s="358">
        <v>0.25</v>
      </c>
    </row>
    <row r="139" spans="8:13" x14ac:dyDescent="0.35">
      <c r="H139" s="356" t="s">
        <v>831</v>
      </c>
      <c r="I139" s="357" t="s">
        <v>716</v>
      </c>
      <c r="J139" s="358">
        <v>9.1000000000000004E-3</v>
      </c>
      <c r="K139" s="358">
        <v>1.2800000000000001E-2</v>
      </c>
      <c r="L139" s="359">
        <v>6.2799999999999995E-2</v>
      </c>
      <c r="M139" s="358">
        <v>0.19</v>
      </c>
    </row>
    <row r="140" spans="8:13" x14ac:dyDescent="0.35">
      <c r="H140" s="356" t="s">
        <v>832</v>
      </c>
      <c r="I140" s="357" t="s">
        <v>689</v>
      </c>
      <c r="J140" s="358">
        <v>2.0400000000000001E-2</v>
      </c>
      <c r="K140" s="358">
        <v>2.8899999999999999E-2</v>
      </c>
      <c r="L140" s="359">
        <v>7.8899999999999998E-2</v>
      </c>
      <c r="M140" s="358">
        <v>0.21</v>
      </c>
    </row>
    <row r="141" spans="8:13" x14ac:dyDescent="0.35">
      <c r="H141" s="356" t="s">
        <v>833</v>
      </c>
      <c r="I141" s="357" t="s">
        <v>711</v>
      </c>
      <c r="J141" s="358">
        <v>6.4000000000000003E-3</v>
      </c>
      <c r="K141" s="358">
        <v>9.1000000000000004E-3</v>
      </c>
      <c r="L141" s="359">
        <v>5.91E-2</v>
      </c>
      <c r="M141" s="358">
        <v>0.1</v>
      </c>
    </row>
    <row r="142" spans="8:13" x14ac:dyDescent="0.35">
      <c r="H142" s="356" t="s">
        <v>834</v>
      </c>
      <c r="I142" s="357" t="s">
        <v>720</v>
      </c>
      <c r="J142" s="358">
        <v>1.2800000000000001E-2</v>
      </c>
      <c r="K142" s="358">
        <v>1.8200000000000001E-2</v>
      </c>
      <c r="L142" s="359">
        <v>6.8199999999999997E-2</v>
      </c>
      <c r="M142" s="358">
        <v>0</v>
      </c>
    </row>
    <row r="143" spans="8:13" x14ac:dyDescent="0.35">
      <c r="H143" s="356" t="s">
        <v>835</v>
      </c>
      <c r="I143" s="357" t="s">
        <v>774</v>
      </c>
      <c r="J143" s="358">
        <v>2.35E-2</v>
      </c>
      <c r="K143" s="358">
        <v>3.3300000000000003E-2</v>
      </c>
      <c r="L143" s="359">
        <v>8.3299999999999999E-2</v>
      </c>
      <c r="M143" s="358">
        <v>0.16</v>
      </c>
    </row>
    <row r="144" spans="8:13" x14ac:dyDescent="0.35">
      <c r="H144" s="356" t="s">
        <v>836</v>
      </c>
      <c r="I144" s="357" t="s">
        <v>693</v>
      </c>
      <c r="J144" s="358">
        <v>0.12839999999999999</v>
      </c>
      <c r="K144" s="358">
        <v>0.18210000000000001</v>
      </c>
      <c r="L144" s="359">
        <v>0.2321</v>
      </c>
      <c r="M144" s="358">
        <v>0.2</v>
      </c>
    </row>
    <row r="145" spans="8:13" x14ac:dyDescent="0.35">
      <c r="H145" s="356" t="s">
        <v>837</v>
      </c>
      <c r="I145" s="357" t="s">
        <v>705</v>
      </c>
      <c r="J145" s="358">
        <v>5.8799999999999998E-2</v>
      </c>
      <c r="K145" s="358">
        <v>8.3500000000000005E-2</v>
      </c>
      <c r="L145" s="359">
        <v>0.13350000000000001</v>
      </c>
      <c r="M145" s="358">
        <v>0.3</v>
      </c>
    </row>
    <row r="146" spans="8:13" x14ac:dyDescent="0.35">
      <c r="H146" s="356" t="s">
        <v>838</v>
      </c>
      <c r="I146" s="357" t="s">
        <v>734</v>
      </c>
      <c r="J146" s="358">
        <v>7.4999999999999997E-3</v>
      </c>
      <c r="K146" s="358">
        <v>1.0699999999999999E-2</v>
      </c>
      <c r="L146" s="359">
        <v>6.0699999999999997E-2</v>
      </c>
      <c r="M146" s="358">
        <v>0.2</v>
      </c>
    </row>
    <row r="147" spans="8:13" x14ac:dyDescent="0.35">
      <c r="H147" s="356" t="s">
        <v>839</v>
      </c>
      <c r="I147" s="357" t="s">
        <v>695</v>
      </c>
      <c r="J147" s="358">
        <v>3.85E-2</v>
      </c>
      <c r="K147" s="358">
        <v>5.4600000000000003E-2</v>
      </c>
      <c r="L147" s="359">
        <v>0.1046</v>
      </c>
      <c r="M147" s="358">
        <v>0.3</v>
      </c>
    </row>
    <row r="148" spans="8:13" x14ac:dyDescent="0.35">
      <c r="H148" s="356" t="s">
        <v>840</v>
      </c>
      <c r="I148" s="357" t="s">
        <v>722</v>
      </c>
      <c r="J148" s="358">
        <v>3.2199999999999999E-2</v>
      </c>
      <c r="K148" s="358">
        <v>4.5699999999999998E-2</v>
      </c>
      <c r="L148" s="359">
        <v>9.5699999999999993E-2</v>
      </c>
      <c r="M148" s="358">
        <v>0.15</v>
      </c>
    </row>
    <row r="149" spans="8:13" x14ac:dyDescent="0.35">
      <c r="H149" s="356" t="s">
        <v>841</v>
      </c>
      <c r="I149" s="357" t="s">
        <v>702</v>
      </c>
      <c r="J149" s="358">
        <v>2.6800000000000001E-2</v>
      </c>
      <c r="K149" s="358">
        <v>3.7999999999999999E-2</v>
      </c>
      <c r="L149" s="359">
        <v>8.7999999999999995E-2</v>
      </c>
      <c r="M149" s="358">
        <v>0</v>
      </c>
    </row>
    <row r="150" spans="8:13" x14ac:dyDescent="0.35">
      <c r="H150" s="356" t="s">
        <v>842</v>
      </c>
      <c r="I150" s="357" t="s">
        <v>687</v>
      </c>
      <c r="J150" s="358">
        <v>0.12839999999999999</v>
      </c>
      <c r="K150" s="358">
        <v>0.18210000000000001</v>
      </c>
      <c r="L150" s="359">
        <v>0.2321</v>
      </c>
      <c r="M150" s="358">
        <v>0.3</v>
      </c>
    </row>
    <row r="151" spans="8:13" x14ac:dyDescent="0.35">
      <c r="H151" s="356" t="s">
        <v>843</v>
      </c>
      <c r="I151" s="357" t="s">
        <v>698</v>
      </c>
      <c r="J151" s="358">
        <v>0</v>
      </c>
      <c r="K151" s="358">
        <v>0</v>
      </c>
      <c r="L151" s="359">
        <v>0.05</v>
      </c>
      <c r="M151" s="358">
        <v>0.17</v>
      </c>
    </row>
    <row r="152" spans="8:13" x14ac:dyDescent="0.35">
      <c r="H152" s="356" t="s">
        <v>844</v>
      </c>
      <c r="I152" s="357" t="s">
        <v>716</v>
      </c>
      <c r="J152" s="358">
        <v>9.1000000000000004E-3</v>
      </c>
      <c r="K152" s="358">
        <v>1.2800000000000001E-2</v>
      </c>
      <c r="L152" s="359">
        <v>6.2799999999999995E-2</v>
      </c>
      <c r="M152" s="358">
        <v>0.21</v>
      </c>
    </row>
    <row r="153" spans="8:13" x14ac:dyDescent="0.35">
      <c r="H153" s="356" t="s">
        <v>845</v>
      </c>
      <c r="I153" s="357" t="s">
        <v>720</v>
      </c>
      <c r="J153" s="358">
        <v>1.2800000000000001E-2</v>
      </c>
      <c r="K153" s="358">
        <v>1.8200000000000001E-2</v>
      </c>
      <c r="L153" s="359">
        <v>6.8199999999999997E-2</v>
      </c>
      <c r="M153" s="358">
        <v>0.19</v>
      </c>
    </row>
    <row r="154" spans="8:13" x14ac:dyDescent="0.35">
      <c r="H154" s="356" t="s">
        <v>846</v>
      </c>
      <c r="I154" s="357" t="s">
        <v>708</v>
      </c>
      <c r="J154" s="358">
        <v>8.0199999999999994E-2</v>
      </c>
      <c r="K154" s="358">
        <v>0.1138</v>
      </c>
      <c r="L154" s="359">
        <v>0.1638</v>
      </c>
      <c r="M154" s="358">
        <v>0.3</v>
      </c>
    </row>
    <row r="155" spans="8:13" x14ac:dyDescent="0.35">
      <c r="H155" s="356" t="s">
        <v>847</v>
      </c>
      <c r="I155" s="357" t="s">
        <v>687</v>
      </c>
      <c r="J155" s="358">
        <v>0.12839999999999999</v>
      </c>
      <c r="K155" s="358">
        <v>0.18210000000000001</v>
      </c>
      <c r="L155" s="359">
        <v>0.2321</v>
      </c>
      <c r="M155" s="358">
        <v>0.29149999999999998</v>
      </c>
    </row>
    <row r="156" spans="8:13" x14ac:dyDescent="0.35">
      <c r="H156" s="356" t="s">
        <v>848</v>
      </c>
      <c r="I156" s="357" t="s">
        <v>722</v>
      </c>
      <c r="J156" s="358">
        <v>3.2199999999999999E-2</v>
      </c>
      <c r="K156" s="358">
        <v>4.5699999999999998E-2</v>
      </c>
      <c r="L156" s="359">
        <v>9.5699999999999993E-2</v>
      </c>
      <c r="M156" s="358">
        <v>0.27</v>
      </c>
    </row>
    <row r="157" spans="8:13" x14ac:dyDescent="0.35">
      <c r="H157" s="356" t="s">
        <v>849</v>
      </c>
      <c r="I157" s="357" t="s">
        <v>725</v>
      </c>
      <c r="J157" s="358">
        <v>1.7100000000000001E-2</v>
      </c>
      <c r="K157" s="358">
        <v>2.4299999999999999E-2</v>
      </c>
      <c r="L157" s="359">
        <v>7.4300000000000005E-2</v>
      </c>
      <c r="M157" s="358">
        <v>0.25</v>
      </c>
    </row>
    <row r="158" spans="8:13" x14ac:dyDescent="0.35">
      <c r="H158" s="356" t="s">
        <v>850</v>
      </c>
      <c r="I158" s="357" t="s">
        <v>693</v>
      </c>
      <c r="J158" s="358">
        <v>0.12839999999999999</v>
      </c>
      <c r="K158" s="358">
        <v>0.18210000000000001</v>
      </c>
      <c r="L158" s="359">
        <v>0.2321</v>
      </c>
      <c r="M158" s="358">
        <v>0.24</v>
      </c>
    </row>
    <row r="159" spans="8:13" x14ac:dyDescent="0.35">
      <c r="H159" s="356" t="s">
        <v>851</v>
      </c>
      <c r="I159" s="357" t="s">
        <v>722</v>
      </c>
      <c r="J159" s="358">
        <v>3.2199999999999999E-2</v>
      </c>
      <c r="K159" s="358">
        <v>4.5699999999999998E-2</v>
      </c>
      <c r="L159" s="359">
        <v>9.5699999999999993E-2</v>
      </c>
      <c r="M159" s="358">
        <v>0.27179999999999999</v>
      </c>
    </row>
    <row r="160" spans="8:13" x14ac:dyDescent="0.35">
      <c r="H160" s="356" t="s">
        <v>852</v>
      </c>
      <c r="I160" s="357" t="s">
        <v>691</v>
      </c>
      <c r="J160" s="358">
        <v>6.9500000000000006E-2</v>
      </c>
      <c r="K160" s="358">
        <v>9.8599999999999993E-2</v>
      </c>
      <c r="L160" s="359">
        <v>0.14860000000000001</v>
      </c>
      <c r="M160" s="358">
        <v>0.27179999999999999</v>
      </c>
    </row>
    <row r="161" spans="8:13" x14ac:dyDescent="0.35">
      <c r="H161" s="356" t="s">
        <v>853</v>
      </c>
      <c r="I161" s="357" t="s">
        <v>687</v>
      </c>
      <c r="J161" s="358">
        <v>0.17499999999999999</v>
      </c>
      <c r="K161" s="358">
        <v>0.2482</v>
      </c>
      <c r="L161" s="359">
        <v>0.29820000000000002</v>
      </c>
      <c r="M161" s="358">
        <v>0.35</v>
      </c>
    </row>
    <row r="162" spans="8:13" x14ac:dyDescent="0.35">
      <c r="H162" s="356" t="s">
        <v>854</v>
      </c>
      <c r="I162" s="357" t="s">
        <v>749</v>
      </c>
      <c r="J162" s="358">
        <v>0.107</v>
      </c>
      <c r="K162" s="358">
        <v>0.15179999999999999</v>
      </c>
      <c r="L162" s="359">
        <v>0.20180000000000001</v>
      </c>
      <c r="M162" s="358">
        <v>0.36</v>
      </c>
    </row>
    <row r="163" spans="8:13" x14ac:dyDescent="0.35">
      <c r="H163" s="356" t="s">
        <v>855</v>
      </c>
      <c r="I163" s="357" t="s">
        <v>691</v>
      </c>
      <c r="J163" s="358">
        <v>6.9500000000000006E-2</v>
      </c>
      <c r="K163" s="358">
        <v>9.8599999999999993E-2</v>
      </c>
      <c r="L163" s="359">
        <v>0.14860000000000001</v>
      </c>
      <c r="M163" s="358">
        <v>0.27500000000000002</v>
      </c>
    </row>
    <row r="164" spans="8:13" x14ac:dyDescent="0.35">
      <c r="H164" s="356" t="s">
        <v>856</v>
      </c>
      <c r="I164" s="357" t="s">
        <v>698</v>
      </c>
      <c r="J164" s="358">
        <v>0</v>
      </c>
      <c r="K164" s="358">
        <v>0</v>
      </c>
      <c r="L164" s="359">
        <v>0.05</v>
      </c>
      <c r="M164" s="358">
        <v>0.20599999999999999</v>
      </c>
    </row>
    <row r="165" spans="8:13" x14ac:dyDescent="0.35">
      <c r="H165" s="356" t="s">
        <v>857</v>
      </c>
      <c r="I165" s="357" t="s">
        <v>698</v>
      </c>
      <c r="J165" s="358">
        <v>0</v>
      </c>
      <c r="K165" s="358">
        <v>0</v>
      </c>
      <c r="L165" s="359">
        <v>0.05</v>
      </c>
      <c r="M165" s="358">
        <v>0.18</v>
      </c>
    </row>
    <row r="166" spans="8:13" x14ac:dyDescent="0.35">
      <c r="H166" s="356" t="s">
        <v>858</v>
      </c>
      <c r="I166" s="357" t="s">
        <v>687</v>
      </c>
      <c r="J166" s="358">
        <v>0.17499999999999999</v>
      </c>
      <c r="K166" s="358">
        <v>0.2482</v>
      </c>
      <c r="L166" s="359">
        <v>0.29820000000000002</v>
      </c>
      <c r="M166" s="358">
        <v>0.28000000000000003</v>
      </c>
    </row>
    <row r="167" spans="8:13" x14ac:dyDescent="0.35">
      <c r="H167" s="356" t="s">
        <v>859</v>
      </c>
      <c r="I167" s="357" t="s">
        <v>711</v>
      </c>
      <c r="J167" s="358">
        <v>6.4000000000000003E-3</v>
      </c>
      <c r="K167" s="358">
        <v>9.1000000000000004E-3</v>
      </c>
      <c r="L167" s="359">
        <v>5.91E-2</v>
      </c>
      <c r="M167" s="358">
        <v>0.2</v>
      </c>
    </row>
    <row r="168" spans="8:13" x14ac:dyDescent="0.35">
      <c r="H168" s="356" t="s">
        <v>860</v>
      </c>
      <c r="I168" s="357" t="s">
        <v>691</v>
      </c>
      <c r="J168" s="358">
        <v>6.9500000000000006E-2</v>
      </c>
      <c r="K168" s="358">
        <v>9.8599999999999993E-2</v>
      </c>
      <c r="L168" s="359">
        <v>0.14860000000000001</v>
      </c>
      <c r="M168" s="358">
        <v>0.18</v>
      </c>
    </row>
    <row r="169" spans="8:13" x14ac:dyDescent="0.35">
      <c r="H169" s="356" t="s">
        <v>861</v>
      </c>
      <c r="I169" s="357" t="s">
        <v>705</v>
      </c>
      <c r="J169" s="358">
        <v>5.8799999999999998E-2</v>
      </c>
      <c r="K169" s="358">
        <v>8.3500000000000005E-2</v>
      </c>
      <c r="L169" s="359">
        <v>0.13350000000000001</v>
      </c>
      <c r="M169" s="358">
        <v>0.3</v>
      </c>
    </row>
    <row r="170" spans="8:13" x14ac:dyDescent="0.35">
      <c r="H170" s="356" t="s">
        <v>862</v>
      </c>
      <c r="I170" s="357" t="s">
        <v>725</v>
      </c>
      <c r="J170" s="358">
        <v>1.7100000000000001E-2</v>
      </c>
      <c r="K170" s="358">
        <v>2.4299999999999999E-2</v>
      </c>
      <c r="L170" s="359">
        <v>7.4300000000000005E-2</v>
      </c>
      <c r="M170" s="358">
        <v>0.2</v>
      </c>
    </row>
    <row r="171" spans="8:13" x14ac:dyDescent="0.35">
      <c r="H171" s="356" t="s">
        <v>863</v>
      </c>
      <c r="I171" s="357" t="s">
        <v>691</v>
      </c>
      <c r="J171" s="358">
        <v>6.9500000000000006E-2</v>
      </c>
      <c r="K171" s="358">
        <v>9.8599999999999993E-2</v>
      </c>
      <c r="L171" s="359">
        <v>0.14860000000000001</v>
      </c>
      <c r="M171" s="358">
        <v>0.2281</v>
      </c>
    </row>
    <row r="172" spans="8:13" x14ac:dyDescent="0.35">
      <c r="H172" s="356" t="s">
        <v>864</v>
      </c>
      <c r="I172" s="357" t="s">
        <v>722</v>
      </c>
      <c r="J172" s="358">
        <v>3.2199999999999999E-2</v>
      </c>
      <c r="K172" s="358">
        <v>4.5699999999999998E-2</v>
      </c>
      <c r="L172" s="359">
        <v>9.5699999999999993E-2</v>
      </c>
      <c r="M172" s="358">
        <v>0.3</v>
      </c>
    </row>
    <row r="173" spans="8:13" x14ac:dyDescent="0.35">
      <c r="H173" s="356" t="s">
        <v>865</v>
      </c>
      <c r="I173" s="357" t="s">
        <v>713</v>
      </c>
      <c r="J173" s="358">
        <v>9.6299999999999997E-2</v>
      </c>
      <c r="K173" s="358">
        <v>0.1366</v>
      </c>
      <c r="L173" s="359">
        <v>0.18659999999999999</v>
      </c>
      <c r="M173" s="358">
        <v>0.15</v>
      </c>
    </row>
    <row r="174" spans="8:13" x14ac:dyDescent="0.35">
      <c r="H174" s="356" t="s">
        <v>866</v>
      </c>
      <c r="I174" s="357" t="s">
        <v>691</v>
      </c>
      <c r="J174" s="358">
        <v>6.9500000000000006E-2</v>
      </c>
      <c r="K174" s="358">
        <v>9.8599999999999993E-2</v>
      </c>
      <c r="L174" s="359">
        <v>0.14860000000000001</v>
      </c>
      <c r="M174" s="358">
        <v>0.23</v>
      </c>
    </row>
    <row r="175" spans="8:13" x14ac:dyDescent="0.35">
      <c r="H175" s="356" t="s">
        <v>867</v>
      </c>
      <c r="I175" s="357" t="s">
        <v>725</v>
      </c>
      <c r="J175" s="358">
        <v>1.7100000000000001E-2</v>
      </c>
      <c r="K175" s="358">
        <v>2.4299999999999999E-2</v>
      </c>
      <c r="L175" s="359">
        <v>7.4300000000000005E-2</v>
      </c>
      <c r="M175" s="358">
        <v>0</v>
      </c>
    </row>
    <row r="176" spans="8:13" x14ac:dyDescent="0.35">
      <c r="H176" s="356" t="s">
        <v>868</v>
      </c>
      <c r="I176" s="357" t="s">
        <v>705</v>
      </c>
      <c r="J176" s="358">
        <v>5.8799999999999998E-2</v>
      </c>
      <c r="K176" s="358">
        <v>8.3500000000000005E-2</v>
      </c>
      <c r="L176" s="359">
        <v>0.13350000000000001</v>
      </c>
      <c r="M176" s="358">
        <v>0.3</v>
      </c>
    </row>
    <row r="177" spans="8:13" x14ac:dyDescent="0.35">
      <c r="H177" s="356" t="s">
        <v>869</v>
      </c>
      <c r="I177" s="357" t="s">
        <v>693</v>
      </c>
      <c r="J177" s="358">
        <v>0.12839999999999999</v>
      </c>
      <c r="K177" s="358">
        <v>0.18210000000000001</v>
      </c>
      <c r="L177" s="359">
        <v>0.2321</v>
      </c>
      <c r="M177" s="358">
        <v>0.18</v>
      </c>
    </row>
    <row r="178" spans="8:13" x14ac:dyDescent="0.35">
      <c r="H178" s="356" t="s">
        <v>870</v>
      </c>
      <c r="I178" s="357" t="s">
        <v>683</v>
      </c>
      <c r="J178" s="358">
        <v>5.3E-3</v>
      </c>
      <c r="K178" s="358">
        <v>7.4999999999999997E-3</v>
      </c>
      <c r="L178" s="359">
        <v>5.7500000000000002E-2</v>
      </c>
      <c r="M178" s="358">
        <v>0</v>
      </c>
    </row>
    <row r="179" spans="8:13" x14ac:dyDescent="0.35">
      <c r="H179" s="356" t="s">
        <v>871</v>
      </c>
      <c r="I179" s="357" t="s">
        <v>711</v>
      </c>
      <c r="J179" s="358">
        <v>6.4000000000000003E-3</v>
      </c>
      <c r="K179" s="358">
        <v>9.1000000000000004E-3</v>
      </c>
      <c r="L179" s="359">
        <v>5.91E-2</v>
      </c>
      <c r="M179" s="358">
        <v>0.25</v>
      </c>
    </row>
    <row r="180" spans="8:13" x14ac:dyDescent="0.35">
      <c r="H180" s="356" t="s">
        <v>872</v>
      </c>
      <c r="I180" s="357" t="s">
        <v>698</v>
      </c>
      <c r="J180" s="358">
        <v>0</v>
      </c>
      <c r="K180" s="358">
        <v>0</v>
      </c>
      <c r="L180" s="359">
        <v>0.05</v>
      </c>
      <c r="M180" s="358">
        <v>0.25</v>
      </c>
    </row>
    <row r="181" spans="8:13" x14ac:dyDescent="0.35">
      <c r="H181" s="356" t="s">
        <v>873</v>
      </c>
      <c r="I181" s="357" t="s">
        <v>689</v>
      </c>
      <c r="J181" s="358">
        <v>2.0400000000000001E-2</v>
      </c>
      <c r="K181" s="358">
        <v>2.8899999999999999E-2</v>
      </c>
      <c r="L181" s="359">
        <v>7.8899999999999998E-2</v>
      </c>
      <c r="M181" s="358">
        <v>0.25</v>
      </c>
    </row>
    <row r="182" spans="8:13" x14ac:dyDescent="0.35">
      <c r="H182" s="356" t="s">
        <v>874</v>
      </c>
      <c r="I182" s="357" t="s">
        <v>695</v>
      </c>
      <c r="J182" s="358">
        <v>3.85E-2</v>
      </c>
      <c r="K182" s="358">
        <v>5.4600000000000003E-2</v>
      </c>
      <c r="L182" s="359">
        <v>0.1046</v>
      </c>
      <c r="M182" s="358">
        <v>0.15</v>
      </c>
    </row>
    <row r="183" spans="8:13" x14ac:dyDescent="0.35">
      <c r="H183" s="356" t="s">
        <v>875</v>
      </c>
      <c r="I183" s="357" t="s">
        <v>609</v>
      </c>
      <c r="J183" s="358">
        <v>0.17499999999999999</v>
      </c>
      <c r="K183" s="358">
        <v>0.2482</v>
      </c>
      <c r="L183" s="359">
        <v>0.29820000000000002</v>
      </c>
      <c r="M183" s="358">
        <v>0.34</v>
      </c>
    </row>
    <row r="184" spans="8:13" x14ac:dyDescent="0.35">
      <c r="H184" s="356" t="s">
        <v>876</v>
      </c>
      <c r="I184" s="357" t="s">
        <v>722</v>
      </c>
      <c r="J184" s="358">
        <v>3.2199999999999999E-2</v>
      </c>
      <c r="K184" s="358">
        <v>4.5699999999999998E-2</v>
      </c>
      <c r="L184" s="359">
        <v>9.5699999999999993E-2</v>
      </c>
      <c r="M184" s="358">
        <v>0.2</v>
      </c>
    </row>
    <row r="185" spans="8:13" x14ac:dyDescent="0.35">
      <c r="H185" s="356" t="s">
        <v>877</v>
      </c>
      <c r="I185" s="357" t="s">
        <v>687</v>
      </c>
      <c r="J185" s="358">
        <v>0.107</v>
      </c>
      <c r="K185" s="358">
        <v>0.15179999999999999</v>
      </c>
      <c r="L185" s="359">
        <v>0.20180000000000001</v>
      </c>
      <c r="M185" s="358">
        <v>0.2</v>
      </c>
    </row>
    <row r="186" spans="8:13" x14ac:dyDescent="0.35">
      <c r="H186" s="356" t="s">
        <v>878</v>
      </c>
      <c r="I186" s="357" t="s">
        <v>693</v>
      </c>
      <c r="J186" s="358">
        <v>0.12839999999999999</v>
      </c>
      <c r="K186" s="358">
        <v>0.18210000000000001</v>
      </c>
      <c r="L186" s="359">
        <v>0.2321</v>
      </c>
      <c r="M186" s="358">
        <v>0.35</v>
      </c>
    </row>
    <row r="187" spans="8:13" x14ac:dyDescent="0.35">
      <c r="H187" s="356" t="s">
        <v>879</v>
      </c>
      <c r="I187" s="357" t="s">
        <v>687</v>
      </c>
      <c r="J187" s="358">
        <v>8.0199999999999994E-2</v>
      </c>
      <c r="K187" s="358">
        <v>0.1138</v>
      </c>
      <c r="L187" s="359">
        <v>0.1638</v>
      </c>
      <c r="M187" s="358">
        <v>0.25</v>
      </c>
    </row>
    <row r="213" spans="8:8" x14ac:dyDescent="0.35">
      <c r="H213" s="360" t="s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Asumsi</vt:lpstr>
      <vt:lpstr>ProjectValuation</vt:lpstr>
      <vt:lpstr>CapitalInvestment</vt:lpstr>
      <vt:lpstr>IncomeStatement</vt:lpstr>
      <vt:lpstr>CashFlow-Yearly</vt:lpstr>
      <vt:lpstr>CashFlow-Monthly</vt:lpstr>
      <vt:lpstr>Dividen</vt:lpstr>
      <vt:lpstr>EquityChange</vt:lpstr>
      <vt:lpstr>CostOfCapital</vt:lpstr>
      <vt:lpstr>Market</vt:lpstr>
      <vt:lpstr>CostStructure</vt:lpstr>
      <vt:lpstr>COGS</vt:lpstr>
      <vt:lpstr>Prod&amp;Consp</vt:lpstr>
      <vt:lpstr>Revenue</vt:lpstr>
      <vt:lpstr>VariableCost</vt:lpstr>
      <vt:lpstr>PlantOVH</vt:lpstr>
      <vt:lpstr>SG&amp;A</vt:lpstr>
      <vt:lpstr>Salary</vt:lpstr>
      <vt:lpstr>Depreciation</vt:lpstr>
      <vt:lpstr>JadwalObat&amp;Vitamin</vt:lpstr>
      <vt:lpstr>Reference</vt:lpstr>
      <vt:lpstr>LoanInterest</vt:lpstr>
      <vt:lpstr>Loan Flat</vt:lpstr>
      <vt:lpstr>CapitalInvestment!Print_Area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Afra Rahmatillah</cp:lastModifiedBy>
  <cp:lastPrinted>2024-01-11T07:40:13Z</cp:lastPrinted>
  <dcterms:created xsi:type="dcterms:W3CDTF">2022-09-08T02:50:57Z</dcterms:created>
  <dcterms:modified xsi:type="dcterms:W3CDTF">2024-02-20T10:03:29Z</dcterms:modified>
</cp:coreProperties>
</file>