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Oraman\Documents\MSP projekt\"/>
    </mc:Choice>
  </mc:AlternateContent>
  <xr:revisionPtr revIDLastSave="0" documentId="13_ncr:1_{B27718E7-1D82-44EB-A4E2-1800C932B75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árok1" sheetId="1" r:id="rId1"/>
    <sheet name="Hárok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4" i="1" l="1"/>
  <c r="C112" i="1"/>
  <c r="D80" i="1" l="1"/>
  <c r="J69" i="1"/>
  <c r="D77" i="1"/>
  <c r="D51" i="1"/>
  <c r="D48" i="1"/>
  <c r="D78" i="1" l="1"/>
  <c r="E69" i="1"/>
  <c r="C197" i="1"/>
  <c r="C198" i="1"/>
  <c r="B5" i="1" a="1"/>
  <c r="B5" i="1" s="1"/>
  <c r="C64" i="2" l="1"/>
  <c r="B64" i="2"/>
  <c r="C63" i="2"/>
  <c r="B63" i="2"/>
  <c r="F62" i="2"/>
  <c r="E62" i="2"/>
  <c r="D62" i="2"/>
  <c r="F61" i="2"/>
  <c r="E61" i="2"/>
  <c r="D61" i="2"/>
  <c r="I60" i="2"/>
  <c r="F60" i="2"/>
  <c r="E60" i="2"/>
  <c r="D60" i="2"/>
  <c r="F59" i="2"/>
  <c r="E59" i="2"/>
  <c r="D59" i="2"/>
  <c r="F58" i="2"/>
  <c r="E58" i="2"/>
  <c r="D58" i="2"/>
  <c r="F57" i="2"/>
  <c r="E57" i="2"/>
  <c r="D57" i="2"/>
  <c r="F56" i="2"/>
  <c r="E56" i="2"/>
  <c r="D56" i="2"/>
  <c r="F55" i="2"/>
  <c r="E55" i="2"/>
  <c r="D55" i="2"/>
  <c r="F54" i="2"/>
  <c r="E54" i="2"/>
  <c r="D54" i="2"/>
  <c r="F53" i="2"/>
  <c r="E53" i="2"/>
  <c r="D53" i="2"/>
  <c r="F52" i="2"/>
  <c r="E52" i="2"/>
  <c r="D52" i="2"/>
  <c r="F51" i="2"/>
  <c r="E51" i="2"/>
  <c r="D51" i="2"/>
  <c r="F50" i="2"/>
  <c r="E50" i="2"/>
  <c r="D50" i="2"/>
  <c r="F49" i="2"/>
  <c r="E49" i="2"/>
  <c r="D49" i="2"/>
  <c r="F48" i="2"/>
  <c r="E48" i="2"/>
  <c r="D48" i="2"/>
  <c r="F47" i="2"/>
  <c r="E47" i="2"/>
  <c r="D47" i="2"/>
  <c r="F46" i="2"/>
  <c r="E46" i="2"/>
  <c r="D46" i="2"/>
  <c r="F45" i="2"/>
  <c r="E45" i="2"/>
  <c r="D45" i="2"/>
  <c r="F44" i="2"/>
  <c r="E44" i="2"/>
  <c r="D44" i="2"/>
  <c r="F43" i="2"/>
  <c r="E43" i="2"/>
  <c r="E63" i="2" s="1"/>
  <c r="D43" i="2"/>
  <c r="F15" i="2"/>
  <c r="F7" i="2"/>
  <c r="F6" i="2"/>
  <c r="F5" i="2"/>
  <c r="F4" i="2"/>
  <c r="F3" i="2"/>
  <c r="F2" i="2"/>
  <c r="I63" i="2" s="1"/>
  <c r="I64" i="2" s="1"/>
  <c r="F205" i="1"/>
  <c r="F206" i="1" s="1"/>
  <c r="F204" i="1"/>
  <c r="F202" i="1"/>
  <c r="B198" i="1"/>
  <c r="B197" i="1"/>
  <c r="C196" i="1"/>
  <c r="B196" i="1"/>
  <c r="F195" i="1"/>
  <c r="E195" i="1"/>
  <c r="F194" i="1"/>
  <c r="F196" i="1" s="1"/>
  <c r="E194" i="1"/>
  <c r="F192" i="1"/>
  <c r="C152" i="1"/>
  <c r="C151" i="1"/>
  <c r="E133" i="1"/>
  <c r="E131" i="1"/>
  <c r="E128" i="1"/>
  <c r="E126" i="1"/>
  <c r="E116" i="1"/>
  <c r="E111" i="1"/>
  <c r="D108" i="1"/>
  <c r="D107" i="1"/>
  <c r="D106" i="1"/>
  <c r="D81" i="1"/>
  <c r="D70" i="1"/>
  <c r="H69" i="1"/>
  <c r="G69" i="1" s="1"/>
  <c r="F69" i="1"/>
  <c r="D64" i="1"/>
  <c r="D63" i="1"/>
  <c r="D62" i="1"/>
  <c r="D58" i="1"/>
  <c r="D57" i="1"/>
  <c r="D56" i="1"/>
  <c r="D52" i="1"/>
  <c r="D49" i="1"/>
  <c r="I11" i="1"/>
  <c r="F8" i="1"/>
  <c r="D131" i="1" s="1"/>
  <c r="F3" i="1"/>
  <c r="F5" i="1" s="1"/>
  <c r="F7" i="1" s="1"/>
  <c r="E70" i="1" s="1"/>
  <c r="F2" i="1"/>
  <c r="N69" i="1" s="1"/>
  <c r="F63" i="2" l="1"/>
  <c r="D63" i="2"/>
  <c r="E22" i="2"/>
  <c r="F208" i="1"/>
  <c r="I12" i="1"/>
  <c r="D133" i="1"/>
  <c r="E137" i="1"/>
  <c r="I69" i="1"/>
  <c r="D128" i="1"/>
  <c r="C128" i="1" s="1"/>
  <c r="C133" i="1"/>
  <c r="C131" i="1"/>
  <c r="J11" i="1"/>
  <c r="I13" i="1"/>
  <c r="Q69" i="1"/>
  <c r="P69" i="1" s="1"/>
  <c r="O69" i="1"/>
  <c r="N70" i="1"/>
  <c r="R69" i="1"/>
  <c r="M70" i="1"/>
  <c r="H70" i="1"/>
  <c r="G70" i="1" s="1"/>
  <c r="I44" i="2"/>
  <c r="H79" i="2" s="1"/>
  <c r="I70" i="1"/>
  <c r="E71" i="1"/>
  <c r="D71" i="1"/>
  <c r="D111" i="1"/>
  <c r="C111" i="1" s="1"/>
  <c r="D126" i="1"/>
  <c r="C126" i="1" s="1"/>
  <c r="D137" i="1" s="1"/>
  <c r="D144" i="1" s="1"/>
  <c r="E140" i="1"/>
  <c r="I57" i="2"/>
  <c r="I58" i="2" s="1"/>
  <c r="E24" i="2"/>
  <c r="E25" i="2" s="1"/>
  <c r="F4" i="1"/>
  <c r="F70" i="1"/>
  <c r="D116" i="1"/>
  <c r="C116" i="1" s="1"/>
  <c r="C118" i="1" s="1"/>
  <c r="H73" i="2" l="1"/>
  <c r="H76" i="2"/>
  <c r="H75" i="2"/>
  <c r="H69" i="2"/>
  <c r="H71" i="2"/>
  <c r="H72" i="2"/>
  <c r="H77" i="2"/>
  <c r="H70" i="2"/>
  <c r="C137" i="1"/>
  <c r="C144" i="1" s="1"/>
  <c r="C140" i="1"/>
  <c r="C146" i="1" s="1"/>
  <c r="D140" i="1"/>
  <c r="D146" i="1" s="1"/>
  <c r="I45" i="2"/>
  <c r="I61" i="2"/>
  <c r="E72" i="1"/>
  <c r="D72" i="1"/>
  <c r="I71" i="1"/>
  <c r="K11" i="1"/>
  <c r="M11" i="1"/>
  <c r="J70" i="1"/>
  <c r="J12" i="1"/>
  <c r="I14" i="1"/>
  <c r="Q70" i="1"/>
  <c r="P70" i="1" s="1"/>
  <c r="O70" i="1"/>
  <c r="C155" i="1"/>
  <c r="H78" i="2"/>
  <c r="S69" i="1"/>
  <c r="I55" i="2"/>
  <c r="H74" i="2"/>
  <c r="F71" i="1"/>
  <c r="H71" i="1"/>
  <c r="G71" i="1" s="1"/>
  <c r="M71" i="1"/>
  <c r="R70" i="1"/>
  <c r="N71" i="1"/>
  <c r="K12" i="1" l="1"/>
  <c r="M12" i="1"/>
  <c r="N72" i="1"/>
  <c r="M72" i="1"/>
  <c r="R71" i="1"/>
  <c r="I46" i="2"/>
  <c r="C78" i="2" s="1"/>
  <c r="L11" i="1"/>
  <c r="J71" i="1"/>
  <c r="S70" i="1"/>
  <c r="Q71" i="1"/>
  <c r="P71" i="1" s="1"/>
  <c r="O71" i="1"/>
  <c r="J13" i="1"/>
  <c r="I15" i="1"/>
  <c r="H72" i="1"/>
  <c r="G72" i="1" s="1"/>
  <c r="F72" i="1"/>
  <c r="E73" i="1"/>
  <c r="D73" i="1"/>
  <c r="I72" i="1"/>
  <c r="C72" i="2" l="1"/>
  <c r="C79" i="2"/>
  <c r="C75" i="2"/>
  <c r="C76" i="2"/>
  <c r="C70" i="2"/>
  <c r="C77" i="2"/>
  <c r="C74" i="2"/>
  <c r="S71" i="1"/>
  <c r="I16" i="1"/>
  <c r="J14" i="1"/>
  <c r="L12" i="1"/>
  <c r="O72" i="1"/>
  <c r="Q72" i="1"/>
  <c r="P72" i="1" s="1"/>
  <c r="D74" i="1"/>
  <c r="E74" i="1"/>
  <c r="I73" i="1"/>
  <c r="M13" i="1"/>
  <c r="K13" i="1"/>
  <c r="N73" i="1"/>
  <c r="R72" i="1"/>
  <c r="M73" i="1"/>
  <c r="J72" i="1"/>
  <c r="F73" i="1"/>
  <c r="H73" i="1"/>
  <c r="G73" i="1" s="1"/>
  <c r="I48" i="2"/>
  <c r="I49" i="2" s="1"/>
  <c r="I62" i="2" s="1"/>
  <c r="C69" i="2"/>
  <c r="C71" i="2"/>
  <c r="C73" i="2"/>
  <c r="G70" i="2" l="1"/>
  <c r="F74" i="2"/>
  <c r="E77" i="2"/>
  <c r="G72" i="2"/>
  <c r="D70" i="2"/>
  <c r="E72" i="2"/>
  <c r="G75" i="2"/>
  <c r="E76" i="2"/>
  <c r="D74" i="2"/>
  <c r="G74" i="2"/>
  <c r="D76" i="2"/>
  <c r="F75" i="2"/>
  <c r="N74" i="1"/>
  <c r="M74" i="1"/>
  <c r="R73" i="1"/>
  <c r="H74" i="1"/>
  <c r="G74" i="1" s="1"/>
  <c r="F74" i="1"/>
  <c r="J73" i="1"/>
  <c r="I74" i="1"/>
  <c r="D75" i="1"/>
  <c r="F77" i="2"/>
  <c r="G71" i="2"/>
  <c r="F71" i="2"/>
  <c r="E71" i="2"/>
  <c r="D71" i="2"/>
  <c r="E74" i="2"/>
  <c r="F76" i="2"/>
  <c r="E70" i="2"/>
  <c r="D79" i="2"/>
  <c r="G77" i="2"/>
  <c r="G78" i="2"/>
  <c r="E79" i="2"/>
  <c r="D77" i="2"/>
  <c r="D78" i="2"/>
  <c r="J15" i="1"/>
  <c r="I17" i="1"/>
  <c r="D69" i="2"/>
  <c r="G69" i="2"/>
  <c r="F69" i="2"/>
  <c r="E69" i="2"/>
  <c r="D72" i="2"/>
  <c r="F79" i="2"/>
  <c r="D75" i="2"/>
  <c r="E78" i="2"/>
  <c r="S72" i="1"/>
  <c r="K14" i="1"/>
  <c r="M14" i="1"/>
  <c r="D73" i="2"/>
  <c r="G73" i="2"/>
  <c r="F73" i="2"/>
  <c r="E73" i="2"/>
  <c r="G76" i="2"/>
  <c r="F70" i="2"/>
  <c r="I56" i="2"/>
  <c r="F72" i="2"/>
  <c r="Q73" i="1"/>
  <c r="P73" i="1" s="1"/>
  <c r="O73" i="1"/>
  <c r="L13" i="1"/>
  <c r="G79" i="2"/>
  <c r="E75" i="2"/>
  <c r="F78" i="2"/>
  <c r="I18" i="1" l="1"/>
  <c r="J16" i="1"/>
  <c r="L14" i="1"/>
  <c r="S73" i="1"/>
  <c r="H75" i="1"/>
  <c r="G75" i="1" s="1"/>
  <c r="F75" i="1"/>
  <c r="I75" i="1"/>
  <c r="N75" i="1"/>
  <c r="M75" i="1"/>
  <c r="R74" i="1"/>
  <c r="J74" i="1"/>
  <c r="K15" i="1"/>
  <c r="M15" i="1"/>
  <c r="Q74" i="1"/>
  <c r="P74" i="1" s="1"/>
  <c r="O74" i="1"/>
  <c r="L15" i="1" l="1"/>
  <c r="S74" i="1"/>
  <c r="N76" i="1"/>
  <c r="M76" i="1"/>
  <c r="R75" i="1"/>
  <c r="K16" i="1"/>
  <c r="M16" i="1"/>
  <c r="J75" i="1"/>
  <c r="I76" i="1"/>
  <c r="I19" i="1"/>
  <c r="J17" i="1"/>
  <c r="Q75" i="1"/>
  <c r="P75" i="1" s="1"/>
  <c r="O75" i="1"/>
  <c r="Q76" i="1" l="1"/>
  <c r="P76" i="1" s="1"/>
  <c r="O76" i="1"/>
  <c r="S75" i="1"/>
  <c r="J18" i="1"/>
  <c r="I20" i="1"/>
  <c r="N77" i="1"/>
  <c r="M77" i="1"/>
  <c r="R76" i="1"/>
  <c r="L16" i="1"/>
  <c r="M17" i="1"/>
  <c r="K17" i="1"/>
  <c r="L17" i="1" l="1"/>
  <c r="M18" i="1"/>
  <c r="K18" i="1"/>
  <c r="J19" i="1"/>
  <c r="I21" i="1"/>
  <c r="N78" i="1"/>
  <c r="M78" i="1"/>
  <c r="R77" i="1"/>
  <c r="S76" i="1"/>
  <c r="Q77" i="1"/>
  <c r="P77" i="1" s="1"/>
  <c r="O77" i="1"/>
  <c r="L18" i="1" l="1"/>
  <c r="Q78" i="1"/>
  <c r="P78" i="1" s="1"/>
  <c r="O79" i="1"/>
  <c r="O78" i="1"/>
  <c r="M79" i="1"/>
  <c r="R78" i="1"/>
  <c r="S77" i="1"/>
  <c r="J20" i="1"/>
  <c r="K19" i="1"/>
  <c r="M19" i="1"/>
  <c r="J21" i="1" l="1"/>
  <c r="M20" i="1"/>
  <c r="K20" i="1"/>
  <c r="L19" i="1"/>
  <c r="S78" i="1"/>
  <c r="Q79" i="1"/>
  <c r="P79" i="1" s="1"/>
  <c r="R79" i="1"/>
  <c r="K21" i="1" l="1"/>
  <c r="M21" i="1"/>
  <c r="N18" i="1" s="1"/>
  <c r="L20" i="1"/>
  <c r="S79" i="1"/>
  <c r="N21" i="1" l="1"/>
  <c r="N12" i="1"/>
  <c r="N13" i="1"/>
  <c r="N11" i="1"/>
  <c r="N14" i="1"/>
  <c r="N15" i="1"/>
  <c r="N16" i="1"/>
  <c r="L21" i="1"/>
  <c r="N17" i="1"/>
  <c r="N19" i="1"/>
  <c r="N20" i="1"/>
  <c r="D50" i="1" l="1" a="1"/>
  <c r="D50" i="1" s="1"/>
  <c r="O11" i="1"/>
  <c r="O12" i="1" s="1"/>
  <c r="O13" i="1" s="1"/>
  <c r="O14" i="1" s="1"/>
  <c r="O15" i="1" s="1"/>
  <c r="O16" i="1" s="1"/>
  <c r="O17" i="1" s="1"/>
  <c r="O18" i="1" s="1"/>
  <c r="O19" i="1" s="1"/>
  <c r="O20" i="1" s="1"/>
  <c r="O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<sst xmlns="http://schemas.openxmlformats.org/spreadsheetml/2006/main" count="184" uniqueCount="130">
  <si>
    <t>min</t>
  </si>
  <si>
    <t>Př. 1</t>
  </si>
  <si>
    <t>max</t>
  </si>
  <si>
    <t>X [mm]</t>
  </si>
  <si>
    <t>Usporiadaný statický súbor</t>
  </si>
  <si>
    <t>var. obor</t>
  </si>
  <si>
    <t>rozpatie</t>
  </si>
  <si>
    <t>pocet tried</t>
  </si>
  <si>
    <t>dlzka triedy</t>
  </si>
  <si>
    <t>počet dát</t>
  </si>
  <si>
    <t>a)</t>
  </si>
  <si>
    <t>trieda</t>
  </si>
  <si>
    <t>xi-</t>
  </si>
  <si>
    <t>xi+</t>
  </si>
  <si>
    <t>stred triedy</t>
  </si>
  <si>
    <t>kumulat. cetnost</t>
  </si>
  <si>
    <t>četnosť</t>
  </si>
  <si>
    <t>relat. cetnost</t>
  </si>
  <si>
    <t>relat kum. cetnost</t>
  </si>
  <si>
    <t>b)</t>
  </si>
  <si>
    <t>Arit. Priemer</t>
  </si>
  <si>
    <t>Median</t>
  </si>
  <si>
    <t>Modus</t>
  </si>
  <si>
    <t>Rozptyl</t>
  </si>
  <si>
    <t>Smerod. odch.</t>
  </si>
  <si>
    <t>c)</t>
  </si>
  <si>
    <t>Bodovy odhad strednej hodnoty</t>
  </si>
  <si>
    <t>Bodovy odhad rozptylu</t>
  </si>
  <si>
    <t>Bodovy odhad smerod. odch.</t>
  </si>
  <si>
    <t>d)</t>
  </si>
  <si>
    <t>Počet tried</t>
  </si>
  <si>
    <t>Teor. četnosť</t>
  </si>
  <si>
    <t>roz^2/teor četn</t>
  </si>
  <si>
    <t>stupňe voľnosti k</t>
  </si>
  <si>
    <t>hladina významnosti alpha</t>
  </si>
  <si>
    <t>chi0.95^2 pro k = 6 - 2 -1</t>
  </si>
  <si>
    <t xml:space="preserve">doplnok kritického súboru </t>
  </si>
  <si>
    <t>e)</t>
  </si>
  <si>
    <t>0.95 kvantil Studentovho rozdelenia</t>
  </si>
  <si>
    <t>k</t>
  </si>
  <si>
    <t>alpha</t>
  </si>
  <si>
    <t>spolahlivosť</t>
  </si>
  <si>
    <t>0.05 alfa:</t>
  </si>
  <si>
    <t>0.99 kvantil Studentovho rozdelenia</t>
  </si>
  <si>
    <t>0.01 alfa:</t>
  </si>
  <si>
    <t>0.975 kvantil Pearsova rozdelenia alpha/2</t>
  </si>
  <si>
    <t>alpha / 2</t>
  </si>
  <si>
    <t>0.975 kvantil Pearsova rozdelenia 1 - alpha/2</t>
  </si>
  <si>
    <t>0.995 kvantil Pearsova rozdelenia alpha/2</t>
  </si>
  <si>
    <t>0.995 kvantil Pearsova rozdelenia 1 - alpha/2</t>
  </si>
  <si>
    <t>Intervalovy odhad sigma^2</t>
  </si>
  <si>
    <t>alfa = 0.05</t>
  </si>
  <si>
    <t>alfa = 0.01</t>
  </si>
  <si>
    <t>Intervalovy odhad sigma</t>
  </si>
  <si>
    <t>f)</t>
  </si>
  <si>
    <t>testovacie kritérium t</t>
  </si>
  <si>
    <t>doplnok kritického oboru</t>
  </si>
  <si>
    <t>pretože t nepatrí do W hypotéza sa zamieta</t>
  </si>
  <si>
    <t>a alternatívna hypotéza : mí !=0 sa nezamieta</t>
  </si>
  <si>
    <t>g)</t>
  </si>
  <si>
    <t>F TEST:</t>
  </si>
  <si>
    <t>Hypotéza H0 : rozptyl X = rozptyl Y</t>
  </si>
  <si>
    <t>test. krit</t>
  </si>
  <si>
    <t>alfa</t>
  </si>
  <si>
    <t>n</t>
  </si>
  <si>
    <t>priemer</t>
  </si>
  <si>
    <t>doplnok krit. oboru</t>
  </si>
  <si>
    <t>rozptyl</t>
  </si>
  <si>
    <r>
      <t xml:space="preserve">Keďže </t>
    </r>
    <r>
      <rPr>
        <b/>
        <sz val="10"/>
        <rFont val="Arial"/>
        <family val="2"/>
        <charset val="238"/>
      </rPr>
      <t>t</t>
    </r>
    <r>
      <rPr>
        <sz val="10"/>
        <color rgb="FF000000"/>
        <rFont val="Arial"/>
      </rPr>
      <t xml:space="preserve"> patrí do intervalu doplnku kritického oboru, tak sa hypotéza </t>
    </r>
    <r>
      <rPr>
        <b/>
        <sz val="10"/>
        <rFont val="Arial"/>
        <family val="2"/>
        <charset val="238"/>
      </rPr>
      <t>NEZAMIETA</t>
    </r>
  </si>
  <si>
    <t>smer. odch.</t>
  </si>
  <si>
    <t>Študentov dvojvýberový test:</t>
  </si>
  <si>
    <t>AK SA F TEST NEZAMIETNE</t>
  </si>
  <si>
    <t>Hypotéza H0 : stredné hodnoty sú rovnaké za podmienky, že rozptyly sú rovnaké</t>
  </si>
  <si>
    <t>kvantil</t>
  </si>
  <si>
    <t>alpha/2</t>
  </si>
  <si>
    <t>t1-alpha/2</t>
  </si>
  <si>
    <t>doplnok krit. oboru W_alfa</t>
  </si>
  <si>
    <t>mí_0</t>
  </si>
  <si>
    <r>
      <t xml:space="preserve">Keďže </t>
    </r>
    <r>
      <rPr>
        <b/>
        <sz val="10"/>
        <rFont val="Arial"/>
        <family val="2"/>
        <charset val="238"/>
      </rPr>
      <t>t</t>
    </r>
    <r>
      <rPr>
        <sz val="10"/>
        <color rgb="FF000000"/>
        <rFont val="Arial"/>
      </rPr>
      <t xml:space="preserve"> patrí do intervalu doplnku kritického oboru, tak sa hypotéza </t>
    </r>
    <r>
      <rPr>
        <b/>
        <sz val="10"/>
        <rFont val="Arial"/>
        <family val="2"/>
        <charset val="238"/>
      </rPr>
      <t>NEZAMIETA</t>
    </r>
  </si>
  <si>
    <t>AK SA F TEST ZAMIETNE</t>
  </si>
  <si>
    <r>
      <t xml:space="preserve">Testovacie kriterium pocitat cez </t>
    </r>
    <r>
      <rPr>
        <u/>
        <sz val="10"/>
        <color rgb="FF1155CC"/>
        <rFont val="Arial"/>
        <family val="2"/>
        <charset val="238"/>
      </rPr>
      <t>https://www.socscistatistics.com/tests/studentttest/default.aspx</t>
    </r>
  </si>
  <si>
    <t>Př. 2</t>
  </si>
  <si>
    <t>Výška [cm]</t>
  </si>
  <si>
    <t>Váha [kg]</t>
  </si>
  <si>
    <t>stred. hodnota x</t>
  </si>
  <si>
    <t>stred. hodnota y</t>
  </si>
  <si>
    <t>suma x^2</t>
  </si>
  <si>
    <t>suma y^2</t>
  </si>
  <si>
    <t>suma x*y</t>
  </si>
  <si>
    <t>r</t>
  </si>
  <si>
    <t>H0: ró = 0</t>
  </si>
  <si>
    <t>test. krit.</t>
  </si>
  <si>
    <t>t 1-alfa/2(20-2)</t>
  </si>
  <si>
    <t>Walfa</t>
  </si>
  <si>
    <r>
      <t xml:space="preserve">t nepatri Walfa, teda sa hypoteza </t>
    </r>
    <r>
      <rPr>
        <b/>
        <sz val="10"/>
        <rFont val="Arial"/>
        <family val="2"/>
        <charset val="238"/>
      </rPr>
      <t>zamieta.</t>
    </r>
  </si>
  <si>
    <t>x</t>
  </si>
  <si>
    <t>y</t>
  </si>
  <si>
    <t>x^2</t>
  </si>
  <si>
    <t>y^2</t>
  </si>
  <si>
    <t>x*y</t>
  </si>
  <si>
    <t>1)</t>
  </si>
  <si>
    <t xml:space="preserve">det(H) = </t>
  </si>
  <si>
    <t xml:space="preserve">b2 = </t>
  </si>
  <si>
    <t xml:space="preserve">b1 = </t>
  </si>
  <si>
    <t xml:space="preserve">y = </t>
  </si>
  <si>
    <t>b1 + b2x</t>
  </si>
  <si>
    <t>(x je neznama)</t>
  </si>
  <si>
    <t>S*_min</t>
  </si>
  <si>
    <t>s^2</t>
  </si>
  <si>
    <t>2)</t>
  </si>
  <si>
    <t>H:beta0</t>
  </si>
  <si>
    <t>H:beta1</t>
  </si>
  <si>
    <t>h11</t>
  </si>
  <si>
    <r>
      <t xml:space="preserve">t patri do Walfa a teda sa hypoteza </t>
    </r>
    <r>
      <rPr>
        <b/>
        <sz val="10"/>
        <rFont val="Arial"/>
        <family val="2"/>
        <charset val="238"/>
      </rPr>
      <t>nezamieta</t>
    </r>
    <r>
      <rPr>
        <sz val="10"/>
        <color rgb="FF000000"/>
        <rFont val="Arial"/>
      </rPr>
      <t>.</t>
    </r>
  </si>
  <si>
    <t>h22</t>
  </si>
  <si>
    <t>test krit.</t>
  </si>
  <si>
    <t>suma</t>
  </si>
  <si>
    <r>
      <t xml:space="preserve">t patri do Walfa a teda sa hypoteza </t>
    </r>
    <r>
      <rPr>
        <b/>
        <sz val="10"/>
        <rFont val="Arial"/>
        <family val="2"/>
        <charset val="238"/>
      </rPr>
      <t>nezamieta</t>
    </r>
    <r>
      <rPr>
        <sz val="10"/>
        <color rgb="FF000000"/>
        <rFont val="Arial"/>
      </rPr>
      <t>.</t>
    </r>
  </si>
  <si>
    <t>stredné y</t>
  </si>
  <si>
    <t>individuálne y</t>
  </si>
  <si>
    <t>3)</t>
  </si>
  <si>
    <t>xi</t>
  </si>
  <si>
    <t>yi</t>
  </si>
  <si>
    <t>dolné</t>
  </si>
  <si>
    <t>horné</t>
  </si>
  <si>
    <t>h*</t>
  </si>
  <si>
    <r>
      <t xml:space="preserve">Testovacie kritérium </t>
    </r>
    <r>
      <rPr>
        <b/>
        <sz val="10"/>
        <color theme="1"/>
        <rFont val="Arial"/>
        <family val="2"/>
        <charset val="238"/>
      </rPr>
      <t>t</t>
    </r>
  </si>
  <si>
    <r>
      <rPr>
        <b/>
        <sz val="10"/>
        <color rgb="FF000000"/>
        <rFont val="Arial"/>
        <family val="2"/>
        <charset val="238"/>
      </rPr>
      <t xml:space="preserve">t </t>
    </r>
    <r>
      <rPr>
        <sz val="10"/>
        <color rgb="FF000000"/>
        <rFont val="Arial"/>
        <family val="2"/>
        <charset val="238"/>
      </rPr>
      <t xml:space="preserve">patri do doplnku krit. oboru: hypotezu </t>
    </r>
    <r>
      <rPr>
        <b/>
        <sz val="10"/>
        <color rgb="FF000000"/>
        <rFont val="Arial"/>
        <family val="2"/>
        <charset val="238"/>
      </rPr>
      <t>NEZAMIETAM</t>
    </r>
  </si>
  <si>
    <t>Početnosť</t>
  </si>
  <si>
    <t>Teor. početnosť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</si>
</sst>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1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  <scheme val="minor"/>
    </font>
    <font>
      <b/>
      <sz val="14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rgb="FF4285F4"/>
      <name val="Inconsolata"/>
    </font>
    <font>
      <sz val="12"/>
      <color rgb="FF000000"/>
      <name val="Calibri"/>
      <family val="2"/>
      <charset val="238"/>
    </font>
    <font>
      <sz val="11"/>
      <color rgb="FF000000"/>
      <name val="Inconsolata"/>
    </font>
    <font>
      <sz val="10"/>
      <color rgb="FF000000"/>
      <name val="Arial"/>
      <family val="2"/>
      <charset val="238"/>
    </font>
    <font>
      <b/>
      <i/>
      <sz val="10"/>
      <color rgb="FF9900FF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sz val="18"/>
      <color rgb="FF000000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sz val="14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rgb="FF1155CC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48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8" fillId="0" borderId="0" xfId="0" applyFont="1" applyAlignment="1"/>
    <xf numFmtId="0" fontId="4" fillId="0" borderId="0" xfId="0" applyFont="1" applyAlignment="1">
      <alignment horizontal="right"/>
    </xf>
    <xf numFmtId="0" fontId="9" fillId="4" borderId="0" xfId="0" applyFont="1" applyFill="1" applyAlignment="1">
      <alignment horizontal="left"/>
    </xf>
    <xf numFmtId="0" fontId="0" fillId="4" borderId="0" xfId="0" applyFont="1" applyFill="1" applyAlignment="1">
      <alignment horizontal="right"/>
    </xf>
    <xf numFmtId="0" fontId="10" fillId="0" borderId="0" xfId="0" applyFont="1" applyAlignment="1"/>
    <xf numFmtId="0" fontId="11" fillId="4" borderId="0" xfId="0" applyFont="1" applyFill="1" applyAlignment="1">
      <alignment horizontal="left"/>
    </xf>
    <xf numFmtId="0" fontId="12" fillId="3" borderId="0" xfId="0" applyFont="1" applyFill="1" applyAlignment="1"/>
    <xf numFmtId="0" fontId="12" fillId="3" borderId="0" xfId="0" applyFont="1" applyFill="1"/>
    <xf numFmtId="0" fontId="4" fillId="5" borderId="0" xfId="0" applyFont="1" applyFill="1" applyAlignment="1"/>
    <xf numFmtId="0" fontId="4" fillId="5" borderId="0" xfId="0" applyFont="1" applyFill="1"/>
    <xf numFmtId="0" fontId="4" fillId="6" borderId="0" xfId="0" applyFont="1" applyFill="1" applyAlignment="1"/>
    <xf numFmtId="0" fontId="13" fillId="5" borderId="0" xfId="0" applyFont="1" applyFill="1" applyAlignment="1"/>
    <xf numFmtId="0" fontId="12" fillId="4" borderId="0" xfId="0" applyFont="1" applyFill="1" applyAlignment="1">
      <alignment horizontal="left"/>
    </xf>
    <xf numFmtId="0" fontId="7" fillId="5" borderId="0" xfId="0" applyFont="1" applyFill="1" applyAlignment="1"/>
    <xf numFmtId="0" fontId="7" fillId="5" borderId="0" xfId="0" applyFont="1" applyFill="1"/>
    <xf numFmtId="0" fontId="14" fillId="0" borderId="0" xfId="0" applyFont="1" applyAlignment="1"/>
    <xf numFmtId="0" fontId="16" fillId="0" borderId="0" xfId="0" applyFont="1" applyAlignment="1">
      <alignment horizontal="center"/>
    </xf>
    <xf numFmtId="0" fontId="4" fillId="4" borderId="0" xfId="0" applyFont="1" applyFill="1"/>
    <xf numFmtId="0" fontId="17" fillId="0" borderId="0" xfId="0" applyFont="1" applyAlignment="1">
      <alignment horizontal="right"/>
    </xf>
    <xf numFmtId="0" fontId="18" fillId="0" borderId="0" xfId="0" applyFont="1" applyAlignment="1"/>
    <xf numFmtId="0" fontId="7" fillId="3" borderId="0" xfId="0" applyFont="1" applyFill="1" applyAlignme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Alignment="1">
      <alignment horizontal="center"/>
    </xf>
    <xf numFmtId="1" fontId="21" fillId="0" borderId="0" xfId="1" applyNumberFormat="1" applyFont="1" applyAlignment="1">
      <alignment horizontal="center"/>
    </xf>
    <xf numFmtId="0" fontId="4" fillId="7" borderId="0" xfId="0" applyFont="1" applyFill="1" applyAlignment="1"/>
    <xf numFmtId="0" fontId="12" fillId="8" borderId="0" xfId="0" applyFont="1" applyFill="1" applyAlignment="1"/>
    <xf numFmtId="0" fontId="0" fillId="8" borderId="0" xfId="0" applyFont="1" applyFill="1" applyAlignment="1"/>
    <xf numFmtId="1" fontId="0" fillId="0" borderId="0" xfId="0" applyNumberFormat="1" applyFont="1" applyAlignment="1"/>
    <xf numFmtId="1" fontId="21" fillId="0" borderId="0" xfId="3" applyNumberFormat="1" applyFont="1" applyAlignment="1">
      <alignment horizontal="center"/>
    </xf>
    <xf numFmtId="0" fontId="15" fillId="0" borderId="2" xfId="0" applyFont="1" applyBorder="1" applyAlignment="1">
      <alignment horizontal="center"/>
    </xf>
    <xf numFmtId="0" fontId="7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</cellXfs>
  <cellStyles count="4">
    <cellStyle name="Normálna" xfId="0" builtinId="0"/>
    <cellStyle name="Normálna 2" xfId="1" xr:uid="{648FC48E-3BA3-4B49-B348-C2EEDEA1F4AA}"/>
    <cellStyle name="Normálna 3" xfId="3" xr:uid="{474FA3E7-9A86-4DDE-B02F-698923DBAC76}"/>
    <cellStyle name="normální 2" xfId="2" xr:uid="{E0837004-B8D8-463F-9138-5F7C3D3EE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lang="sk-SK" b="1">
                <a:solidFill>
                  <a:srgbClr val="434343"/>
                </a:solidFill>
                <a:latin typeface="+mn-lt"/>
              </a:rPr>
              <a:t>Histogram relatívnej početnosti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</c:spPr>
          <c:invertIfNegative val="1"/>
          <c:cat>
            <c:numRef>
              <c:f>Hárok1!$H$11:$H$21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Hárok1!$N$11:$N$21</c:f>
              <c:numCache>
                <c:formatCode>General</c:formatCode>
                <c:ptCount val="11"/>
                <c:pt idx="0">
                  <c:v>0.04</c:v>
                </c:pt>
                <c:pt idx="1">
                  <c:v>0.04</c:v>
                </c:pt>
                <c:pt idx="2">
                  <c:v>0.1</c:v>
                </c:pt>
                <c:pt idx="3">
                  <c:v>0.08</c:v>
                </c:pt>
                <c:pt idx="4">
                  <c:v>0.18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</c:v>
                </c:pt>
                <c:pt idx="9">
                  <c:v>0.02</c:v>
                </c:pt>
                <c:pt idx="10">
                  <c:v>0.02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82E-40CE-A0D8-0F462E7B0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1331506"/>
        <c:axId val="47090479"/>
      </c:barChart>
      <c:catAx>
        <c:axId val="1101331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Trieda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47090479"/>
        <c:crosses val="autoZero"/>
        <c:auto val="1"/>
        <c:lblAlgn val="ctr"/>
        <c:lblOffset val="100"/>
        <c:noMultiLvlLbl val="1"/>
      </c:catAx>
      <c:valAx>
        <c:axId val="47090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Relatívna početnosť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110133150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lang="sk-SK" b="1">
                <a:solidFill>
                  <a:srgbClr val="434343"/>
                </a:solidFill>
                <a:latin typeface="+mn-lt"/>
              </a:rPr>
              <a:t>Histogram relatívnej kumulatívnej početnosti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</c:spPr>
          <c:invertIfNegative val="1"/>
          <c:cat>
            <c:numRef>
              <c:f>Hárok1!$H$11:$H$21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Hárok1!$O$11:$O$21</c:f>
              <c:numCache>
                <c:formatCode>General</c:formatCode>
                <c:ptCount val="11"/>
                <c:pt idx="0">
                  <c:v>0.04</c:v>
                </c:pt>
                <c:pt idx="1">
                  <c:v>0.08</c:v>
                </c:pt>
                <c:pt idx="2">
                  <c:v>0.18</c:v>
                </c:pt>
                <c:pt idx="3">
                  <c:v>0.26</c:v>
                </c:pt>
                <c:pt idx="4">
                  <c:v>0.44</c:v>
                </c:pt>
                <c:pt idx="5">
                  <c:v>0.56000000000000005</c:v>
                </c:pt>
                <c:pt idx="6">
                  <c:v>0.70000000000000007</c:v>
                </c:pt>
                <c:pt idx="7">
                  <c:v>0.8600000000000001</c:v>
                </c:pt>
                <c:pt idx="8">
                  <c:v>0.96000000000000008</c:v>
                </c:pt>
                <c:pt idx="9">
                  <c:v>0.98000000000000009</c:v>
                </c:pt>
                <c:pt idx="1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F61-40E0-97E3-3C6FEDF2A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15204"/>
        <c:axId val="1318739464"/>
      </c:barChart>
      <c:catAx>
        <c:axId val="529115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Trieda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1318739464"/>
        <c:crosses val="autoZero"/>
        <c:auto val="1"/>
        <c:lblAlgn val="ctr"/>
        <c:lblOffset val="100"/>
        <c:noMultiLvlLbl val="1"/>
      </c:catAx>
      <c:valAx>
        <c:axId val="1318739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Relatívna kumulatívna početnosť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52911520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sk-SK" b="1">
                <a:solidFill>
                  <a:srgbClr val="000000"/>
                </a:solidFill>
                <a:latin typeface="+mn-lt"/>
              </a:rPr>
              <a:t>Histogram početností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Hárok1!$H$68</c:f>
              <c:strCache>
                <c:ptCount val="1"/>
                <c:pt idx="0">
                  <c:v>Početnosť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numRef>
              <c:f>Hárok1!$F$69:$F$75</c:f>
              <c:numCache>
                <c:formatCode>General</c:formatCode>
                <c:ptCount val="7"/>
                <c:pt idx="0">
                  <c:v>-500.03590909090912</c:v>
                </c:pt>
                <c:pt idx="1">
                  <c:v>0.13954545454545472</c:v>
                </c:pt>
                <c:pt idx="2">
                  <c:v>0.56227272727272748</c:v>
                </c:pt>
                <c:pt idx="3">
                  <c:v>0.98500000000000032</c:v>
                </c:pt>
                <c:pt idx="4">
                  <c:v>1.4077272727272732</c:v>
                </c:pt>
                <c:pt idx="5">
                  <c:v>1.830454545454546</c:v>
                </c:pt>
                <c:pt idx="6">
                  <c:v>501.02090909090907</c:v>
                </c:pt>
              </c:numCache>
            </c:numRef>
          </c:cat>
          <c:val>
            <c:numRef>
              <c:f>Hárok1!$H$69:$H$75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DD3-476A-9343-406EB9839578}"/>
            </c:ext>
          </c:extLst>
        </c:ser>
        <c:ser>
          <c:idx val="1"/>
          <c:order val="1"/>
          <c:tx>
            <c:strRef>
              <c:f>Hárok1!$I$68</c:f>
              <c:strCache>
                <c:ptCount val="1"/>
                <c:pt idx="0">
                  <c:v>Teor. početnosť</c:v>
                </c:pt>
              </c:strCache>
            </c:strRef>
          </c:tx>
          <c:spPr>
            <a:solidFill>
              <a:srgbClr val="EA4335"/>
            </a:solidFill>
          </c:spPr>
          <c:invertIfNegative val="1"/>
          <c:cat>
            <c:numRef>
              <c:f>Hárok1!$F$69:$F$75</c:f>
              <c:numCache>
                <c:formatCode>General</c:formatCode>
                <c:ptCount val="7"/>
                <c:pt idx="0">
                  <c:v>-500.03590909090912</c:v>
                </c:pt>
                <c:pt idx="1">
                  <c:v>0.13954545454545472</c:v>
                </c:pt>
                <c:pt idx="2">
                  <c:v>0.56227272727272748</c:v>
                </c:pt>
                <c:pt idx="3">
                  <c:v>0.98500000000000032</c:v>
                </c:pt>
                <c:pt idx="4">
                  <c:v>1.4077272727272732</c:v>
                </c:pt>
                <c:pt idx="5">
                  <c:v>1.830454545454546</c:v>
                </c:pt>
                <c:pt idx="6">
                  <c:v>501.02090909090907</c:v>
                </c:pt>
              </c:numCache>
            </c:numRef>
          </c:cat>
          <c:val>
            <c:numRef>
              <c:f>Hárok1!$I$69:$I$75</c:f>
              <c:numCache>
                <c:formatCode>General</c:formatCode>
                <c:ptCount val="7"/>
                <c:pt idx="0">
                  <c:v>7.9038315517296605</c:v>
                </c:pt>
                <c:pt idx="1">
                  <c:v>6.0556050434306243</c:v>
                </c:pt>
                <c:pt idx="2">
                  <c:v>7.7029370593191482</c:v>
                </c:pt>
                <c:pt idx="3">
                  <c:v>8.2541609354352783</c:v>
                </c:pt>
                <c:pt idx="4">
                  <c:v>7.4508977470312381</c:v>
                </c:pt>
                <c:pt idx="5">
                  <c:v>5.6658023406751079</c:v>
                </c:pt>
                <c:pt idx="6">
                  <c:v>6.9667653223789427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FDD3-476A-9343-406EB9839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8536573"/>
        <c:axId val="464152577"/>
      </c:barChart>
      <c:catAx>
        <c:axId val="628536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Stred triedy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464152577"/>
        <c:crosses val="autoZero"/>
        <c:auto val="1"/>
        <c:lblAlgn val="ctr"/>
        <c:lblOffset val="100"/>
        <c:noMultiLvlLbl val="1"/>
      </c:catAx>
      <c:valAx>
        <c:axId val="464152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sk-SK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6285365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k-SK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Regresn</a:t>
            </a:r>
            <a:r>
              <a:rPr lang="sk-SK"/>
              <a:t>á </a:t>
            </a:r>
            <a:r>
              <a:rPr lang="en-GB"/>
              <a:t>p</a:t>
            </a:r>
            <a:r>
              <a:rPr lang="sk-SK"/>
              <a:t>ria</a:t>
            </a:r>
            <a:r>
              <a:rPr lang="en-GB"/>
              <a:t>mka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Hárok2!$C$69:$C$79</c:f>
              <c:numCache>
                <c:formatCode>General</c:formatCode>
                <c:ptCount val="11"/>
                <c:pt idx="0">
                  <c:v>56.634502667378996</c:v>
                </c:pt>
                <c:pt idx="1">
                  <c:v>62.088089075872489</c:v>
                </c:pt>
                <c:pt idx="2">
                  <c:v>67.541675484365982</c:v>
                </c:pt>
                <c:pt idx="3">
                  <c:v>72.995261892859475</c:v>
                </c:pt>
                <c:pt idx="4">
                  <c:v>78.448848301352939</c:v>
                </c:pt>
                <c:pt idx="5">
                  <c:v>83.902434709846432</c:v>
                </c:pt>
                <c:pt idx="6">
                  <c:v>89.356021118339925</c:v>
                </c:pt>
                <c:pt idx="7">
                  <c:v>94.809607526833418</c:v>
                </c:pt>
                <c:pt idx="8">
                  <c:v>100.26319393532691</c:v>
                </c:pt>
                <c:pt idx="9">
                  <c:v>105.7167803438204</c:v>
                </c:pt>
                <c:pt idx="10">
                  <c:v>111.17036675231387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D-430E-93A0-5F19AC5D3D1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7C6D"/>
              </a:solidFill>
              <a:ln w="15875">
                <a:noFill/>
              </a:ln>
              <a:effectLst/>
            </c:spPr>
          </c:marker>
          <c:xVal>
            <c:numRef>
              <c:f>Hárok2!$B$43:$B$62</c:f>
              <c:numCache>
                <c:formatCode>General</c:formatCode>
                <c:ptCount val="20"/>
                <c:pt idx="0">
                  <c:v>166</c:v>
                </c:pt>
                <c:pt idx="1">
                  <c:v>152</c:v>
                </c:pt>
                <c:pt idx="2">
                  <c:v>154</c:v>
                </c:pt>
                <c:pt idx="3">
                  <c:v>155</c:v>
                </c:pt>
                <c:pt idx="4">
                  <c:v>190</c:v>
                </c:pt>
                <c:pt idx="5">
                  <c:v>182</c:v>
                </c:pt>
                <c:pt idx="6">
                  <c:v>153</c:v>
                </c:pt>
                <c:pt idx="7">
                  <c:v>193</c:v>
                </c:pt>
                <c:pt idx="8">
                  <c:v>191</c:v>
                </c:pt>
                <c:pt idx="9">
                  <c:v>166</c:v>
                </c:pt>
                <c:pt idx="10">
                  <c:v>164</c:v>
                </c:pt>
                <c:pt idx="11">
                  <c:v>186</c:v>
                </c:pt>
                <c:pt idx="12">
                  <c:v>175</c:v>
                </c:pt>
                <c:pt idx="13">
                  <c:v>154</c:v>
                </c:pt>
                <c:pt idx="14">
                  <c:v>200</c:v>
                </c:pt>
                <c:pt idx="15">
                  <c:v>199</c:v>
                </c:pt>
                <c:pt idx="16">
                  <c:v>164</c:v>
                </c:pt>
                <c:pt idx="17">
                  <c:v>200</c:v>
                </c:pt>
                <c:pt idx="18">
                  <c:v>180</c:v>
                </c:pt>
                <c:pt idx="19">
                  <c:v>158</c:v>
                </c:pt>
              </c:numCache>
            </c:numRef>
          </c:xVal>
          <c:yVal>
            <c:numRef>
              <c:f>Hárok2!$C$43:$C$62</c:f>
              <c:numCache>
                <c:formatCode>General</c:formatCode>
                <c:ptCount val="20"/>
                <c:pt idx="0">
                  <c:v>67.092187854469032</c:v>
                </c:pt>
                <c:pt idx="1">
                  <c:v>52.275136156244642</c:v>
                </c:pt>
                <c:pt idx="2">
                  <c:v>78.472464405395215</c:v>
                </c:pt>
                <c:pt idx="3">
                  <c:v>57.281291138311616</c:v>
                </c:pt>
                <c:pt idx="4">
                  <c:v>108.81726243140818</c:v>
                </c:pt>
                <c:pt idx="5">
                  <c:v>96.869579080583492</c:v>
                </c:pt>
                <c:pt idx="6">
                  <c:v>58.291228804815773</c:v>
                </c:pt>
                <c:pt idx="7">
                  <c:v>95.117538044840174</c:v>
                </c:pt>
                <c:pt idx="8">
                  <c:v>97.749078257660415</c:v>
                </c:pt>
                <c:pt idx="9">
                  <c:v>81.741693732823038</c:v>
                </c:pt>
                <c:pt idx="10">
                  <c:v>67.650352904768113</c:v>
                </c:pt>
                <c:pt idx="11">
                  <c:v>89.875038728747697</c:v>
                </c:pt>
                <c:pt idx="12">
                  <c:v>85.406150991065601</c:v>
                </c:pt>
                <c:pt idx="13">
                  <c:v>54.304659597564246</c:v>
                </c:pt>
                <c:pt idx="14">
                  <c:v>104.0342304661738</c:v>
                </c:pt>
                <c:pt idx="15">
                  <c:v>109.96838634967632</c:v>
                </c:pt>
                <c:pt idx="16">
                  <c:v>75.426975327530513</c:v>
                </c:pt>
                <c:pt idx="17">
                  <c:v>118.99800675675837</c:v>
                </c:pt>
                <c:pt idx="18">
                  <c:v>94.402723077225801</c:v>
                </c:pt>
                <c:pt idx="19">
                  <c:v>64.641799020289852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6D-430E-93A0-5F19AC5D3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23192"/>
        <c:axId val="471424504"/>
      </c:scatterChart>
      <c:valAx>
        <c:axId val="471423192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Výška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71424504"/>
        <c:crosses val="autoZero"/>
        <c:crossBetween val="midCat"/>
      </c:valAx>
      <c:valAx>
        <c:axId val="47142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Váha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71423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Pás spo</a:t>
            </a:r>
            <a:r>
              <a:rPr lang="sk-SK"/>
              <a:t>ľa</a:t>
            </a:r>
            <a:r>
              <a:rPr lang="en-GB"/>
              <a:t>hlivosti pr</a:t>
            </a:r>
            <a:r>
              <a:rPr lang="sk-SK"/>
              <a:t>e</a:t>
            </a:r>
            <a:r>
              <a:rPr lang="en-GB"/>
              <a:t> st</a:t>
            </a:r>
            <a:r>
              <a:rPr lang="sk-SK"/>
              <a:t>r</a:t>
            </a:r>
            <a:r>
              <a:rPr lang="en-GB"/>
              <a:t>edn</a:t>
            </a:r>
            <a:r>
              <a:rPr lang="sk-SK"/>
              <a:t>ú </a:t>
            </a:r>
            <a:r>
              <a:rPr lang="en-GB"/>
              <a:t>hodnotu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Hárok2!$C$69:$C$79</c:f>
              <c:numCache>
                <c:formatCode>General</c:formatCode>
                <c:ptCount val="11"/>
                <c:pt idx="0">
                  <c:v>56.634502667378996</c:v>
                </c:pt>
                <c:pt idx="1">
                  <c:v>62.088089075872489</c:v>
                </c:pt>
                <c:pt idx="2">
                  <c:v>67.541675484365982</c:v>
                </c:pt>
                <c:pt idx="3">
                  <c:v>72.995261892859475</c:v>
                </c:pt>
                <c:pt idx="4">
                  <c:v>78.448848301352939</c:v>
                </c:pt>
                <c:pt idx="5">
                  <c:v>83.902434709846432</c:v>
                </c:pt>
                <c:pt idx="6">
                  <c:v>89.356021118339925</c:v>
                </c:pt>
                <c:pt idx="7">
                  <c:v>94.809607526833418</c:v>
                </c:pt>
                <c:pt idx="8">
                  <c:v>100.26319393532691</c:v>
                </c:pt>
                <c:pt idx="9">
                  <c:v>105.7167803438204</c:v>
                </c:pt>
                <c:pt idx="10">
                  <c:v>111.17036675231387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D4-43BD-AB59-B9058687388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Hárok2!$D$69:$D$79</c:f>
              <c:numCache>
                <c:formatCode>General</c:formatCode>
                <c:ptCount val="11"/>
                <c:pt idx="0">
                  <c:v>50.817304689476828</c:v>
                </c:pt>
                <c:pt idx="1">
                  <c:v>57.043790989775417</c:v>
                </c:pt>
                <c:pt idx="2">
                  <c:v>63.183539855137752</c:v>
                </c:pt>
                <c:pt idx="3">
                  <c:v>69.189345280774177</c:v>
                </c:pt>
                <c:pt idx="4">
                  <c:v>74.99632625687623</c:v>
                </c:pt>
                <c:pt idx="5">
                  <c:v>80.541174858079415</c:v>
                </c:pt>
                <c:pt idx="6">
                  <c:v>85.803630482633238</c:v>
                </c:pt>
                <c:pt idx="7">
                  <c:v>90.824115991242778</c:v>
                </c:pt>
                <c:pt idx="8">
                  <c:v>95.670584824382985</c:v>
                </c:pt>
                <c:pt idx="9">
                  <c:v>100.40234469874594</c:v>
                </c:pt>
                <c:pt idx="10">
                  <c:v>105.05991291324402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D4-43BD-AB59-B9058687388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Hárok2!$E$69:$E$79</c:f>
              <c:numCache>
                <c:formatCode>General</c:formatCode>
                <c:ptCount val="11"/>
                <c:pt idx="0">
                  <c:v>62.451700645281164</c:v>
                </c:pt>
                <c:pt idx="1">
                  <c:v>67.132387161969561</c:v>
                </c:pt>
                <c:pt idx="2">
                  <c:v>71.899811113594211</c:v>
                </c:pt>
                <c:pt idx="3">
                  <c:v>76.801178504944772</c:v>
                </c:pt>
                <c:pt idx="4">
                  <c:v>81.901370345829648</c:v>
                </c:pt>
                <c:pt idx="5">
                  <c:v>87.263694561613448</c:v>
                </c:pt>
                <c:pt idx="6">
                  <c:v>92.908411754046611</c:v>
                </c:pt>
                <c:pt idx="7">
                  <c:v>98.795099062424057</c:v>
                </c:pt>
                <c:pt idx="8">
                  <c:v>104.85580304627084</c:v>
                </c:pt>
                <c:pt idx="9">
                  <c:v>111.03121598889487</c:v>
                </c:pt>
                <c:pt idx="10">
                  <c:v>117.28082059138372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D4-43BD-AB59-B90586873885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Hárok2!$B$43:$B$62</c:f>
              <c:numCache>
                <c:formatCode>General</c:formatCode>
                <c:ptCount val="20"/>
                <c:pt idx="0">
                  <c:v>166</c:v>
                </c:pt>
                <c:pt idx="1">
                  <c:v>152</c:v>
                </c:pt>
                <c:pt idx="2">
                  <c:v>154</c:v>
                </c:pt>
                <c:pt idx="3">
                  <c:v>155</c:v>
                </c:pt>
                <c:pt idx="4">
                  <c:v>190</c:v>
                </c:pt>
                <c:pt idx="5">
                  <c:v>182</c:v>
                </c:pt>
                <c:pt idx="6">
                  <c:v>153</c:v>
                </c:pt>
                <c:pt idx="7">
                  <c:v>193</c:v>
                </c:pt>
                <c:pt idx="8">
                  <c:v>191</c:v>
                </c:pt>
                <c:pt idx="9">
                  <c:v>166</c:v>
                </c:pt>
                <c:pt idx="10">
                  <c:v>164</c:v>
                </c:pt>
                <c:pt idx="11">
                  <c:v>186</c:v>
                </c:pt>
                <c:pt idx="12">
                  <c:v>175</c:v>
                </c:pt>
                <c:pt idx="13">
                  <c:v>154</c:v>
                </c:pt>
                <c:pt idx="14">
                  <c:v>200</c:v>
                </c:pt>
                <c:pt idx="15">
                  <c:v>199</c:v>
                </c:pt>
                <c:pt idx="16">
                  <c:v>164</c:v>
                </c:pt>
                <c:pt idx="17">
                  <c:v>200</c:v>
                </c:pt>
                <c:pt idx="18">
                  <c:v>180</c:v>
                </c:pt>
                <c:pt idx="19">
                  <c:v>158</c:v>
                </c:pt>
              </c:numCache>
            </c:numRef>
          </c:xVal>
          <c:yVal>
            <c:numRef>
              <c:f>Hárok2!$C$43:$C$62</c:f>
              <c:numCache>
                <c:formatCode>General</c:formatCode>
                <c:ptCount val="20"/>
                <c:pt idx="0">
                  <c:v>67.092187854469032</c:v>
                </c:pt>
                <c:pt idx="1">
                  <c:v>52.275136156244642</c:v>
                </c:pt>
                <c:pt idx="2">
                  <c:v>78.472464405395215</c:v>
                </c:pt>
                <c:pt idx="3">
                  <c:v>57.281291138311616</c:v>
                </c:pt>
                <c:pt idx="4">
                  <c:v>108.81726243140818</c:v>
                </c:pt>
                <c:pt idx="5">
                  <c:v>96.869579080583492</c:v>
                </c:pt>
                <c:pt idx="6">
                  <c:v>58.291228804815773</c:v>
                </c:pt>
                <c:pt idx="7">
                  <c:v>95.117538044840174</c:v>
                </c:pt>
                <c:pt idx="8">
                  <c:v>97.749078257660415</c:v>
                </c:pt>
                <c:pt idx="9">
                  <c:v>81.741693732823038</c:v>
                </c:pt>
                <c:pt idx="10">
                  <c:v>67.650352904768113</c:v>
                </c:pt>
                <c:pt idx="11">
                  <c:v>89.875038728747697</c:v>
                </c:pt>
                <c:pt idx="12">
                  <c:v>85.406150991065601</c:v>
                </c:pt>
                <c:pt idx="13">
                  <c:v>54.304659597564246</c:v>
                </c:pt>
                <c:pt idx="14">
                  <c:v>104.0342304661738</c:v>
                </c:pt>
                <c:pt idx="15">
                  <c:v>109.96838634967632</c:v>
                </c:pt>
                <c:pt idx="16">
                  <c:v>75.426975327530513</c:v>
                </c:pt>
                <c:pt idx="17">
                  <c:v>118.99800675675837</c:v>
                </c:pt>
                <c:pt idx="18">
                  <c:v>94.402723077225801</c:v>
                </c:pt>
                <c:pt idx="19">
                  <c:v>64.641799020289852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8D4-43BD-AB59-B90586873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918416"/>
        <c:axId val="661919072"/>
      </c:scatterChart>
      <c:valAx>
        <c:axId val="661918416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Výška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9072"/>
        <c:crosses val="autoZero"/>
        <c:crossBetween val="midCat"/>
      </c:valAx>
      <c:valAx>
        <c:axId val="6619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Váha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Pás spo</a:t>
            </a:r>
            <a:r>
              <a:rPr lang="sk-SK"/>
              <a:t>ľa</a:t>
            </a:r>
            <a:r>
              <a:rPr lang="en-GB"/>
              <a:t>hlivosti pr</a:t>
            </a:r>
            <a:r>
              <a:rPr lang="sk-SK"/>
              <a:t>e</a:t>
            </a:r>
            <a:r>
              <a:rPr lang="en-GB"/>
              <a:t> individuáln</a:t>
            </a:r>
            <a:r>
              <a:rPr lang="sk-SK"/>
              <a:t>u</a:t>
            </a:r>
            <a:r>
              <a:rPr lang="en-GB"/>
              <a:t> hodnotu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Hárok2!$C$69:$C$79</c:f>
              <c:numCache>
                <c:formatCode>General</c:formatCode>
                <c:ptCount val="11"/>
                <c:pt idx="0">
                  <c:v>56.634502667378996</c:v>
                </c:pt>
                <c:pt idx="1">
                  <c:v>62.088089075872489</c:v>
                </c:pt>
                <c:pt idx="2">
                  <c:v>67.541675484365982</c:v>
                </c:pt>
                <c:pt idx="3">
                  <c:v>72.995261892859475</c:v>
                </c:pt>
                <c:pt idx="4">
                  <c:v>78.448848301352939</c:v>
                </c:pt>
                <c:pt idx="5">
                  <c:v>83.902434709846432</c:v>
                </c:pt>
                <c:pt idx="6">
                  <c:v>89.356021118339925</c:v>
                </c:pt>
                <c:pt idx="7">
                  <c:v>94.809607526833418</c:v>
                </c:pt>
                <c:pt idx="8">
                  <c:v>100.26319393532691</c:v>
                </c:pt>
                <c:pt idx="9">
                  <c:v>105.7167803438204</c:v>
                </c:pt>
                <c:pt idx="10">
                  <c:v>111.17036675231387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24-4E97-81D4-790A42B1B40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Hárok2!$F$69:$F$79</c:f>
              <c:numCache>
                <c:formatCode>General</c:formatCode>
                <c:ptCount val="11"/>
                <c:pt idx="0">
                  <c:v>40.535697293961583</c:v>
                </c:pt>
                <c:pt idx="1">
                  <c:v>46.252158875266439</c:v>
                </c:pt>
                <c:pt idx="2">
                  <c:v>51.91077377333815</c:v>
                </c:pt>
                <c:pt idx="3">
                  <c:v>57.509244218996024</c:v>
                </c:pt>
                <c:pt idx="4">
                  <c:v>63.045872919802079</c:v>
                </c:pt>
                <c:pt idx="5">
                  <c:v>68.519658304783363</c:v>
                </c:pt>
                <c:pt idx="6">
                  <c:v>73.930353503428705</c:v>
                </c:pt>
                <c:pt idx="7">
                  <c:v>79.278481202019464</c:v>
                </c:pt>
                <c:pt idx="8">
                  <c:v>84.565302338587259</c:v>
                </c:pt>
                <c:pt idx="9">
                  <c:v>89.79274290469391</c:v>
                </c:pt>
                <c:pt idx="10">
                  <c:v>94.963288414239855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24-4E97-81D4-790A42B1B40B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Hárok2!$G$69:$G$79</c:f>
              <c:numCache>
                <c:formatCode>General</c:formatCode>
                <c:ptCount val="11"/>
                <c:pt idx="0">
                  <c:v>72.733308040796402</c:v>
                </c:pt>
                <c:pt idx="1">
                  <c:v>77.924019276478546</c:v>
                </c:pt>
                <c:pt idx="2">
                  <c:v>83.172577195393814</c:v>
                </c:pt>
                <c:pt idx="3">
                  <c:v>88.481279566722918</c:v>
                </c:pt>
                <c:pt idx="4">
                  <c:v>93.851823682903799</c:v>
                </c:pt>
                <c:pt idx="5">
                  <c:v>99.285211114909501</c:v>
                </c:pt>
                <c:pt idx="6">
                  <c:v>104.78168873325114</c:v>
                </c:pt>
                <c:pt idx="7">
                  <c:v>110.34073385164737</c:v>
                </c:pt>
                <c:pt idx="8">
                  <c:v>115.96108553206656</c:v>
                </c:pt>
                <c:pt idx="9">
                  <c:v>121.6408177829469</c:v>
                </c:pt>
                <c:pt idx="10">
                  <c:v>127.37744509038788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C24-4E97-81D4-790A42B1B40B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Hárok2!$B$43:$B$62</c:f>
              <c:numCache>
                <c:formatCode>General</c:formatCode>
                <c:ptCount val="20"/>
                <c:pt idx="0">
                  <c:v>166</c:v>
                </c:pt>
                <c:pt idx="1">
                  <c:v>152</c:v>
                </c:pt>
                <c:pt idx="2">
                  <c:v>154</c:v>
                </c:pt>
                <c:pt idx="3">
                  <c:v>155</c:v>
                </c:pt>
                <c:pt idx="4">
                  <c:v>190</c:v>
                </c:pt>
                <c:pt idx="5">
                  <c:v>182</c:v>
                </c:pt>
                <c:pt idx="6">
                  <c:v>153</c:v>
                </c:pt>
                <c:pt idx="7">
                  <c:v>193</c:v>
                </c:pt>
                <c:pt idx="8">
                  <c:v>191</c:v>
                </c:pt>
                <c:pt idx="9">
                  <c:v>166</c:v>
                </c:pt>
                <c:pt idx="10">
                  <c:v>164</c:v>
                </c:pt>
                <c:pt idx="11">
                  <c:v>186</c:v>
                </c:pt>
                <c:pt idx="12">
                  <c:v>175</c:v>
                </c:pt>
                <c:pt idx="13">
                  <c:v>154</c:v>
                </c:pt>
                <c:pt idx="14">
                  <c:v>200</c:v>
                </c:pt>
                <c:pt idx="15">
                  <c:v>199</c:v>
                </c:pt>
                <c:pt idx="16">
                  <c:v>164</c:v>
                </c:pt>
                <c:pt idx="17">
                  <c:v>200</c:v>
                </c:pt>
                <c:pt idx="18">
                  <c:v>180</c:v>
                </c:pt>
                <c:pt idx="19">
                  <c:v>158</c:v>
                </c:pt>
              </c:numCache>
            </c:numRef>
          </c:xVal>
          <c:yVal>
            <c:numRef>
              <c:f>Hárok2!$C$43:$C$62</c:f>
              <c:numCache>
                <c:formatCode>General</c:formatCode>
                <c:ptCount val="20"/>
                <c:pt idx="0">
                  <c:v>67.092187854469032</c:v>
                </c:pt>
                <c:pt idx="1">
                  <c:v>52.275136156244642</c:v>
                </c:pt>
                <c:pt idx="2">
                  <c:v>78.472464405395215</c:v>
                </c:pt>
                <c:pt idx="3">
                  <c:v>57.281291138311616</c:v>
                </c:pt>
                <c:pt idx="4">
                  <c:v>108.81726243140818</c:v>
                </c:pt>
                <c:pt idx="5">
                  <c:v>96.869579080583492</c:v>
                </c:pt>
                <c:pt idx="6">
                  <c:v>58.291228804815773</c:v>
                </c:pt>
                <c:pt idx="7">
                  <c:v>95.117538044840174</c:v>
                </c:pt>
                <c:pt idx="8">
                  <c:v>97.749078257660415</c:v>
                </c:pt>
                <c:pt idx="9">
                  <c:v>81.741693732823038</c:v>
                </c:pt>
                <c:pt idx="10">
                  <c:v>67.650352904768113</c:v>
                </c:pt>
                <c:pt idx="11">
                  <c:v>89.875038728747697</c:v>
                </c:pt>
                <c:pt idx="12">
                  <c:v>85.406150991065601</c:v>
                </c:pt>
                <c:pt idx="13">
                  <c:v>54.304659597564246</c:v>
                </c:pt>
                <c:pt idx="14">
                  <c:v>104.0342304661738</c:v>
                </c:pt>
                <c:pt idx="15">
                  <c:v>109.96838634967632</c:v>
                </c:pt>
                <c:pt idx="16">
                  <c:v>75.426975327530513</c:v>
                </c:pt>
                <c:pt idx="17">
                  <c:v>118.99800675675837</c:v>
                </c:pt>
                <c:pt idx="18">
                  <c:v>94.402723077225801</c:v>
                </c:pt>
                <c:pt idx="19">
                  <c:v>64.641799020289852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C24-4E97-81D4-790A42B1B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918416"/>
        <c:axId val="661919072"/>
      </c:scatterChart>
      <c:valAx>
        <c:axId val="661918416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Výška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9072"/>
        <c:crosses val="autoZero"/>
        <c:crossBetween val="midCat"/>
      </c:valAx>
      <c:valAx>
        <c:axId val="6619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Váha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</xdr:row>
      <xdr:rowOff>76201</xdr:rowOff>
    </xdr:from>
    <xdr:ext cx="5181600" cy="3028950"/>
    <xdr:graphicFrame macro="">
      <xdr:nvGraphicFramePr>
        <xdr:cNvPr id="2" name="Chart 1" title="Gra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1724025</xdr:colOff>
      <xdr:row>26</xdr:row>
      <xdr:rowOff>38100</xdr:rowOff>
    </xdr:from>
    <xdr:ext cx="5162550" cy="2847975"/>
    <xdr:graphicFrame macro="">
      <xdr:nvGraphicFramePr>
        <xdr:cNvPr id="3" name="Chart 2" title="Gra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1724025</xdr:colOff>
      <xdr:row>81</xdr:row>
      <xdr:rowOff>180975</xdr:rowOff>
    </xdr:from>
    <xdr:ext cx="5715000" cy="3533775"/>
    <xdr:graphicFrame macro="">
      <xdr:nvGraphicFramePr>
        <xdr:cNvPr id="4" name="Chart 3" title="Gra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83</xdr:row>
      <xdr:rowOff>47625</xdr:rowOff>
    </xdr:from>
    <xdr:to>
      <xdr:col>6</xdr:col>
      <xdr:colOff>130725</xdr:colOff>
      <xdr:row>95</xdr:row>
      <xdr:rowOff>150040</xdr:rowOff>
    </xdr:to>
    <xdr:graphicFrame macro="">
      <xdr:nvGraphicFramePr>
        <xdr:cNvPr id="2" name="Graf 4">
          <a:extLst>
            <a:ext uri="{FF2B5EF4-FFF2-40B4-BE49-F238E27FC236}">
              <a16:creationId xmlns:a16="http://schemas.microsoft.com/office/drawing/2014/main" id="{F92561AC-8248-4221-AF12-2D1635EA0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96</xdr:row>
      <xdr:rowOff>161925</xdr:rowOff>
    </xdr:from>
    <xdr:to>
      <xdr:col>6</xdr:col>
      <xdr:colOff>125282</xdr:colOff>
      <xdr:row>109</xdr:row>
      <xdr:rowOff>180025</xdr:rowOff>
    </xdr:to>
    <xdr:graphicFrame macro="">
      <xdr:nvGraphicFramePr>
        <xdr:cNvPr id="3" name="Graf 5">
          <a:extLst>
            <a:ext uri="{FF2B5EF4-FFF2-40B4-BE49-F238E27FC236}">
              <a16:creationId xmlns:a16="http://schemas.microsoft.com/office/drawing/2014/main" id="{475FBE80-1912-4571-B027-4BE309245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110</xdr:row>
      <xdr:rowOff>152400</xdr:rowOff>
    </xdr:from>
    <xdr:to>
      <xdr:col>6</xdr:col>
      <xdr:colOff>93130</xdr:colOff>
      <xdr:row>123</xdr:row>
      <xdr:rowOff>79131</xdr:rowOff>
    </xdr:to>
    <xdr:graphicFrame macro="">
      <xdr:nvGraphicFramePr>
        <xdr:cNvPr id="4" name="Graf 6">
          <a:extLst>
            <a:ext uri="{FF2B5EF4-FFF2-40B4-BE49-F238E27FC236}">
              <a16:creationId xmlns:a16="http://schemas.microsoft.com/office/drawing/2014/main" id="{9BFE95D2-8817-4849-BDCC-A4850F984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cscistatistics.com/tests/studentttest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Y214"/>
  <sheetViews>
    <sheetView topLeftCell="B64" workbookViewId="0">
      <selection activeCell="F86" sqref="F86"/>
    </sheetView>
  </sheetViews>
  <sheetFormatPr defaultColWidth="14.42578125" defaultRowHeight="15.75" customHeight="1"/>
  <cols>
    <col min="2" max="2" width="26.140625" customWidth="1"/>
    <col min="3" max="3" width="39.85546875" customWidth="1"/>
    <col min="4" max="4" width="26" customWidth="1"/>
    <col min="5" max="5" width="28.140625" customWidth="1"/>
    <col min="6" max="6" width="37.28515625" customWidth="1"/>
    <col min="11" max="11" width="10.42578125" customWidth="1"/>
    <col min="12" max="12" width="15" customWidth="1"/>
    <col min="13" max="13" width="12" customWidth="1"/>
    <col min="14" max="15" width="16.140625" customWidth="1"/>
  </cols>
  <sheetData>
    <row r="2" spans="1:15" ht="15.75" customHeight="1">
      <c r="A2" s="1">
        <v>19</v>
      </c>
      <c r="E2" s="2" t="s">
        <v>0</v>
      </c>
      <c r="F2" s="3">
        <f>MIN(A5:A54)</f>
        <v>-1.34</v>
      </c>
    </row>
    <row r="3" spans="1:15" ht="15.75" customHeight="1">
      <c r="A3" s="4" t="s">
        <v>1</v>
      </c>
      <c r="E3" s="2" t="s">
        <v>2</v>
      </c>
      <c r="F3" s="3">
        <f>MAX(A5:A54)</f>
        <v>3.31</v>
      </c>
    </row>
    <row r="4" spans="1:15" ht="15.75" customHeight="1">
      <c r="A4" s="4" t="s">
        <v>3</v>
      </c>
      <c r="B4" s="5" t="s">
        <v>4</v>
      </c>
      <c r="E4" s="2" t="s">
        <v>5</v>
      </c>
      <c r="F4" s="6" t="str">
        <f>"&lt;"&amp;F2&amp;" ; "&amp;F3&amp;"&gt;"</f>
        <v>&lt;-1,34 ; 3,31&gt;</v>
      </c>
    </row>
    <row r="5" spans="1:15" ht="12.75">
      <c r="A5" s="37">
        <v>0.11</v>
      </c>
      <c r="B5" s="8" cm="1">
        <f t="array" ref="B5:B54">_xlfn._xlws.SORT(A5:A54)</f>
        <v>-1.34</v>
      </c>
      <c r="E5" s="2" t="s">
        <v>6</v>
      </c>
      <c r="F5" s="3">
        <f>F3-F2</f>
        <v>4.6500000000000004</v>
      </c>
      <c r="H5" s="2"/>
    </row>
    <row r="6" spans="1:15" ht="12.75">
      <c r="A6" s="37">
        <v>1.17</v>
      </c>
      <c r="B6" s="8">
        <v>-0.98</v>
      </c>
      <c r="E6" s="2" t="s">
        <v>7</v>
      </c>
      <c r="F6" s="9">
        <v>11</v>
      </c>
    </row>
    <row r="7" spans="1:15" ht="12.75">
      <c r="A7" s="37">
        <v>2.57</v>
      </c>
      <c r="B7" s="8">
        <v>-0.85</v>
      </c>
      <c r="E7" s="2" t="s">
        <v>8</v>
      </c>
      <c r="F7" s="3">
        <f>F5/F6</f>
        <v>0.42272727272727278</v>
      </c>
      <c r="H7" s="2"/>
    </row>
    <row r="8" spans="1:15" ht="12.75">
      <c r="A8" s="37">
        <v>1.77</v>
      </c>
      <c r="B8" s="8">
        <v>-0.51</v>
      </c>
      <c r="E8" s="2" t="s">
        <v>9</v>
      </c>
      <c r="F8" s="3">
        <f>COUNTA(B5:B54)</f>
        <v>50</v>
      </c>
    </row>
    <row r="9" spans="1:15" ht="12.75">
      <c r="A9" s="37">
        <v>0.88</v>
      </c>
      <c r="B9" s="8">
        <v>-0.35</v>
      </c>
      <c r="H9" s="10" t="s">
        <v>10</v>
      </c>
    </row>
    <row r="10" spans="1:15" ht="12.75">
      <c r="A10" s="37">
        <v>1.45</v>
      </c>
      <c r="B10" s="8">
        <v>-0.32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</row>
    <row r="11" spans="1:15" ht="12.75">
      <c r="A11" s="37">
        <v>1.78</v>
      </c>
      <c r="B11" s="8">
        <v>-0.28999999999999998</v>
      </c>
      <c r="H11" s="2">
        <v>1</v>
      </c>
      <c r="I11" s="3">
        <f>B5</f>
        <v>-1.34</v>
      </c>
      <c r="J11" s="3">
        <f t="shared" ref="J11:J19" si="0">I12</f>
        <v>-0.91727272727272724</v>
      </c>
      <c r="K11" s="3">
        <f t="shared" ref="K11:K21" si="1">(I11+J11)/2</f>
        <v>-1.1286363636363637</v>
      </c>
      <c r="L11" s="3">
        <f>M11</f>
        <v>2</v>
      </c>
      <c r="M11" s="3">
        <f t="shared" ref="M11:M19" si="2">COUNTIFS($B$5:$B$54,"&gt;="&amp;I11, $B$5:$B$54, "&lt;"&amp;J11)</f>
        <v>2</v>
      </c>
      <c r="N11" s="3">
        <f t="shared" ref="N11:N21" si="3">M11/SUM($M$11:$M$21)</f>
        <v>0.04</v>
      </c>
      <c r="O11" s="3">
        <f>N11</f>
        <v>0.04</v>
      </c>
    </row>
    <row r="12" spans="1:15" ht="12.75">
      <c r="A12" s="37">
        <v>1.56</v>
      </c>
      <c r="B12" s="8">
        <v>-0.25</v>
      </c>
      <c r="H12" s="2">
        <v>2</v>
      </c>
      <c r="I12" s="3">
        <f>I11+F7</f>
        <v>-0.91727272727272724</v>
      </c>
      <c r="J12" s="3">
        <f t="shared" si="0"/>
        <v>-0.49454545454545445</v>
      </c>
      <c r="K12" s="3">
        <f t="shared" si="1"/>
        <v>-0.70590909090909082</v>
      </c>
      <c r="L12" s="3">
        <f t="shared" ref="L12:L21" si="4">L11+M12</f>
        <v>4</v>
      </c>
      <c r="M12" s="3">
        <f t="shared" si="2"/>
        <v>2</v>
      </c>
      <c r="N12" s="3">
        <f t="shared" si="3"/>
        <v>0.04</v>
      </c>
      <c r="O12" s="3">
        <f t="shared" ref="O12:O21" si="5">N12+O11</f>
        <v>0.08</v>
      </c>
    </row>
    <row r="13" spans="1:15" ht="12.75">
      <c r="A13" s="37">
        <v>1.01</v>
      </c>
      <c r="B13" s="8">
        <v>-0.2</v>
      </c>
      <c r="H13" s="2">
        <v>3</v>
      </c>
      <c r="I13" s="3">
        <f>I12+F7</f>
        <v>-0.49454545454545445</v>
      </c>
      <c r="J13" s="3">
        <f t="shared" si="0"/>
        <v>-7.181818181818167E-2</v>
      </c>
      <c r="K13" s="3">
        <f t="shared" si="1"/>
        <v>-0.28318181818181809</v>
      </c>
      <c r="L13" s="3">
        <f t="shared" si="4"/>
        <v>9</v>
      </c>
      <c r="M13" s="3">
        <f t="shared" si="2"/>
        <v>5</v>
      </c>
      <c r="N13" s="3">
        <f t="shared" si="3"/>
        <v>0.1</v>
      </c>
      <c r="O13" s="3">
        <f t="shared" si="5"/>
        <v>0.18</v>
      </c>
    </row>
    <row r="14" spans="1:15" ht="12.75">
      <c r="A14" s="37">
        <v>2.25</v>
      </c>
      <c r="B14" s="8">
        <v>-0.01</v>
      </c>
      <c r="H14" s="2">
        <v>4</v>
      </c>
      <c r="I14" s="3">
        <f>I13+F7</f>
        <v>-7.181818181818167E-2</v>
      </c>
      <c r="J14" s="3">
        <f t="shared" si="0"/>
        <v>0.35090909090909111</v>
      </c>
      <c r="K14" s="3">
        <f t="shared" si="1"/>
        <v>0.13954545454545472</v>
      </c>
      <c r="L14" s="3">
        <f t="shared" si="4"/>
        <v>13</v>
      </c>
      <c r="M14" s="3">
        <f t="shared" si="2"/>
        <v>4</v>
      </c>
      <c r="N14" s="3">
        <f t="shared" si="3"/>
        <v>0.08</v>
      </c>
      <c r="O14" s="3">
        <f t="shared" si="5"/>
        <v>0.26</v>
      </c>
    </row>
    <row r="15" spans="1:15" ht="12.75">
      <c r="A15" s="37">
        <v>0.46</v>
      </c>
      <c r="B15" s="8">
        <v>0.03</v>
      </c>
      <c r="H15" s="2">
        <v>5</v>
      </c>
      <c r="I15" s="3">
        <f>I14+F7</f>
        <v>0.35090909090909111</v>
      </c>
      <c r="J15" s="3">
        <f t="shared" si="0"/>
        <v>0.7736363636363639</v>
      </c>
      <c r="K15" s="3">
        <f t="shared" si="1"/>
        <v>0.56227272727272748</v>
      </c>
      <c r="L15" s="3">
        <f t="shared" si="4"/>
        <v>22</v>
      </c>
      <c r="M15" s="3">
        <f t="shared" si="2"/>
        <v>9</v>
      </c>
      <c r="N15" s="3">
        <f t="shared" si="3"/>
        <v>0.18</v>
      </c>
      <c r="O15" s="3">
        <f t="shared" si="5"/>
        <v>0.44</v>
      </c>
    </row>
    <row r="16" spans="1:15" ht="12.75">
      <c r="A16" s="37">
        <v>0.23</v>
      </c>
      <c r="B16" s="8">
        <v>0.11</v>
      </c>
      <c r="H16" s="2">
        <v>6</v>
      </c>
      <c r="I16" s="3">
        <f>I15+F7</f>
        <v>0.7736363636363639</v>
      </c>
      <c r="J16" s="3">
        <f t="shared" si="0"/>
        <v>1.1963636363636367</v>
      </c>
      <c r="K16" s="3">
        <f t="shared" si="1"/>
        <v>0.98500000000000032</v>
      </c>
      <c r="L16" s="3">
        <f t="shared" si="4"/>
        <v>28</v>
      </c>
      <c r="M16" s="3">
        <f t="shared" si="2"/>
        <v>6</v>
      </c>
      <c r="N16" s="3">
        <f t="shared" si="3"/>
        <v>0.12</v>
      </c>
      <c r="O16" s="3">
        <f t="shared" si="5"/>
        <v>0.56000000000000005</v>
      </c>
    </row>
    <row r="17" spans="1:15" ht="12.75">
      <c r="A17" s="37">
        <v>0.59</v>
      </c>
      <c r="B17" s="8">
        <v>0.23</v>
      </c>
      <c r="H17" s="2">
        <v>7</v>
      </c>
      <c r="I17" s="3">
        <f>I16+F7</f>
        <v>1.1963636363636367</v>
      </c>
      <c r="J17" s="3">
        <f t="shared" si="0"/>
        <v>1.6190909090909096</v>
      </c>
      <c r="K17" s="3">
        <f t="shared" si="1"/>
        <v>1.4077272727272732</v>
      </c>
      <c r="L17" s="3">
        <f t="shared" si="4"/>
        <v>35</v>
      </c>
      <c r="M17" s="3">
        <f t="shared" si="2"/>
        <v>7</v>
      </c>
      <c r="N17" s="3">
        <f t="shared" si="3"/>
        <v>0.14000000000000001</v>
      </c>
      <c r="O17" s="3">
        <f t="shared" si="5"/>
        <v>0.70000000000000007</v>
      </c>
    </row>
    <row r="18" spans="1:15" ht="12.75">
      <c r="A18" s="37">
        <v>0.92</v>
      </c>
      <c r="B18" s="8">
        <v>0.36</v>
      </c>
      <c r="H18" s="2">
        <v>8</v>
      </c>
      <c r="I18" s="3">
        <f>I17+F7</f>
        <v>1.6190909090909096</v>
      </c>
      <c r="J18" s="3">
        <f t="shared" si="0"/>
        <v>2.0418181818181824</v>
      </c>
      <c r="K18" s="3">
        <f t="shared" si="1"/>
        <v>1.830454545454546</v>
      </c>
      <c r="L18" s="3">
        <f t="shared" si="4"/>
        <v>43</v>
      </c>
      <c r="M18" s="3">
        <f t="shared" si="2"/>
        <v>8</v>
      </c>
      <c r="N18" s="3">
        <f t="shared" si="3"/>
        <v>0.16</v>
      </c>
      <c r="O18" s="3">
        <f t="shared" si="5"/>
        <v>0.8600000000000001</v>
      </c>
    </row>
    <row r="19" spans="1:15" ht="12.75">
      <c r="A19" s="37">
        <v>1.84</v>
      </c>
      <c r="B19" s="8">
        <v>0.39</v>
      </c>
      <c r="H19" s="2">
        <v>9</v>
      </c>
      <c r="I19" s="3">
        <f>I18+F7</f>
        <v>2.0418181818181824</v>
      </c>
      <c r="J19" s="3">
        <f t="shared" si="0"/>
        <v>2.4645454545454553</v>
      </c>
      <c r="K19" s="3">
        <f t="shared" si="1"/>
        <v>2.2531818181818188</v>
      </c>
      <c r="L19" s="3">
        <f t="shared" si="4"/>
        <v>48</v>
      </c>
      <c r="M19" s="3">
        <f t="shared" si="2"/>
        <v>5</v>
      </c>
      <c r="N19" s="3">
        <f t="shared" si="3"/>
        <v>0.1</v>
      </c>
      <c r="O19" s="3">
        <f t="shared" si="5"/>
        <v>0.96000000000000008</v>
      </c>
    </row>
    <row r="20" spans="1:15" ht="12.75">
      <c r="A20" s="37">
        <v>2.2599999999999998</v>
      </c>
      <c r="B20" s="8">
        <v>0.42</v>
      </c>
      <c r="H20" s="2">
        <v>10</v>
      </c>
      <c r="I20" s="3">
        <f>I19+F7</f>
        <v>2.4645454545454553</v>
      </c>
      <c r="J20" s="3">
        <f t="shared" ref="J20:J21" si="6">J19+$F$7</f>
        <v>2.8872727272727281</v>
      </c>
      <c r="K20" s="3">
        <f t="shared" si="1"/>
        <v>2.6759090909090917</v>
      </c>
      <c r="L20" s="3">
        <f t="shared" si="4"/>
        <v>49</v>
      </c>
      <c r="M20" s="3">
        <f t="shared" ref="M20:M21" si="7">COUNTIFS($B$5:$B$54,"&gt;="&amp;I20, $B$5:$B$54, "&lt;="&amp;J20)</f>
        <v>1</v>
      </c>
      <c r="N20" s="3">
        <f t="shared" si="3"/>
        <v>0.02</v>
      </c>
      <c r="O20" s="3">
        <f t="shared" si="5"/>
        <v>0.98000000000000009</v>
      </c>
    </row>
    <row r="21" spans="1:15" ht="12.75">
      <c r="A21" s="37">
        <v>-0.28999999999999998</v>
      </c>
      <c r="B21" s="8">
        <v>0.46</v>
      </c>
      <c r="H21" s="2">
        <v>11</v>
      </c>
      <c r="I21" s="3">
        <f>I20+F7</f>
        <v>2.8872727272727281</v>
      </c>
      <c r="J21" s="3">
        <f t="shared" si="6"/>
        <v>3.3100000000000009</v>
      </c>
      <c r="K21" s="3">
        <f t="shared" si="1"/>
        <v>3.0986363636363645</v>
      </c>
      <c r="L21" s="3">
        <f t="shared" si="4"/>
        <v>50</v>
      </c>
      <c r="M21" s="3">
        <f t="shared" si="7"/>
        <v>1</v>
      </c>
      <c r="N21" s="3">
        <f t="shared" si="3"/>
        <v>0.02</v>
      </c>
      <c r="O21" s="3">
        <f t="shared" si="5"/>
        <v>1</v>
      </c>
    </row>
    <row r="22" spans="1:15" ht="12.75">
      <c r="A22" s="37">
        <v>2.06</v>
      </c>
      <c r="B22" s="8">
        <v>0.53</v>
      </c>
    </row>
    <row r="23" spans="1:15" ht="12.75">
      <c r="A23" s="37">
        <v>0.68</v>
      </c>
      <c r="B23" s="8">
        <v>0.59</v>
      </c>
    </row>
    <row r="24" spans="1:15" ht="12.75">
      <c r="A24" s="37">
        <v>2.1</v>
      </c>
      <c r="B24" s="8">
        <v>0.59</v>
      </c>
    </row>
    <row r="25" spans="1:15" ht="12.75">
      <c r="A25" s="37">
        <v>1.88</v>
      </c>
      <c r="B25" s="8">
        <v>0.68</v>
      </c>
    </row>
    <row r="26" spans="1:15" ht="12.75">
      <c r="A26" s="37">
        <v>-0.01</v>
      </c>
      <c r="B26" s="8">
        <v>0.7</v>
      </c>
    </row>
    <row r="27" spans="1:15" ht="12.75">
      <c r="A27" s="37">
        <v>0.03</v>
      </c>
      <c r="B27" s="8">
        <v>0.87</v>
      </c>
    </row>
    <row r="28" spans="1:15" ht="12.75">
      <c r="A28" s="37">
        <v>0.36</v>
      </c>
      <c r="B28" s="8">
        <v>0.88</v>
      </c>
    </row>
    <row r="29" spans="1:15" ht="12.75">
      <c r="A29" s="37">
        <v>0.42</v>
      </c>
      <c r="B29" s="8">
        <v>0.92</v>
      </c>
    </row>
    <row r="30" spans="1:15" ht="12.75">
      <c r="A30" s="37">
        <v>1.34</v>
      </c>
      <c r="B30" s="8">
        <v>1.01</v>
      </c>
    </row>
    <row r="31" spans="1:15" ht="12.75">
      <c r="A31" s="37">
        <v>1.94</v>
      </c>
      <c r="B31" s="8">
        <v>1.02</v>
      </c>
    </row>
    <row r="32" spans="1:15" ht="12.75">
      <c r="A32" s="37">
        <v>1.99</v>
      </c>
      <c r="B32" s="8">
        <v>1.17</v>
      </c>
    </row>
    <row r="33" spans="1:25" ht="12.75">
      <c r="A33" s="37">
        <v>-0.32</v>
      </c>
      <c r="B33" s="8">
        <v>1.34</v>
      </c>
    </row>
    <row r="34" spans="1:25" ht="12.75">
      <c r="A34" s="37">
        <v>0.7</v>
      </c>
      <c r="B34" s="8">
        <v>1.36</v>
      </c>
    </row>
    <row r="35" spans="1:25" ht="12.75">
      <c r="A35" s="37">
        <v>-0.35</v>
      </c>
      <c r="B35" s="8">
        <v>1.38</v>
      </c>
    </row>
    <row r="36" spans="1:25" ht="12.75">
      <c r="A36" s="37">
        <v>1.44</v>
      </c>
      <c r="B36" s="8">
        <v>1.38</v>
      </c>
    </row>
    <row r="37" spans="1:25" ht="12.75">
      <c r="A37" s="37">
        <v>1.63</v>
      </c>
      <c r="B37" s="8">
        <v>1.44</v>
      </c>
    </row>
    <row r="38" spans="1:25" ht="12.75">
      <c r="A38" s="37">
        <v>-0.2</v>
      </c>
      <c r="B38" s="8">
        <v>1.45</v>
      </c>
    </row>
    <row r="39" spans="1:25" ht="12.75">
      <c r="A39" s="37">
        <v>0.87</v>
      </c>
      <c r="B39" s="8">
        <v>1.56</v>
      </c>
    </row>
    <row r="40" spans="1:25" ht="12.75">
      <c r="A40" s="37">
        <v>-1.34</v>
      </c>
      <c r="B40" s="8">
        <v>1.63</v>
      </c>
    </row>
    <row r="41" spans="1:25" ht="12.75">
      <c r="A41" s="37">
        <v>2.0699999999999998</v>
      </c>
      <c r="B41" s="8">
        <v>1.77</v>
      </c>
    </row>
    <row r="42" spans="1:25" ht="12.75">
      <c r="A42" s="37">
        <v>-0.51</v>
      </c>
      <c r="B42" s="8">
        <v>1.78</v>
      </c>
    </row>
    <row r="43" spans="1:25" ht="12.75">
      <c r="A43" s="37">
        <v>3.31</v>
      </c>
      <c r="B43" s="8">
        <v>1.84</v>
      </c>
    </row>
    <row r="44" spans="1:25" ht="12.75">
      <c r="A44" s="37">
        <v>0.39</v>
      </c>
      <c r="B44" s="8">
        <v>1.88</v>
      </c>
    </row>
    <row r="45" spans="1:25" ht="12.75">
      <c r="A45" s="37">
        <v>1.38</v>
      </c>
      <c r="B45" s="8">
        <v>1.94</v>
      </c>
    </row>
    <row r="46" spans="1:25" ht="12.75">
      <c r="A46" s="37">
        <v>-0.98</v>
      </c>
      <c r="B46" s="8">
        <v>1.98</v>
      </c>
      <c r="C46" s="11" t="s">
        <v>19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>
      <c r="A47" s="37">
        <v>0.53</v>
      </c>
      <c r="B47" s="8">
        <v>1.99</v>
      </c>
    </row>
    <row r="48" spans="1:25" ht="12.75">
      <c r="A48" s="37">
        <v>-0.25</v>
      </c>
      <c r="B48" s="8">
        <v>2.06</v>
      </c>
      <c r="C48" s="2" t="s">
        <v>20</v>
      </c>
      <c r="D48" s="3">
        <f>SUM(B5:B54)/F8</f>
        <v>0.94399999999999995</v>
      </c>
    </row>
    <row r="49" spans="1:25" ht="12.75">
      <c r="A49" s="37">
        <v>0.59</v>
      </c>
      <c r="B49" s="8">
        <v>2.0699999999999998</v>
      </c>
      <c r="C49" s="2" t="s">
        <v>21</v>
      </c>
      <c r="D49" s="3">
        <f>MEDIAN(B5:B54)</f>
        <v>0.96500000000000008</v>
      </c>
    </row>
    <row r="50" spans="1:25" ht="12.75">
      <c r="A50" s="37">
        <v>1.02</v>
      </c>
      <c r="B50" s="8">
        <v>2.1</v>
      </c>
      <c r="C50" s="2" t="s">
        <v>22</v>
      </c>
      <c r="D50" s="3">
        <f t="array" ref="D50">INDEX($K$11:$K$21,MATCH(MAX(N11:N21),N11:N21,0))</f>
        <v>0.56227272727272748</v>
      </c>
    </row>
    <row r="51" spans="1:25" ht="12.75">
      <c r="A51" s="37">
        <v>1.36</v>
      </c>
      <c r="B51" s="8">
        <v>2.25</v>
      </c>
      <c r="C51" s="2" t="s">
        <v>23</v>
      </c>
      <c r="D51" s="3">
        <f>_xlfn.VAR.P(B5:B54)</f>
        <v>1.006424</v>
      </c>
    </row>
    <row r="52" spans="1:25" ht="12.75">
      <c r="A52" s="37">
        <v>1.38</v>
      </c>
      <c r="B52" s="8">
        <v>2.2599999999999998</v>
      </c>
      <c r="C52" s="2" t="s">
        <v>24</v>
      </c>
      <c r="D52" s="3">
        <f>_xlfn.STDEV.P(B5:B54)</f>
        <v>1.0032068580307851</v>
      </c>
    </row>
    <row r="53" spans="1:25" ht="12.75">
      <c r="A53" s="37">
        <v>1.98</v>
      </c>
      <c r="B53" s="8">
        <v>2.57</v>
      </c>
    </row>
    <row r="54" spans="1:25" ht="12.75">
      <c r="A54" s="37">
        <v>-0.85</v>
      </c>
      <c r="B54" s="8">
        <v>3.31</v>
      </c>
      <c r="C54" s="11" t="s">
        <v>25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6" spans="1:25" ht="12.75">
      <c r="C56" s="2" t="s">
        <v>26</v>
      </c>
      <c r="D56" s="3">
        <f>AVERAGE($B$5:$B$54)</f>
        <v>0.94399999999999995</v>
      </c>
    </row>
    <row r="57" spans="1:25" ht="12.75">
      <c r="C57" s="2" t="s">
        <v>27</v>
      </c>
      <c r="D57" s="3">
        <f>_xlfn.VAR.S($B$5:$B$54)</f>
        <v>1.0269632653061225</v>
      </c>
    </row>
    <row r="58" spans="1:25" ht="12.75">
      <c r="C58" s="2" t="s">
        <v>28</v>
      </c>
      <c r="D58" s="3">
        <f>_xlfn.STDEV.S($B$5:$B$54)</f>
        <v>1.0133919603520261</v>
      </c>
    </row>
    <row r="60" spans="1:25" ht="12.75">
      <c r="B60" s="11" t="s">
        <v>29</v>
      </c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2" spans="1:25" ht="12.75">
      <c r="C62" s="2" t="s">
        <v>26</v>
      </c>
      <c r="D62" s="3">
        <f>AVERAGE($B$5:$B$54)</f>
        <v>0.94399999999999995</v>
      </c>
    </row>
    <row r="63" spans="1:25" ht="12.75">
      <c r="C63" s="2" t="s">
        <v>27</v>
      </c>
      <c r="D63" s="3">
        <f>_xlfn.VAR.S($B$5:$B$54)</f>
        <v>1.0269632653061225</v>
      </c>
    </row>
    <row r="64" spans="1:25" ht="12.75">
      <c r="C64" s="2" t="s">
        <v>28</v>
      </c>
      <c r="D64" s="3">
        <f>_xlfn.STDEV.S($B$5:$B$54)</f>
        <v>1.0133919603520261</v>
      </c>
    </row>
    <row r="66" spans="3:19" ht="12.75">
      <c r="C66" s="2" t="s">
        <v>30</v>
      </c>
      <c r="D66" s="9">
        <v>7</v>
      </c>
      <c r="F66" s="13"/>
    </row>
    <row r="68" spans="3:19" ht="12.75"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128</v>
      </c>
      <c r="I68" s="2" t="s">
        <v>129</v>
      </c>
      <c r="J68" s="2" t="s">
        <v>32</v>
      </c>
      <c r="L68" s="2" t="s">
        <v>11</v>
      </c>
      <c r="M68" s="2" t="s">
        <v>12</v>
      </c>
      <c r="N68" s="2" t="s">
        <v>13</v>
      </c>
      <c r="O68" s="2" t="s">
        <v>14</v>
      </c>
      <c r="P68" s="2" t="s">
        <v>15</v>
      </c>
      <c r="Q68" s="2" t="s">
        <v>16</v>
      </c>
      <c r="R68" s="2" t="s">
        <v>31</v>
      </c>
      <c r="S68" s="2" t="s">
        <v>18</v>
      </c>
    </row>
    <row r="69" spans="3:19" ht="14.25">
      <c r="C69" s="2">
        <v>1</v>
      </c>
      <c r="D69" s="2">
        <v>-1000</v>
      </c>
      <c r="E69" s="9">
        <f>N72</f>
        <v>-7.181818181818167E-2</v>
      </c>
      <c r="F69" s="3">
        <f t="shared" ref="F69:F75" si="8">(D69+E69)/2</f>
        <v>-500.03590909090912</v>
      </c>
      <c r="G69" s="3">
        <f>H69</f>
        <v>9</v>
      </c>
      <c r="H69" s="3">
        <f t="shared" ref="H69:H75" si="9">COUNTIFS($B$5:$B$54,"&gt;="&amp;D69, $B$5:$B$54, "&lt;"&amp;E69)</f>
        <v>9</v>
      </c>
      <c r="I69" s="14">
        <f t="shared" ref="I69:I75" si="10">(_xlfn.NORM.DIST(E69,$D$62,$D$64,TRUE)-_xlfn.NORM.DIST(D69,$D$62,$D$64,TRUE))*$F$8</f>
        <v>7.9038315517296605</v>
      </c>
      <c r="J69" s="3">
        <f>(I69-H69)^2/I69</f>
        <v>0.15202566743979395</v>
      </c>
      <c r="L69" s="2">
        <v>1</v>
      </c>
      <c r="M69" s="2">
        <v>-1000</v>
      </c>
      <c r="N69" s="3">
        <f>F2</f>
        <v>-1.34</v>
      </c>
      <c r="O69" s="3">
        <f t="shared" ref="O69:O78" si="11">(M69+N69)/2</f>
        <v>-500.67</v>
      </c>
      <c r="P69" s="3">
        <f>Q69</f>
        <v>0</v>
      </c>
      <c r="Q69" s="3">
        <f t="shared" ref="Q69:Q79" si="12">COUNTIFS($B$5:$B$54,"&gt;="&amp;M69, $B$5:$B$54, "&lt;"&amp;N69)</f>
        <v>0</v>
      </c>
      <c r="R69" s="15">
        <f t="shared" ref="R69:R79" si="13">(_xlfn.NORM.DIST(N69,$D$62,$D$64,TRUE)-_xlfn.NORM.DIST(M69,$D$62,$D$64,TRUE))*$F$8</f>
        <v>0.60519211554983343</v>
      </c>
      <c r="S69" s="3">
        <f t="shared" ref="S69:S79" si="14">(R69-Q69)^2/R69</f>
        <v>0.60519211554983343</v>
      </c>
    </row>
    <row r="70" spans="3:19" ht="14.25">
      <c r="C70" s="2">
        <v>2</v>
      </c>
      <c r="D70" s="3">
        <f t="shared" ref="D70:D75" si="15">E69</f>
        <v>-7.181818181818167E-2</v>
      </c>
      <c r="E70" s="3">
        <f t="shared" ref="E70:E74" si="16">E69+$F$7</f>
        <v>0.35090909090909111</v>
      </c>
      <c r="F70" s="3">
        <f t="shared" si="8"/>
        <v>0.13954545454545472</v>
      </c>
      <c r="G70" s="3">
        <f t="shared" ref="G70:G75" si="17">G69+H70</f>
        <v>13</v>
      </c>
      <c r="H70" s="3">
        <f t="shared" si="9"/>
        <v>4</v>
      </c>
      <c r="I70" s="16">
        <f t="shared" si="10"/>
        <v>6.0556050434306243</v>
      </c>
      <c r="J70" s="3">
        <f t="shared" ref="J70:J75" si="18">(I70-H70)^2/I70</f>
        <v>0.69778528557793451</v>
      </c>
      <c r="L70" s="2">
        <v>2</v>
      </c>
      <c r="M70" s="3">
        <f t="shared" ref="M70:M79" si="19">N69</f>
        <v>-1.34</v>
      </c>
      <c r="N70" s="3">
        <f t="shared" ref="N70:N78" si="20">N69+$F$7</f>
        <v>-0.91727272727272724</v>
      </c>
      <c r="O70" s="3">
        <f t="shared" si="11"/>
        <v>-1.1286363636363637</v>
      </c>
      <c r="P70" s="3">
        <f t="shared" ref="P70:P79" si="21">P69+Q70</f>
        <v>2</v>
      </c>
      <c r="Q70" s="3">
        <f t="shared" si="12"/>
        <v>2</v>
      </c>
      <c r="R70" s="15">
        <f t="shared" si="13"/>
        <v>1.0512512645840193</v>
      </c>
      <c r="S70" s="3">
        <f t="shared" si="14"/>
        <v>0.85624074213085699</v>
      </c>
    </row>
    <row r="71" spans="3:19" ht="14.25">
      <c r="C71" s="2">
        <v>3</v>
      </c>
      <c r="D71" s="3">
        <f t="shared" si="15"/>
        <v>0.35090909090909111</v>
      </c>
      <c r="E71" s="3">
        <f t="shared" si="16"/>
        <v>0.7736363636363639</v>
      </c>
      <c r="F71" s="3">
        <f t="shared" si="8"/>
        <v>0.56227272727272748</v>
      </c>
      <c r="G71" s="3">
        <f t="shared" si="17"/>
        <v>22</v>
      </c>
      <c r="H71" s="3">
        <f t="shared" si="9"/>
        <v>9</v>
      </c>
      <c r="I71" s="16">
        <f t="shared" si="10"/>
        <v>7.7029370593191482</v>
      </c>
      <c r="J71" s="3">
        <f t="shared" si="18"/>
        <v>0.21840659726698602</v>
      </c>
      <c r="L71" s="2">
        <v>3</v>
      </c>
      <c r="M71" s="3">
        <f t="shared" si="19"/>
        <v>-0.91727272727272724</v>
      </c>
      <c r="N71" s="3">
        <f t="shared" si="20"/>
        <v>-0.49454545454545445</v>
      </c>
      <c r="O71" s="3">
        <f t="shared" si="11"/>
        <v>-0.70590909090909082</v>
      </c>
      <c r="P71" s="3">
        <f t="shared" si="21"/>
        <v>4</v>
      </c>
      <c r="Q71" s="3">
        <f t="shared" si="12"/>
        <v>2</v>
      </c>
      <c r="R71" s="15">
        <f t="shared" si="13"/>
        <v>2.23713342461599</v>
      </c>
      <c r="S71" s="3">
        <f t="shared" si="14"/>
        <v>2.5135854862907793E-2</v>
      </c>
    </row>
    <row r="72" spans="3:19" ht="14.25">
      <c r="C72" s="2">
        <v>4</v>
      </c>
      <c r="D72" s="3">
        <f t="shared" si="15"/>
        <v>0.7736363636363639</v>
      </c>
      <c r="E72" s="3">
        <f t="shared" si="16"/>
        <v>1.1963636363636367</v>
      </c>
      <c r="F72" s="3">
        <f t="shared" si="8"/>
        <v>0.98500000000000032</v>
      </c>
      <c r="G72" s="3">
        <f t="shared" si="17"/>
        <v>28</v>
      </c>
      <c r="H72" s="3">
        <f t="shared" si="9"/>
        <v>6</v>
      </c>
      <c r="I72" s="16">
        <f t="shared" si="10"/>
        <v>8.2541609354352783</v>
      </c>
      <c r="J72" s="3">
        <f t="shared" si="18"/>
        <v>0.61559758315694779</v>
      </c>
      <c r="L72" s="2">
        <v>4</v>
      </c>
      <c r="M72" s="3">
        <f t="shared" si="19"/>
        <v>-0.49454545454545445</v>
      </c>
      <c r="N72" s="3">
        <f t="shared" si="20"/>
        <v>-7.181818181818167E-2</v>
      </c>
      <c r="O72" s="3">
        <f t="shared" si="11"/>
        <v>-0.28318181818181809</v>
      </c>
      <c r="P72" s="3">
        <f t="shared" si="21"/>
        <v>9</v>
      </c>
      <c r="Q72" s="3">
        <f t="shared" si="12"/>
        <v>5</v>
      </c>
      <c r="R72" s="15">
        <f t="shared" si="13"/>
        <v>4.0102547469798182</v>
      </c>
      <c r="S72" s="3">
        <f t="shared" si="14"/>
        <v>0.24427267784265616</v>
      </c>
    </row>
    <row r="73" spans="3:19" ht="14.25">
      <c r="C73" s="2">
        <v>5</v>
      </c>
      <c r="D73" s="3">
        <f t="shared" si="15"/>
        <v>1.1963636363636367</v>
      </c>
      <c r="E73" s="3">
        <f t="shared" si="16"/>
        <v>1.6190909090909096</v>
      </c>
      <c r="F73" s="3">
        <f t="shared" si="8"/>
        <v>1.4077272727272732</v>
      </c>
      <c r="G73" s="3">
        <f t="shared" si="17"/>
        <v>35</v>
      </c>
      <c r="H73" s="3">
        <f t="shared" si="9"/>
        <v>7</v>
      </c>
      <c r="I73" s="16">
        <f t="shared" si="10"/>
        <v>7.4508977470312381</v>
      </c>
      <c r="J73" s="3">
        <f t="shared" si="18"/>
        <v>2.7286480794727515E-2</v>
      </c>
      <c r="L73" s="2">
        <v>5</v>
      </c>
      <c r="M73" s="3">
        <f t="shared" si="19"/>
        <v>-7.181818181818167E-2</v>
      </c>
      <c r="N73" s="3">
        <f t="shared" si="20"/>
        <v>0.35090909090909111</v>
      </c>
      <c r="O73" s="3">
        <f t="shared" si="11"/>
        <v>0.13954545454545472</v>
      </c>
      <c r="P73" s="3">
        <f t="shared" si="21"/>
        <v>13</v>
      </c>
      <c r="Q73" s="3">
        <f t="shared" si="12"/>
        <v>4</v>
      </c>
      <c r="R73" s="15">
        <f t="shared" si="13"/>
        <v>6.0556050434306243</v>
      </c>
      <c r="S73" s="3">
        <f t="shared" si="14"/>
        <v>0.69778528557793451</v>
      </c>
    </row>
    <row r="74" spans="3:19" ht="14.25">
      <c r="C74" s="2">
        <v>6</v>
      </c>
      <c r="D74" s="3">
        <f t="shared" si="15"/>
        <v>1.6190909090909096</v>
      </c>
      <c r="E74" s="3">
        <f t="shared" si="16"/>
        <v>2.0418181818181824</v>
      </c>
      <c r="F74" s="3">
        <f t="shared" si="8"/>
        <v>1.830454545454546</v>
      </c>
      <c r="G74" s="3">
        <f t="shared" si="17"/>
        <v>43</v>
      </c>
      <c r="H74" s="3">
        <f t="shared" si="9"/>
        <v>8</v>
      </c>
      <c r="I74" s="16">
        <f t="shared" si="10"/>
        <v>5.6658023406751079</v>
      </c>
      <c r="J74" s="3">
        <f t="shared" si="18"/>
        <v>0.96164292101806581</v>
      </c>
      <c r="L74" s="2">
        <v>6</v>
      </c>
      <c r="M74" s="3">
        <f t="shared" si="19"/>
        <v>0.35090909090909111</v>
      </c>
      <c r="N74" s="3">
        <f t="shared" si="20"/>
        <v>0.7736363636363639</v>
      </c>
      <c r="O74" s="3">
        <f t="shared" si="11"/>
        <v>0.56227272727272748</v>
      </c>
      <c r="P74" s="3">
        <f t="shared" si="21"/>
        <v>22</v>
      </c>
      <c r="Q74" s="3">
        <f t="shared" si="12"/>
        <v>9</v>
      </c>
      <c r="R74" s="15">
        <f t="shared" si="13"/>
        <v>7.7029370593191482</v>
      </c>
      <c r="S74" s="3">
        <f t="shared" si="14"/>
        <v>0.21840659726698602</v>
      </c>
    </row>
    <row r="75" spans="3:19" ht="14.25">
      <c r="C75" s="9">
        <v>7</v>
      </c>
      <c r="D75" s="3">
        <f t="shared" si="15"/>
        <v>2.0418181818181824</v>
      </c>
      <c r="E75" s="2">
        <v>1000</v>
      </c>
      <c r="F75" s="3">
        <f t="shared" si="8"/>
        <v>501.02090909090907</v>
      </c>
      <c r="G75" s="3">
        <f t="shared" si="17"/>
        <v>50</v>
      </c>
      <c r="H75" s="3">
        <f t="shared" si="9"/>
        <v>7</v>
      </c>
      <c r="I75" s="16">
        <f t="shared" si="10"/>
        <v>6.9667653223789427</v>
      </c>
      <c r="J75" s="3">
        <f t="shared" si="18"/>
        <v>1.5854471127763419E-4</v>
      </c>
      <c r="L75" s="2">
        <v>7</v>
      </c>
      <c r="M75" s="3">
        <f t="shared" si="19"/>
        <v>0.7736363636363639</v>
      </c>
      <c r="N75" s="3">
        <f t="shared" si="20"/>
        <v>1.1963636363636367</v>
      </c>
      <c r="O75" s="3">
        <f t="shared" si="11"/>
        <v>0.98500000000000032</v>
      </c>
      <c r="P75" s="3">
        <f t="shared" si="21"/>
        <v>28</v>
      </c>
      <c r="Q75" s="3">
        <f t="shared" si="12"/>
        <v>6</v>
      </c>
      <c r="R75" s="15">
        <f t="shared" si="13"/>
        <v>8.2541609354352783</v>
      </c>
      <c r="S75" s="3">
        <f t="shared" si="14"/>
        <v>0.61559758315694779</v>
      </c>
    </row>
    <row r="76" spans="3:19" ht="14.25">
      <c r="I76" s="3">
        <f>SUM(I69:I75)</f>
        <v>50</v>
      </c>
      <c r="L76" s="2">
        <v>8</v>
      </c>
      <c r="M76" s="3">
        <f t="shared" si="19"/>
        <v>1.1963636363636367</v>
      </c>
      <c r="N76" s="3">
        <f t="shared" si="20"/>
        <v>1.6190909090909096</v>
      </c>
      <c r="O76" s="3">
        <f t="shared" si="11"/>
        <v>1.4077272727272732</v>
      </c>
      <c r="P76" s="3">
        <f t="shared" si="21"/>
        <v>35</v>
      </c>
      <c r="Q76" s="3">
        <f t="shared" si="12"/>
        <v>7</v>
      </c>
      <c r="R76" s="15">
        <f t="shared" si="13"/>
        <v>7.4508977470312381</v>
      </c>
      <c r="S76" s="3">
        <f t="shared" si="14"/>
        <v>2.7286480794727515E-2</v>
      </c>
    </row>
    <row r="77" spans="3:19" ht="14.25">
      <c r="C77" s="39" t="s">
        <v>126</v>
      </c>
      <c r="D77" s="3">
        <f>SUM(J69:J74)</f>
        <v>2.6727445352544557</v>
      </c>
      <c r="L77" s="2">
        <v>9</v>
      </c>
      <c r="M77" s="3">
        <f t="shared" si="19"/>
        <v>1.6190909090909096</v>
      </c>
      <c r="N77" s="3">
        <f t="shared" si="20"/>
        <v>2.0418181818181824</v>
      </c>
      <c r="O77" s="3">
        <f t="shared" si="11"/>
        <v>1.830454545454546</v>
      </c>
      <c r="P77" s="3">
        <f t="shared" si="21"/>
        <v>43</v>
      </c>
      <c r="Q77" s="3">
        <f t="shared" si="12"/>
        <v>8</v>
      </c>
      <c r="R77" s="15">
        <f t="shared" si="13"/>
        <v>5.6658023406751079</v>
      </c>
      <c r="S77" s="3">
        <f t="shared" si="14"/>
        <v>0.96164292101806581</v>
      </c>
    </row>
    <row r="78" spans="3:19" ht="14.25">
      <c r="C78" s="2" t="s">
        <v>33</v>
      </c>
      <c r="D78" s="3">
        <f>D66-2-1</f>
        <v>4</v>
      </c>
      <c r="L78" s="2">
        <v>10</v>
      </c>
      <c r="M78" s="3">
        <f t="shared" si="19"/>
        <v>2.0418181818181824</v>
      </c>
      <c r="N78" s="3">
        <f t="shared" si="20"/>
        <v>2.4645454545454553</v>
      </c>
      <c r="O78" s="3">
        <f t="shared" si="11"/>
        <v>2.2531818181818188</v>
      </c>
      <c r="P78" s="3">
        <f t="shared" si="21"/>
        <v>48</v>
      </c>
      <c r="Q78" s="3">
        <f t="shared" si="12"/>
        <v>5</v>
      </c>
      <c r="R78" s="15">
        <f t="shared" si="13"/>
        <v>3.6293279214483887</v>
      </c>
      <c r="S78" s="3">
        <f t="shared" si="14"/>
        <v>0.51765560665326382</v>
      </c>
    </row>
    <row r="79" spans="3:19" ht="14.25">
      <c r="C79" s="2" t="s">
        <v>34</v>
      </c>
      <c r="D79" s="2">
        <v>0.05</v>
      </c>
      <c r="L79" s="2">
        <v>11</v>
      </c>
      <c r="M79" s="3">
        <f t="shared" si="19"/>
        <v>2.4645454545454553</v>
      </c>
      <c r="N79" s="2">
        <v>1000</v>
      </c>
      <c r="O79" s="3">
        <f>(M78+N79)/2</f>
        <v>501.02090909090907</v>
      </c>
      <c r="P79" s="3">
        <f t="shared" si="21"/>
        <v>50</v>
      </c>
      <c r="Q79" s="3">
        <f t="shared" si="12"/>
        <v>2</v>
      </c>
      <c r="R79" s="15">
        <f t="shared" si="13"/>
        <v>3.3374374009305541</v>
      </c>
      <c r="S79" s="3">
        <f t="shared" si="14"/>
        <v>0.53596175344266661</v>
      </c>
    </row>
    <row r="80" spans="3:19">
      <c r="C80" s="17" t="s">
        <v>35</v>
      </c>
      <c r="D80" s="3">
        <f>CHIINV(D79,D78)</f>
        <v>9.4877290367811575</v>
      </c>
      <c r="R80" s="15"/>
    </row>
    <row r="81" spans="3:6" ht="12.75">
      <c r="C81" s="39" t="s">
        <v>36</v>
      </c>
      <c r="D81" s="3" t="str">
        <f>"&lt;"&amp;0&amp;":"&amp;D80&amp;"&gt;"</f>
        <v>&lt;0:9,48772903678116&gt;</v>
      </c>
      <c r="E81" s="40" t="s">
        <v>127</v>
      </c>
      <c r="F81" s="41"/>
    </row>
    <row r="103" spans="2:16" ht="12.75">
      <c r="B103" s="11" t="s">
        <v>37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6" spans="2:16" ht="12.75">
      <c r="C106" s="2" t="s">
        <v>26</v>
      </c>
      <c r="D106" s="3">
        <f>AVERAGE($B$5:$B$54)</f>
        <v>0.94399999999999995</v>
      </c>
    </row>
    <row r="107" spans="2:16" ht="12.75">
      <c r="C107" s="2" t="s">
        <v>27</v>
      </c>
      <c r="D107" s="3">
        <f>_xlfn.VAR.S($B$5:$B$54)</f>
        <v>1.0269632653061225</v>
      </c>
    </row>
    <row r="108" spans="2:16" ht="12.75">
      <c r="C108" s="2" t="s">
        <v>28</v>
      </c>
      <c r="D108" s="3">
        <f>_xlfn.STDEV.S($B$5:$B$54)</f>
        <v>1.0133919603520261</v>
      </c>
    </row>
    <row r="110" spans="2:16" ht="12.75">
      <c r="C110" s="2" t="s">
        <v>38</v>
      </c>
      <c r="D110" s="2" t="s">
        <v>39</v>
      </c>
      <c r="E110" s="2" t="s">
        <v>40</v>
      </c>
      <c r="F110" s="2" t="s">
        <v>41</v>
      </c>
    </row>
    <row r="111" spans="2:16" ht="12.75">
      <c r="C111" s="3">
        <f>TINV(E111,D111)</f>
        <v>2.0095752371292388</v>
      </c>
      <c r="D111" s="3">
        <f>$F8-1</f>
        <v>49</v>
      </c>
      <c r="E111" s="2">
        <f>1-F111</f>
        <v>5.0000000000000044E-2</v>
      </c>
      <c r="F111" s="2">
        <v>0.95</v>
      </c>
    </row>
    <row r="112" spans="2:16" ht="12.75">
      <c r="B112" s="2" t="s">
        <v>42</v>
      </c>
      <c r="C112" s="3" t="str">
        <f>"&lt;"&amp;D106-C111*(D108/SQRT(F8))&amp;" ; "&amp;D106+C111*(D108/SQRT(F8))&amp;"&gt;"</f>
        <v>&lt;0,655997191483301 ; 1,2320028085167&gt;</v>
      </c>
    </row>
    <row r="115" spans="2:6" ht="12.75">
      <c r="C115" s="2" t="s">
        <v>43</v>
      </c>
      <c r="D115" s="2" t="s">
        <v>39</v>
      </c>
      <c r="E115" s="2" t="s">
        <v>40</v>
      </c>
      <c r="F115" s="2" t="s">
        <v>41</v>
      </c>
    </row>
    <row r="116" spans="2:6" ht="12.75">
      <c r="C116" s="3">
        <f>TINV(E116,D116)</f>
        <v>2.6799519736315514</v>
      </c>
      <c r="D116" s="3">
        <f>$F8-1</f>
        <v>49</v>
      </c>
      <c r="E116" s="2">
        <f>1-F116</f>
        <v>1.0000000000000009E-2</v>
      </c>
      <c r="F116" s="2">
        <v>0.99</v>
      </c>
    </row>
    <row r="118" spans="2:6" ht="12.75">
      <c r="B118" s="2" t="s">
        <v>44</v>
      </c>
      <c r="C118" s="3" t="str">
        <f>"&lt;"&amp;D106-C116*D108/SQRT(50)&amp;" ; "&amp;D106+C116*D108/SQRT(50)&amp;"&gt;"</f>
        <v>&lt;0,559921971551384 ; 1,32807802844862&gt;</v>
      </c>
    </row>
    <row r="125" spans="2:6" ht="12.75">
      <c r="C125" s="2" t="s">
        <v>45</v>
      </c>
      <c r="D125" s="2" t="s">
        <v>39</v>
      </c>
      <c r="E125" s="2" t="s">
        <v>46</v>
      </c>
      <c r="F125" s="2" t="s">
        <v>41</v>
      </c>
    </row>
    <row r="126" spans="2:6" ht="12.75">
      <c r="C126" s="3">
        <f>CHIINV(1-E126,D126)</f>
        <v>31.554916462667144</v>
      </c>
      <c r="D126" s="3">
        <f>$F$8-1</f>
        <v>49</v>
      </c>
      <c r="E126" s="2">
        <f>(1-F126)/2</f>
        <v>2.5000000000000022E-2</v>
      </c>
      <c r="F126" s="2">
        <v>0.95</v>
      </c>
    </row>
    <row r="127" spans="2:6" ht="12.75">
      <c r="C127" s="2" t="s">
        <v>47</v>
      </c>
      <c r="D127" s="2" t="s">
        <v>39</v>
      </c>
      <c r="E127" s="2" t="s">
        <v>46</v>
      </c>
      <c r="F127" s="2" t="s">
        <v>41</v>
      </c>
    </row>
    <row r="128" spans="2:6" ht="12.75">
      <c r="C128" s="3">
        <f>CHIINV(E128,D128)</f>
        <v>70.222413566434525</v>
      </c>
      <c r="D128" s="3">
        <f>$F$8-1</f>
        <v>49</v>
      </c>
      <c r="E128" s="2">
        <f>(1-F128)/2</f>
        <v>2.5000000000000022E-2</v>
      </c>
      <c r="F128" s="2">
        <v>0.95</v>
      </c>
    </row>
    <row r="130" spans="2:6" ht="12.75">
      <c r="C130" s="2" t="s">
        <v>48</v>
      </c>
      <c r="D130" s="2" t="s">
        <v>39</v>
      </c>
      <c r="E130" s="2" t="s">
        <v>46</v>
      </c>
      <c r="F130" s="2" t="s">
        <v>41</v>
      </c>
    </row>
    <row r="131" spans="2:6" ht="12.75">
      <c r="C131" s="3">
        <f>CHIINV(1-E131,D131)</f>
        <v>27.249349069569636</v>
      </c>
      <c r="D131" s="3">
        <f>$F$8-1</f>
        <v>49</v>
      </c>
      <c r="E131" s="2">
        <f>(1-F131)/2</f>
        <v>5.0000000000000044E-3</v>
      </c>
      <c r="F131" s="2">
        <v>0.99</v>
      </c>
    </row>
    <row r="132" spans="2:6" ht="12.75">
      <c r="C132" s="2" t="s">
        <v>49</v>
      </c>
      <c r="D132" s="2" t="s">
        <v>39</v>
      </c>
      <c r="E132" s="2" t="s">
        <v>46</v>
      </c>
      <c r="F132" s="2" t="s">
        <v>41</v>
      </c>
    </row>
    <row r="133" spans="2:6" ht="12.75">
      <c r="C133" s="3">
        <f>CHIINV(E133,D133)</f>
        <v>78.230708086689944</v>
      </c>
      <c r="D133" s="3">
        <f>$F$8-1</f>
        <v>49</v>
      </c>
      <c r="E133" s="2">
        <f>(1-F133)/2</f>
        <v>5.0000000000000044E-3</v>
      </c>
      <c r="F133" s="2">
        <v>0.99</v>
      </c>
    </row>
    <row r="135" spans="2:6" ht="12.75">
      <c r="C135" s="2" t="s">
        <v>50</v>
      </c>
    </row>
    <row r="136" spans="2:6" ht="12.75">
      <c r="E136" s="2" t="s">
        <v>39</v>
      </c>
    </row>
    <row r="137" spans="2:6" ht="14.25">
      <c r="B137" s="2" t="s">
        <v>51</v>
      </c>
      <c r="C137" s="3">
        <f>E137*D107/C128</f>
        <v>0.71659741447640779</v>
      </c>
      <c r="D137" s="18">
        <f>E137*D107/C126</f>
        <v>1.5947182132310631</v>
      </c>
      <c r="E137" s="3">
        <f>$F$8-1</f>
        <v>49</v>
      </c>
    </row>
    <row r="139" spans="2:6" ht="12.75">
      <c r="E139" s="2" t="s">
        <v>39</v>
      </c>
    </row>
    <row r="140" spans="2:6" ht="14.25">
      <c r="B140" s="2" t="s">
        <v>52</v>
      </c>
      <c r="C140" s="3">
        <f>$E$140*$D$107/C133</f>
        <v>0.64324101405598266</v>
      </c>
      <c r="D140" s="18">
        <f>$E$140*$D$107/C131</f>
        <v>1.8466936539117393</v>
      </c>
      <c r="E140" s="3">
        <f>$F$8-1</f>
        <v>49</v>
      </c>
    </row>
    <row r="143" spans="2:6" ht="12.75">
      <c r="C143" s="2" t="s">
        <v>53</v>
      </c>
    </row>
    <row r="144" spans="2:6" ht="12.75">
      <c r="B144" s="2" t="s">
        <v>51</v>
      </c>
      <c r="C144" s="3">
        <f t="shared" ref="C144:D144" si="22">SQRT(C137)</f>
        <v>0.84652077025694283</v>
      </c>
      <c r="D144" s="3">
        <f t="shared" si="22"/>
        <v>1.2628215286536191</v>
      </c>
    </row>
    <row r="146" spans="2:16" ht="12.75">
      <c r="B146" s="2" t="s">
        <v>52</v>
      </c>
      <c r="C146" s="3">
        <f t="shared" ref="C146:D146" si="23">SQRT(C140)</f>
        <v>0.80202307576277543</v>
      </c>
      <c r="D146" s="3">
        <f t="shared" si="23"/>
        <v>1.3589310703312878</v>
      </c>
    </row>
    <row r="149" spans="2:16" ht="12.75">
      <c r="B149" s="19" t="s">
        <v>54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</row>
    <row r="151" spans="2:16" ht="12.75">
      <c r="B151" s="2" t="s">
        <v>26</v>
      </c>
      <c r="C151" s="3">
        <f>AVERAGE($B$5:$B$54)</f>
        <v>0.94399999999999995</v>
      </c>
    </row>
    <row r="152" spans="2:16" ht="12.75">
      <c r="B152" s="2" t="s">
        <v>28</v>
      </c>
      <c r="C152" s="3">
        <f>_xlfn.STDEV.S($B$5:$B$54)</f>
        <v>1.0133919603520261</v>
      </c>
    </row>
    <row r="154" spans="2:16" ht="12.75">
      <c r="B154" s="2" t="s">
        <v>55</v>
      </c>
      <c r="C154" s="3">
        <f>((C151-0)/C152)*SQRT($F$8)</f>
        <v>6.5868768211682438</v>
      </c>
    </row>
    <row r="155" spans="2:16" ht="12.75">
      <c r="B155" s="2" t="s">
        <v>56</v>
      </c>
      <c r="C155" s="3" t="str">
        <f>"&lt;"&amp;C111*-1&amp;" ; "&amp;C111&amp;"&gt;"</f>
        <v>&lt;-2,00957523712924 ; 2,00957523712924&gt;</v>
      </c>
    </row>
    <row r="157" spans="2:16" ht="12.75">
      <c r="B157" s="2" t="s">
        <v>57</v>
      </c>
    </row>
    <row r="158" spans="2:16" ht="12.75">
      <c r="B158" s="2" t="s">
        <v>58</v>
      </c>
    </row>
    <row r="161" spans="2:16" ht="12.75">
      <c r="B161" s="11" t="s">
        <v>59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3" spans="2:16" ht="12.75">
      <c r="B163" s="37">
        <v>0.11</v>
      </c>
      <c r="C163" s="37">
        <v>1.88</v>
      </c>
    </row>
    <row r="164" spans="2:16" ht="12.75">
      <c r="B164" s="37">
        <v>1.17</v>
      </c>
      <c r="C164" s="37">
        <v>-0.01</v>
      </c>
    </row>
    <row r="165" spans="2:16" ht="12.75">
      <c r="B165" s="37">
        <v>2.57</v>
      </c>
      <c r="C165" s="37">
        <v>0.03</v>
      </c>
    </row>
    <row r="166" spans="2:16" ht="12.75">
      <c r="B166" s="37">
        <v>1.77</v>
      </c>
      <c r="C166" s="37">
        <v>0.36</v>
      </c>
    </row>
    <row r="167" spans="2:16" ht="12.75">
      <c r="B167" s="37">
        <v>0.88</v>
      </c>
      <c r="C167" s="37">
        <v>0.42</v>
      </c>
    </row>
    <row r="168" spans="2:16" ht="12.75">
      <c r="B168" s="37">
        <v>1.45</v>
      </c>
      <c r="C168" s="37">
        <v>1.34</v>
      </c>
    </row>
    <row r="169" spans="2:16" ht="12.75">
      <c r="B169" s="37">
        <v>1.78</v>
      </c>
      <c r="C169" s="37">
        <v>1.94</v>
      </c>
    </row>
    <row r="170" spans="2:16" ht="12.75">
      <c r="B170" s="37">
        <v>1.56</v>
      </c>
      <c r="C170" s="37">
        <v>1.99</v>
      </c>
    </row>
    <row r="171" spans="2:16" ht="12.75">
      <c r="B171" s="37">
        <v>1.01</v>
      </c>
      <c r="C171" s="37">
        <v>-0.32</v>
      </c>
    </row>
    <row r="172" spans="2:16" ht="12.75">
      <c r="B172" s="37">
        <v>2.25</v>
      </c>
      <c r="C172" s="37">
        <v>0.7</v>
      </c>
    </row>
    <row r="173" spans="2:16" ht="12.75">
      <c r="B173" s="37">
        <v>0.46</v>
      </c>
      <c r="C173" s="37">
        <v>-0.35</v>
      </c>
    </row>
    <row r="174" spans="2:16" ht="12.75">
      <c r="B174" s="37">
        <v>0.23</v>
      </c>
      <c r="C174" s="37">
        <v>1.44</v>
      </c>
    </row>
    <row r="175" spans="2:16" ht="12.75">
      <c r="B175" s="37">
        <v>0.59</v>
      </c>
      <c r="C175" s="37">
        <v>1.63</v>
      </c>
    </row>
    <row r="176" spans="2:16" ht="12.75">
      <c r="B176" s="37">
        <v>0.92</v>
      </c>
      <c r="C176" s="37">
        <v>-0.2</v>
      </c>
    </row>
    <row r="177" spans="2:8" ht="12.75">
      <c r="B177" s="37">
        <v>1.84</v>
      </c>
      <c r="C177" s="37">
        <v>0.87</v>
      </c>
    </row>
    <row r="178" spans="2:8" ht="12.75">
      <c r="B178" s="37">
        <v>2.2599999999999998</v>
      </c>
      <c r="C178" s="37">
        <v>-1.34</v>
      </c>
    </row>
    <row r="179" spans="2:8" ht="12.75">
      <c r="B179" s="37">
        <v>-0.28999999999999998</v>
      </c>
      <c r="C179" s="37">
        <v>2.0699999999999998</v>
      </c>
    </row>
    <row r="180" spans="2:8" ht="12.75">
      <c r="B180" s="37">
        <v>2.06</v>
      </c>
      <c r="C180" s="37">
        <v>-0.51</v>
      </c>
    </row>
    <row r="181" spans="2:8" ht="12.75">
      <c r="B181" s="37">
        <v>0.68</v>
      </c>
      <c r="C181" s="37">
        <v>3.31</v>
      </c>
    </row>
    <row r="182" spans="2:8" ht="12.75">
      <c r="B182" s="37">
        <v>2.1</v>
      </c>
      <c r="C182" s="37">
        <v>0.39</v>
      </c>
    </row>
    <row r="183" spans="2:8" ht="12.75">
      <c r="C183" s="37">
        <v>1.38</v>
      </c>
    </row>
    <row r="184" spans="2:8" ht="12.75">
      <c r="C184" s="37">
        <v>-0.98</v>
      </c>
    </row>
    <row r="185" spans="2:8" ht="12.75">
      <c r="C185" s="37">
        <v>0.53</v>
      </c>
    </row>
    <row r="186" spans="2:8" ht="12.75">
      <c r="C186" s="37">
        <v>-0.25</v>
      </c>
    </row>
    <row r="187" spans="2:8" ht="12.75">
      <c r="C187" s="37">
        <v>0.59</v>
      </c>
    </row>
    <row r="188" spans="2:8" ht="12.75">
      <c r="C188" s="37">
        <v>1.02</v>
      </c>
    </row>
    <row r="189" spans="2:8" ht="12.75">
      <c r="C189" s="37">
        <v>1.36</v>
      </c>
    </row>
    <row r="190" spans="2:8" ht="12.75">
      <c r="C190" s="37">
        <v>1.38</v>
      </c>
      <c r="E190" s="21" t="s">
        <v>60</v>
      </c>
    </row>
    <row r="191" spans="2:8" ht="12.75">
      <c r="C191" s="37">
        <v>1.98</v>
      </c>
      <c r="E191" s="21" t="s">
        <v>61</v>
      </c>
      <c r="F191" s="22"/>
      <c r="G191" s="22"/>
      <c r="H191" s="22"/>
    </row>
    <row r="192" spans="2:8" ht="12.75">
      <c r="C192" s="37">
        <v>-0.85</v>
      </c>
      <c r="E192" s="23" t="s">
        <v>62</v>
      </c>
      <c r="F192" s="22">
        <f>B197/C197</f>
        <v>0.55145197159791892</v>
      </c>
      <c r="G192" s="22"/>
      <c r="H192" s="22"/>
    </row>
    <row r="193" spans="1:8" ht="12.75">
      <c r="E193" s="21" t="s">
        <v>63</v>
      </c>
      <c r="F193" s="21">
        <v>0.05</v>
      </c>
      <c r="G193" s="22"/>
      <c r="H193" s="22"/>
    </row>
    <row r="194" spans="1:8" ht="12.75">
      <c r="E194" s="21" t="str">
        <f>"F_alfa/2("&amp;B195-1&amp;","&amp;C195-1&amp;")"</f>
        <v>F_alfa/2(19,29)</v>
      </c>
      <c r="F194" s="22">
        <f>_xlfn.F.INV(F193/2,B195-1,C195-1)</f>
        <v>0.41632966758773404</v>
      </c>
      <c r="G194" s="22"/>
      <c r="H194" s="22"/>
    </row>
    <row r="195" spans="1:8" ht="12.75">
      <c r="A195" s="2" t="s">
        <v>64</v>
      </c>
      <c r="B195" s="2">
        <v>20</v>
      </c>
      <c r="C195" s="2">
        <v>30</v>
      </c>
      <c r="E195" s="22" t="str">
        <f>"F_1-alfa/2("&amp;B195-1&amp;","&amp;C195-1&amp;")"</f>
        <v>F_1-alfa/2(19,29)</v>
      </c>
      <c r="F195" s="22">
        <f>_xlfn.F.INV(1-F193/2,B195-1,C195-1)</f>
        <v>2.2312738331007593</v>
      </c>
      <c r="G195" s="22"/>
      <c r="H195" s="22"/>
    </row>
    <row r="196" spans="1:8" ht="12.75">
      <c r="A196" s="2" t="s">
        <v>65</v>
      </c>
      <c r="B196" s="3">
        <f>SUM(B163:B182)/B195</f>
        <v>1.27</v>
      </c>
      <c r="C196" s="3">
        <f>SUM(C163:C192)/C195</f>
        <v>0.72666666666666657</v>
      </c>
      <c r="E196" s="23" t="s">
        <v>66</v>
      </c>
      <c r="F196" s="22" t="str">
        <f>"&lt;"&amp;F194&amp;" ; "&amp;F195&amp;"&gt;"</f>
        <v>&lt;0,416329667587734 ; 2,23127383310076&gt;</v>
      </c>
      <c r="G196" s="22"/>
      <c r="H196" s="22"/>
    </row>
    <row r="197" spans="1:8" ht="12.75">
      <c r="A197" s="2" t="s">
        <v>67</v>
      </c>
      <c r="B197" s="3">
        <f>VARP(B163:B182)</f>
        <v>0.6287299999999999</v>
      </c>
      <c r="C197" s="2">
        <f>VARP(C163:C192)</f>
        <v>1.1401355555555559</v>
      </c>
      <c r="E197" s="21" t="s">
        <v>68</v>
      </c>
      <c r="F197" s="22"/>
      <c r="G197" s="22"/>
      <c r="H197" s="22"/>
    </row>
    <row r="198" spans="1:8" ht="12.75">
      <c r="A198" s="2" t="s">
        <v>69</v>
      </c>
      <c r="B198" s="2">
        <f>_xlfn.STDEV.P(B163:B182)</f>
        <v>0.7929249649241723</v>
      </c>
      <c r="C198" s="2">
        <f>_xlfn.STDEV.P(C163:C192)</f>
        <v>1.0677713030211835</v>
      </c>
    </row>
    <row r="200" spans="1:8" ht="12.75">
      <c r="E200" s="21" t="s">
        <v>70</v>
      </c>
      <c r="F200" s="24" t="s">
        <v>71</v>
      </c>
      <c r="G200" s="22"/>
      <c r="H200" s="22"/>
    </row>
    <row r="201" spans="1:8" ht="12.75">
      <c r="E201" s="21" t="s">
        <v>72</v>
      </c>
      <c r="F201" s="22"/>
      <c r="G201" s="22"/>
      <c r="H201" s="22"/>
    </row>
    <row r="202" spans="1:8" ht="12.75">
      <c r="B202" s="25"/>
      <c r="E202" s="21" t="s">
        <v>73</v>
      </c>
      <c r="F202" s="22">
        <f>(B195+C195)-2</f>
        <v>48</v>
      </c>
      <c r="G202" s="22"/>
      <c r="H202" s="22"/>
    </row>
    <row r="203" spans="1:8" ht="12.75">
      <c r="E203" s="21" t="s">
        <v>40</v>
      </c>
      <c r="F203" s="21">
        <v>0.05</v>
      </c>
      <c r="G203" s="22"/>
      <c r="H203" s="22"/>
    </row>
    <row r="204" spans="1:8" ht="12.75">
      <c r="B204" s="25"/>
      <c r="E204" s="21" t="s">
        <v>74</v>
      </c>
      <c r="F204" s="22">
        <f>F203/2</f>
        <v>2.5000000000000001E-2</v>
      </c>
      <c r="G204" s="22"/>
      <c r="H204" s="22"/>
    </row>
    <row r="205" spans="1:8" ht="12.75">
      <c r="E205" s="21" t="s">
        <v>75</v>
      </c>
      <c r="F205" s="22">
        <f>_xlfn.T.INV(1-F203/2,F202)</f>
        <v>2.0106347576242314</v>
      </c>
      <c r="G205" s="22"/>
      <c r="H205" s="22"/>
    </row>
    <row r="206" spans="1:8" ht="12.75">
      <c r="E206" s="23" t="s">
        <v>76</v>
      </c>
      <c r="F206" s="22" t="str">
        <f>"&lt;"&amp;-1*F205&amp;";"&amp;F205&amp;"&gt;"</f>
        <v>&lt;-2,01063475762423;2,01063475762423&gt;</v>
      </c>
      <c r="G206" s="22"/>
      <c r="H206" s="22"/>
    </row>
    <row r="207" spans="1:8" ht="12.75">
      <c r="E207" s="21" t="s">
        <v>77</v>
      </c>
      <c r="F207" s="26">
        <v>0</v>
      </c>
      <c r="G207" s="22"/>
      <c r="H207" s="22"/>
    </row>
    <row r="208" spans="1:8" ht="12.75">
      <c r="E208" s="23" t="s">
        <v>55</v>
      </c>
      <c r="F208" s="22">
        <f>((B196-C196-F207) / SQRT(((B195-1)*B197) +((C195-1)*C197))) * (SQRT(((B195*C195)*(B195+C195-2)) / (B195+C195)))</f>
        <v>1.9436767711640788</v>
      </c>
      <c r="G208" s="27"/>
      <c r="H208" s="22"/>
    </row>
    <row r="209" spans="5:8" ht="12.75">
      <c r="E209" s="21" t="s">
        <v>78</v>
      </c>
      <c r="F209" s="22"/>
      <c r="G209" s="22"/>
      <c r="H209" s="22"/>
    </row>
    <row r="211" spans="5:8" ht="12.75">
      <c r="F211" s="27"/>
    </row>
    <row r="212" spans="5:8" ht="12.75">
      <c r="F212" s="24" t="s">
        <v>79</v>
      </c>
    </row>
    <row r="214" spans="5:8" ht="12.75">
      <c r="E214" s="28" t="s">
        <v>80</v>
      </c>
    </row>
  </sheetData>
  <hyperlinks>
    <hyperlink ref="E214" r:id="rId1" xr:uid="{00000000-0004-0000-0000-000000000000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79"/>
  <sheetViews>
    <sheetView tabSelected="1" topLeftCell="A97" workbookViewId="0">
      <selection activeCell="H111" sqref="H111"/>
    </sheetView>
  </sheetViews>
  <sheetFormatPr defaultColWidth="14.42578125" defaultRowHeight="15.75" customHeight="1"/>
  <sheetData>
    <row r="1" spans="1:18" ht="15.75" customHeight="1">
      <c r="A1" s="44">
        <v>3</v>
      </c>
      <c r="B1" s="45"/>
    </row>
    <row r="2" spans="1:18" ht="15.75" customHeight="1">
      <c r="A2" s="4" t="s">
        <v>81</v>
      </c>
      <c r="B2" s="29"/>
      <c r="D2" s="2" t="s">
        <v>64</v>
      </c>
      <c r="F2" s="3">
        <f>COUNT(A4:A23)</f>
        <v>20</v>
      </c>
    </row>
    <row r="3" spans="1:18" ht="15.75" customHeight="1">
      <c r="A3" s="4" t="s">
        <v>82</v>
      </c>
      <c r="B3" s="4" t="s">
        <v>83</v>
      </c>
      <c r="D3" s="2" t="s">
        <v>84</v>
      </c>
      <c r="F3" s="3">
        <f>AVERAGE(A4:A23)</f>
        <v>174.1</v>
      </c>
    </row>
    <row r="4" spans="1:18" ht="14.25">
      <c r="A4" s="38">
        <v>166</v>
      </c>
      <c r="B4" s="38">
        <v>67.092187854469032</v>
      </c>
      <c r="D4" s="2" t="s">
        <v>85</v>
      </c>
      <c r="F4" s="3">
        <f>AVERAGE(B4:B23)</f>
        <v>82.920789156317596</v>
      </c>
      <c r="K4" s="43"/>
      <c r="M4" s="42"/>
    </row>
    <row r="5" spans="1:18" ht="14.25">
      <c r="A5" s="38">
        <v>152</v>
      </c>
      <c r="B5" s="38">
        <v>52.275136156244642</v>
      </c>
      <c r="D5" s="2" t="s">
        <v>86</v>
      </c>
      <c r="F5" s="3">
        <f>SUMSQ(A4:A23)</f>
        <v>612014</v>
      </c>
      <c r="K5" s="43"/>
    </row>
    <row r="6" spans="1:18" ht="14.25">
      <c r="A6" s="38">
        <v>154</v>
      </c>
      <c r="B6" s="38">
        <v>78.472464405395215</v>
      </c>
      <c r="D6" s="2" t="s">
        <v>87</v>
      </c>
      <c r="F6" s="3">
        <f>SUMSQ(B4:B23)</f>
        <v>145333.4948086231</v>
      </c>
      <c r="K6" s="43"/>
    </row>
    <row r="7" spans="1:18" ht="14.25">
      <c r="A7" s="38">
        <v>155</v>
      </c>
      <c r="B7" s="38">
        <v>57.281291138311616</v>
      </c>
      <c r="D7" s="2" t="s">
        <v>88</v>
      </c>
      <c r="F7" s="3">
        <f>SUMPRODUCT(A4:A23,B4:B23)</f>
        <v>295053.9484981306</v>
      </c>
      <c r="K7" s="43"/>
    </row>
    <row r="8" spans="1:18" ht="14.25">
      <c r="A8" s="38">
        <v>190</v>
      </c>
      <c r="B8" s="38">
        <v>108.81726243140818</v>
      </c>
      <c r="K8" s="43"/>
    </row>
    <row r="9" spans="1:18" ht="14.25">
      <c r="A9" s="38">
        <v>182</v>
      </c>
      <c r="B9" s="38">
        <v>96.869579080583492</v>
      </c>
      <c r="K9" s="43"/>
    </row>
    <row r="10" spans="1:18" ht="14.25">
      <c r="A10" s="38">
        <v>153</v>
      </c>
      <c r="B10" s="38">
        <v>58.291228804815773</v>
      </c>
      <c r="K10" s="43"/>
    </row>
    <row r="11" spans="1:18" ht="14.25">
      <c r="A11" s="38">
        <v>193</v>
      </c>
      <c r="B11" s="38">
        <v>95.117538044840174</v>
      </c>
      <c r="K11" s="43"/>
    </row>
    <row r="12" spans="1:18" ht="14.25">
      <c r="A12" s="38">
        <v>191</v>
      </c>
      <c r="B12" s="38">
        <v>97.749078257660415</v>
      </c>
      <c r="K12" s="43"/>
    </row>
    <row r="13" spans="1:18" ht="14.25">
      <c r="A13" s="38">
        <v>166</v>
      </c>
      <c r="B13" s="38">
        <v>81.741693732823038</v>
      </c>
      <c r="D13" s="11" t="s">
        <v>10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30"/>
    </row>
    <row r="14" spans="1:18" ht="14.25">
      <c r="A14" s="38">
        <v>164</v>
      </c>
      <c r="B14" s="38">
        <v>67.650352904768113</v>
      </c>
      <c r="K14" s="43"/>
    </row>
    <row r="15" spans="1:18" ht="14.25">
      <c r="A15" s="38">
        <v>186</v>
      </c>
      <c r="B15" s="38">
        <v>89.875038728747697</v>
      </c>
      <c r="D15" s="2" t="s">
        <v>89</v>
      </c>
      <c r="F15" s="3">
        <f>CORREL(A4:A23,B4:B23)</f>
        <v>0.93938112382659145</v>
      </c>
      <c r="K15" s="43"/>
    </row>
    <row r="16" spans="1:18" ht="14.25">
      <c r="A16" s="38">
        <v>175</v>
      </c>
      <c r="B16" s="38">
        <v>85.406150991065601</v>
      </c>
      <c r="K16" s="43"/>
    </row>
    <row r="17" spans="1:17" ht="14.25">
      <c r="A17" s="38">
        <v>154</v>
      </c>
      <c r="B17" s="38">
        <v>54.304659597564246</v>
      </c>
      <c r="D17" s="11" t="s">
        <v>19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14.25">
      <c r="A18" s="38">
        <v>200</v>
      </c>
      <c r="B18" s="38">
        <v>104.0342304661738</v>
      </c>
      <c r="K18" s="43"/>
    </row>
    <row r="19" spans="1:17" ht="14.25">
      <c r="A19" s="38">
        <v>199</v>
      </c>
      <c r="B19" s="38">
        <v>109.96838634967632</v>
      </c>
      <c r="D19" s="2" t="s">
        <v>63</v>
      </c>
      <c r="E19" s="2">
        <v>0.05</v>
      </c>
      <c r="K19" s="43"/>
    </row>
    <row r="20" spans="1:17" ht="14.25">
      <c r="A20" s="38">
        <v>164</v>
      </c>
      <c r="B20" s="38">
        <v>75.426975327530513</v>
      </c>
      <c r="D20" s="2" t="s">
        <v>90</v>
      </c>
      <c r="K20" s="43"/>
    </row>
    <row r="21" spans="1:17" ht="14.25">
      <c r="A21" s="38">
        <v>200</v>
      </c>
      <c r="B21" s="38">
        <v>118.99800675675837</v>
      </c>
      <c r="K21" s="43"/>
    </row>
    <row r="22" spans="1:17" ht="14.25">
      <c r="A22" s="38">
        <v>180</v>
      </c>
      <c r="B22" s="38">
        <v>94.402723077225801</v>
      </c>
      <c r="D22" s="2" t="s">
        <v>91</v>
      </c>
      <c r="E22" s="3">
        <f>(F15*SQRT(F2-2))/SQRT(1-(F15*F15))</f>
        <v>11.623650930766503</v>
      </c>
      <c r="K22" s="43"/>
    </row>
    <row r="23" spans="1:17" ht="14.25">
      <c r="A23" s="38">
        <v>158</v>
      </c>
      <c r="B23" s="38">
        <v>64.641799020289852</v>
      </c>
      <c r="K23" s="43"/>
    </row>
    <row r="24" spans="1:17" ht="15">
      <c r="B24" s="42"/>
      <c r="D24" s="31" t="s">
        <v>92</v>
      </c>
      <c r="E24" s="2">
        <f>_xlfn.T.INV(1-E19/2,F2-2)</f>
        <v>2.1009220402410378</v>
      </c>
    </row>
    <row r="25" spans="1:17" ht="15">
      <c r="D25" s="31" t="s">
        <v>93</v>
      </c>
      <c r="E25" s="3" t="str">
        <f>"&lt;"&amp;0&amp;";"&amp;E24&amp;"&gt;"</f>
        <v>&lt;0;2,10092204024104&gt;</v>
      </c>
    </row>
    <row r="27" spans="1:17" ht="18">
      <c r="D27" s="2" t="s">
        <v>94</v>
      </c>
      <c r="E27" s="32"/>
    </row>
    <row r="41" spans="1:17" ht="12.75">
      <c r="A41" s="33" t="s">
        <v>25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ht="12.75">
      <c r="B42" s="2" t="s">
        <v>95</v>
      </c>
      <c r="C42" s="2" t="s">
        <v>96</v>
      </c>
      <c r="D42" s="2" t="s">
        <v>97</v>
      </c>
      <c r="E42" s="2" t="s">
        <v>98</v>
      </c>
      <c r="F42" s="2" t="s">
        <v>99</v>
      </c>
    </row>
    <row r="43" spans="1:17" ht="12.75">
      <c r="B43" s="7">
        <v>166</v>
      </c>
      <c r="C43" s="7">
        <v>67.092187854469032</v>
      </c>
      <c r="D43" s="3">
        <f t="shared" ref="D43:E43" si="0">B43*B43</f>
        <v>27556</v>
      </c>
      <c r="E43" s="3">
        <f t="shared" si="0"/>
        <v>4501.361671099362</v>
      </c>
      <c r="F43" s="3">
        <f t="shared" ref="F43:F62" si="1">B43*C43</f>
        <v>11137.303183841859</v>
      </c>
      <c r="H43" s="26" t="s">
        <v>100</v>
      </c>
    </row>
    <row r="44" spans="1:17" ht="12.75">
      <c r="B44" s="7">
        <v>152</v>
      </c>
      <c r="C44" s="7">
        <v>52.275136156244642</v>
      </c>
      <c r="D44" s="3">
        <f t="shared" ref="D44:E44" si="2">B44*B44</f>
        <v>23104</v>
      </c>
      <c r="E44" s="3">
        <f t="shared" si="2"/>
        <v>2732.689860153916</v>
      </c>
      <c r="F44" s="3">
        <f t="shared" si="1"/>
        <v>7945.8206957491857</v>
      </c>
      <c r="H44" s="2" t="s">
        <v>101</v>
      </c>
      <c r="I44" s="3">
        <f>F2*D63 - (B63 * B63)</f>
        <v>115956</v>
      </c>
    </row>
    <row r="45" spans="1:17" ht="12.75">
      <c r="B45" s="7">
        <v>154</v>
      </c>
      <c r="C45" s="7">
        <v>78.472464405395215</v>
      </c>
      <c r="D45" s="3">
        <f t="shared" ref="D45:E45" si="3">B45*B45</f>
        <v>23716</v>
      </c>
      <c r="E45" s="3">
        <f t="shared" si="3"/>
        <v>6157.9276698560188</v>
      </c>
      <c r="F45" s="3">
        <f t="shared" si="1"/>
        <v>12084.759518430863</v>
      </c>
      <c r="H45" s="9" t="s">
        <v>102</v>
      </c>
      <c r="I45" s="3">
        <f>(1/I44) * ((F2 * F63) - (B63 * C63))</f>
        <v>1.0907172816986976</v>
      </c>
    </row>
    <row r="46" spans="1:17" ht="12.75">
      <c r="B46" s="7">
        <v>155</v>
      </c>
      <c r="C46" s="7">
        <v>57.281291138311616</v>
      </c>
      <c r="D46" s="3">
        <f t="shared" ref="D46:E46" si="4">B46*B46</f>
        <v>24025</v>
      </c>
      <c r="E46" s="3">
        <f t="shared" si="4"/>
        <v>3281.1463144720169</v>
      </c>
      <c r="F46" s="3">
        <f t="shared" si="1"/>
        <v>8878.6001264383012</v>
      </c>
      <c r="H46" s="2" t="s">
        <v>103</v>
      </c>
      <c r="I46" s="3">
        <f>C64 - I45*B64</f>
        <v>-106.97308958742565</v>
      </c>
    </row>
    <row r="47" spans="1:17" ht="12.75">
      <c r="B47" s="7">
        <v>190</v>
      </c>
      <c r="C47" s="7">
        <v>108.81726243140818</v>
      </c>
      <c r="D47" s="3">
        <f t="shared" ref="D47:E47" si="5">B47*B47</f>
        <v>36100</v>
      </c>
      <c r="E47" s="3">
        <f t="shared" si="5"/>
        <v>11841.196603065959</v>
      </c>
      <c r="F47" s="3">
        <f t="shared" si="1"/>
        <v>20675.279861967556</v>
      </c>
      <c r="H47" s="2" t="s">
        <v>104</v>
      </c>
      <c r="I47" s="2" t="s">
        <v>105</v>
      </c>
      <c r="J47" s="2" t="s">
        <v>106</v>
      </c>
    </row>
    <row r="48" spans="1:17" ht="12.75">
      <c r="B48" s="7">
        <v>182</v>
      </c>
      <c r="C48" s="7">
        <v>96.869579080583492</v>
      </c>
      <c r="D48" s="3">
        <f t="shared" ref="D48:E48" si="6">B48*B48</f>
        <v>33124</v>
      </c>
      <c r="E48" s="3">
        <f t="shared" si="6"/>
        <v>9383.7153512494187</v>
      </c>
      <c r="F48" s="3">
        <f t="shared" si="1"/>
        <v>17630.263392666195</v>
      </c>
      <c r="H48" s="2" t="s">
        <v>107</v>
      </c>
      <c r="I48" s="3">
        <f>E63 - (I46 * C63) - (I45 * F63)</f>
        <v>918.91428985050879</v>
      </c>
    </row>
    <row r="49" spans="1:9" ht="12.75">
      <c r="B49" s="7">
        <v>153</v>
      </c>
      <c r="C49" s="7">
        <v>58.291228804815773</v>
      </c>
      <c r="D49" s="3">
        <f t="shared" ref="D49:E49" si="7">B49*B49</f>
        <v>23409</v>
      </c>
      <c r="E49" s="3">
        <f t="shared" si="7"/>
        <v>3397.867355575384</v>
      </c>
      <c r="F49" s="3">
        <f t="shared" si="1"/>
        <v>8918.5580071368131</v>
      </c>
      <c r="H49" s="2" t="s">
        <v>108</v>
      </c>
      <c r="I49" s="3">
        <f>I48 / (F2 - 2)</f>
        <v>51.050793880583825</v>
      </c>
    </row>
    <row r="50" spans="1:9" ht="12.75">
      <c r="B50" s="7">
        <v>193</v>
      </c>
      <c r="C50" s="7">
        <v>95.117538044840174</v>
      </c>
      <c r="D50" s="3">
        <f t="shared" ref="D50:E50" si="8">B50*B50</f>
        <v>37249</v>
      </c>
      <c r="E50" s="3">
        <f t="shared" si="8"/>
        <v>9047.3460437116173</v>
      </c>
      <c r="F50" s="3">
        <f t="shared" si="1"/>
        <v>18357.684842654155</v>
      </c>
    </row>
    <row r="51" spans="1:9" ht="12.75">
      <c r="B51" s="7">
        <v>191</v>
      </c>
      <c r="C51" s="7">
        <v>97.749078257660415</v>
      </c>
      <c r="D51" s="3">
        <f t="shared" ref="D51:E51" si="9">B51*B51</f>
        <v>36481</v>
      </c>
      <c r="E51" s="3">
        <f t="shared" si="9"/>
        <v>9554.8823002222198</v>
      </c>
      <c r="F51" s="3">
        <f t="shared" si="1"/>
        <v>18670.073947213139</v>
      </c>
    </row>
    <row r="52" spans="1:9" ht="12.75">
      <c r="B52" s="7">
        <v>166</v>
      </c>
      <c r="C52" s="7">
        <v>81.741693732823038</v>
      </c>
      <c r="D52" s="3">
        <f t="shared" ref="D52:E52" si="10">B52*B52</f>
        <v>27556</v>
      </c>
      <c r="E52" s="3">
        <f t="shared" si="10"/>
        <v>6681.7044943106412</v>
      </c>
      <c r="F52" s="3">
        <f t="shared" si="1"/>
        <v>13569.121159648625</v>
      </c>
      <c r="H52" s="26" t="s">
        <v>109</v>
      </c>
    </row>
    <row r="53" spans="1:9" ht="12.75">
      <c r="B53" s="7">
        <v>164</v>
      </c>
      <c r="C53" s="7">
        <v>67.650352904768113</v>
      </c>
      <c r="D53" s="3">
        <f t="shared" ref="D53:E53" si="11">B53*B53</f>
        <v>26896</v>
      </c>
      <c r="E53" s="3">
        <f t="shared" si="11"/>
        <v>4576.5702481396675</v>
      </c>
      <c r="F53" s="3">
        <f t="shared" si="1"/>
        <v>11094.657876381971</v>
      </c>
      <c r="H53" s="2" t="s">
        <v>110</v>
      </c>
      <c r="I53" s="2">
        <v>-100</v>
      </c>
    </row>
    <row r="54" spans="1:9" ht="12.75">
      <c r="B54" s="7">
        <v>186</v>
      </c>
      <c r="C54" s="7">
        <v>89.875038728747697</v>
      </c>
      <c r="D54" s="3">
        <f t="shared" ref="D54:E54" si="12">B54*B54</f>
        <v>34596</v>
      </c>
      <c r="E54" s="3">
        <f t="shared" si="12"/>
        <v>8077.5225864938984</v>
      </c>
      <c r="F54" s="3">
        <f t="shared" si="1"/>
        <v>16716.757203547073</v>
      </c>
      <c r="H54" s="9" t="s">
        <v>111</v>
      </c>
      <c r="I54" s="2">
        <v>1</v>
      </c>
    </row>
    <row r="55" spans="1:9" ht="12.75">
      <c r="B55" s="7">
        <v>175</v>
      </c>
      <c r="C55" s="7">
        <v>85.406150991065601</v>
      </c>
      <c r="D55" s="3">
        <f t="shared" ref="D55:E55" si="13">B55*B55</f>
        <v>30625</v>
      </c>
      <c r="E55" s="3">
        <f t="shared" si="13"/>
        <v>7294.2106271086959</v>
      </c>
      <c r="F55" s="3">
        <f t="shared" si="1"/>
        <v>14946.07642343648</v>
      </c>
      <c r="H55" s="2" t="s">
        <v>112</v>
      </c>
      <c r="I55" s="3">
        <f>D63/I44</f>
        <v>5.2779847528372832</v>
      </c>
    </row>
    <row r="56" spans="1:9" ht="12.75">
      <c r="B56" s="7">
        <v>154</v>
      </c>
      <c r="C56" s="7">
        <v>54.304659597564246</v>
      </c>
      <c r="D56" s="3">
        <f t="shared" ref="D56:E56" si="14">B56*B56</f>
        <v>23716</v>
      </c>
      <c r="E56" s="3">
        <f t="shared" si="14"/>
        <v>2948.9960540073266</v>
      </c>
      <c r="F56" s="3">
        <f t="shared" si="1"/>
        <v>8362.9175780248934</v>
      </c>
      <c r="H56" s="2" t="s">
        <v>62</v>
      </c>
      <c r="I56" s="3">
        <f>(I46-(-100))/(SQRT(I49)*SQRT(I55))</f>
        <v>-0.42480530263053357</v>
      </c>
    </row>
    <row r="57" spans="1:9" ht="12.75">
      <c r="B57" s="7">
        <v>200</v>
      </c>
      <c r="C57" s="7">
        <v>104.0342304661738</v>
      </c>
      <c r="D57" s="3">
        <f t="shared" ref="D57:E57" si="15">B57*B57</f>
        <v>40000</v>
      </c>
      <c r="E57" s="3">
        <f t="shared" si="15"/>
        <v>10823.121108688963</v>
      </c>
      <c r="F57" s="3">
        <f t="shared" si="1"/>
        <v>20806.846093234759</v>
      </c>
      <c r="H57" s="2" t="s">
        <v>92</v>
      </c>
      <c r="I57" s="3">
        <f>_xlfn.T.INV(1-E19/2,F2-2)</f>
        <v>2.1009220402410378</v>
      </c>
    </row>
    <row r="58" spans="1:9" ht="12.75">
      <c r="B58" s="7">
        <v>199</v>
      </c>
      <c r="C58" s="7">
        <v>109.96838634967632</v>
      </c>
      <c r="D58" s="3">
        <f t="shared" ref="D58:E58" si="16">B58*B58</f>
        <v>39601</v>
      </c>
      <c r="E58" s="3">
        <f t="shared" si="16"/>
        <v>12093.045996351677</v>
      </c>
      <c r="F58" s="3">
        <f t="shared" si="1"/>
        <v>21883.708883585587</v>
      </c>
      <c r="H58" s="2" t="s">
        <v>93</v>
      </c>
      <c r="I58" s="3" t="str">
        <f>"&lt;"&amp;I57*-1&amp;";"&amp;I57&amp;"&gt;"</f>
        <v>&lt;-2,10092204024104;2,10092204024104&gt;</v>
      </c>
    </row>
    <row r="59" spans="1:9" ht="12.75">
      <c r="B59" s="7">
        <v>164</v>
      </c>
      <c r="C59" s="7">
        <v>75.426975327530513</v>
      </c>
      <c r="D59" s="3">
        <f t="shared" ref="D59:E59" si="17">B59*B59</f>
        <v>26896</v>
      </c>
      <c r="E59" s="3">
        <f t="shared" si="17"/>
        <v>5689.2286070598966</v>
      </c>
      <c r="F59" s="3">
        <f t="shared" si="1"/>
        <v>12370.023953715005</v>
      </c>
      <c r="H59" s="2" t="s">
        <v>113</v>
      </c>
    </row>
    <row r="60" spans="1:9" ht="12.75">
      <c r="B60" s="7">
        <v>200</v>
      </c>
      <c r="C60" s="7">
        <v>118.99800675675837</v>
      </c>
      <c r="D60" s="3">
        <f t="shared" ref="D60:E60" si="18">B60*B60</f>
        <v>40000</v>
      </c>
      <c r="E60" s="3">
        <f t="shared" si="18"/>
        <v>14160.52561208151</v>
      </c>
      <c r="F60" s="3">
        <f t="shared" si="1"/>
        <v>23799.601351351674</v>
      </c>
      <c r="H60" s="2" t="s">
        <v>64</v>
      </c>
      <c r="I60" s="3">
        <f>COUNT(B43:B62)</f>
        <v>20</v>
      </c>
    </row>
    <row r="61" spans="1:9" ht="12.75">
      <c r="B61" s="7">
        <v>180</v>
      </c>
      <c r="C61" s="7">
        <v>94.402723077225801</v>
      </c>
      <c r="D61" s="3">
        <f t="shared" ref="D61:E61" si="19">B61*B61</f>
        <v>32400</v>
      </c>
      <c r="E61" s="3">
        <f t="shared" si="19"/>
        <v>8911.8741243953809</v>
      </c>
      <c r="F61" s="3">
        <f t="shared" si="1"/>
        <v>16992.490153900646</v>
      </c>
      <c r="H61" s="2" t="s">
        <v>114</v>
      </c>
      <c r="I61" s="3">
        <f>I60/I44</f>
        <v>1.7247921625444134E-4</v>
      </c>
    </row>
    <row r="62" spans="1:9" ht="12.75">
      <c r="B62" s="7">
        <v>158</v>
      </c>
      <c r="C62" s="7">
        <v>64.641799020289852</v>
      </c>
      <c r="D62" s="3">
        <f t="shared" ref="D62:E62" si="20">B62*B62</f>
        <v>24964</v>
      </c>
      <c r="E62" s="3">
        <f t="shared" si="20"/>
        <v>4178.5621805795463</v>
      </c>
      <c r="F62" s="3">
        <f t="shared" si="1"/>
        <v>10213.404245205797</v>
      </c>
      <c r="H62" s="2" t="s">
        <v>115</v>
      </c>
      <c r="I62" s="3">
        <f>($I$45-1)/(SQRT($I$49)*SQRT($I$61))</f>
        <v>0.96676382922204718</v>
      </c>
    </row>
    <row r="63" spans="1:9" ht="12.75">
      <c r="A63" s="2" t="s">
        <v>116</v>
      </c>
      <c r="B63" s="34">
        <f t="shared" ref="B63:F63" si="21">SUM(B43:B62)</f>
        <v>3482</v>
      </c>
      <c r="C63" s="35">
        <f t="shared" si="21"/>
        <v>1658.4157831263519</v>
      </c>
      <c r="D63" s="35">
        <f t="shared" si="21"/>
        <v>612014</v>
      </c>
      <c r="E63" s="35">
        <f t="shared" si="21"/>
        <v>145333.4948086231</v>
      </c>
      <c r="F63" s="36">
        <f t="shared" si="21"/>
        <v>295053.9484981306</v>
      </c>
      <c r="H63" s="2" t="s">
        <v>92</v>
      </c>
      <c r="I63" s="3">
        <f>_xlfn.T.INV(1-E19/2,F2-2)</f>
        <v>2.1009220402410378</v>
      </c>
    </row>
    <row r="64" spans="1:9" ht="12.75">
      <c r="A64" s="2" t="s">
        <v>65</v>
      </c>
      <c r="B64" s="34">
        <f t="shared" ref="B64:C64" si="22">AVERAGE(B43:B62)</f>
        <v>174.1</v>
      </c>
      <c r="C64" s="35">
        <f t="shared" si="22"/>
        <v>82.920789156317596</v>
      </c>
      <c r="D64" s="35"/>
      <c r="E64" s="35"/>
      <c r="F64" s="36"/>
      <c r="H64" s="2" t="s">
        <v>93</v>
      </c>
      <c r="I64" s="3" t="str">
        <f>"&lt;"&amp;I63*-1&amp;";"&amp;I63&amp;"&gt;"</f>
        <v>&lt;-2,10092204024104;2,10092204024104&gt;</v>
      </c>
    </row>
    <row r="65" spans="1:8" ht="12.75">
      <c r="H65" s="2" t="s">
        <v>117</v>
      </c>
    </row>
    <row r="67" spans="1:8" ht="12.75">
      <c r="D67" s="46" t="s">
        <v>118</v>
      </c>
      <c r="E67" s="47"/>
      <c r="F67" s="46" t="s">
        <v>119</v>
      </c>
      <c r="G67" s="47"/>
    </row>
    <row r="68" spans="1:8" ht="12.75">
      <c r="A68" s="21" t="s">
        <v>120</v>
      </c>
      <c r="B68" s="9" t="s">
        <v>121</v>
      </c>
      <c r="C68" s="9" t="s">
        <v>122</v>
      </c>
      <c r="D68" s="2" t="s">
        <v>123</v>
      </c>
      <c r="E68" s="2" t="s">
        <v>124</v>
      </c>
      <c r="F68" s="2" t="s">
        <v>123</v>
      </c>
      <c r="G68" s="2" t="s">
        <v>124</v>
      </c>
      <c r="H68" s="2" t="s">
        <v>125</v>
      </c>
    </row>
    <row r="69" spans="1:8" ht="12.75">
      <c r="B69" s="9">
        <v>150</v>
      </c>
      <c r="C69" s="3">
        <f t="shared" ref="C69:C79" si="23">$I$45*B69+$I$46</f>
        <v>56.634502667378996</v>
      </c>
      <c r="D69" s="3">
        <f t="shared" ref="D69:D79" si="24">C69-$I$57*SQRT($I$49)*SQRT(H69)</f>
        <v>50.817304689476828</v>
      </c>
      <c r="E69" s="3">
        <f t="shared" ref="E69:E79" si="25">C69+$I$57*SQRT($I$49)*SQRT(H69)</f>
        <v>62.451700645281164</v>
      </c>
      <c r="F69" s="3">
        <f t="shared" ref="F69:F79" si="26">C69-$I$57*SQRT($I$49)*SQRT(H69+1)</f>
        <v>40.535697293961583</v>
      </c>
      <c r="G69" s="3">
        <f t="shared" ref="G69:G79" si="27">C69+$I$57*SQRT($I$49)*SQRT(H69+1)</f>
        <v>72.733308040796402</v>
      </c>
      <c r="H69" s="2">
        <f t="shared" ref="H69:H79" si="28">1/$I$60+(($I$60*(B69-$B$64)^2)/$I$44)</f>
        <v>0.15017765359274202</v>
      </c>
    </row>
    <row r="70" spans="1:8" ht="12.75">
      <c r="B70" s="9">
        <v>155</v>
      </c>
      <c r="C70" s="3">
        <f t="shared" si="23"/>
        <v>62.088089075872489</v>
      </c>
      <c r="D70" s="3">
        <f t="shared" si="24"/>
        <v>57.043790989775417</v>
      </c>
      <c r="E70" s="3">
        <f t="shared" si="25"/>
        <v>67.132387161969561</v>
      </c>
      <c r="F70" s="3">
        <f t="shared" si="26"/>
        <v>46.252158875266439</v>
      </c>
      <c r="G70" s="3">
        <f t="shared" si="27"/>
        <v>77.924019276478546</v>
      </c>
      <c r="H70" s="2">
        <f t="shared" si="28"/>
        <v>0.11292214288178271</v>
      </c>
    </row>
    <row r="71" spans="1:8" ht="12.75">
      <c r="B71" s="9">
        <v>160</v>
      </c>
      <c r="C71" s="3">
        <f t="shared" si="23"/>
        <v>67.541675484365982</v>
      </c>
      <c r="D71" s="3">
        <f t="shared" si="24"/>
        <v>63.183539855137752</v>
      </c>
      <c r="E71" s="3">
        <f t="shared" si="25"/>
        <v>71.899811113594211</v>
      </c>
      <c r="F71" s="3">
        <f t="shared" si="26"/>
        <v>51.91077377333815</v>
      </c>
      <c r="G71" s="3">
        <f t="shared" si="27"/>
        <v>83.172577195393814</v>
      </c>
      <c r="H71" s="2">
        <f t="shared" si="28"/>
        <v>8.4290592983545465E-2</v>
      </c>
    </row>
    <row r="72" spans="1:8" ht="12.75">
      <c r="B72" s="9">
        <v>165</v>
      </c>
      <c r="C72" s="3">
        <f t="shared" si="23"/>
        <v>72.995261892859475</v>
      </c>
      <c r="D72" s="3">
        <f t="shared" si="24"/>
        <v>69.189345280774177</v>
      </c>
      <c r="E72" s="3">
        <f t="shared" si="25"/>
        <v>76.801178504944772</v>
      </c>
      <c r="F72" s="3">
        <f t="shared" si="26"/>
        <v>57.509244218996024</v>
      </c>
      <c r="G72" s="3">
        <f t="shared" si="27"/>
        <v>88.481279566722918</v>
      </c>
      <c r="H72" s="2">
        <f t="shared" si="28"/>
        <v>6.4283003898030266E-2</v>
      </c>
    </row>
    <row r="73" spans="1:8" ht="12.75">
      <c r="B73" s="9">
        <v>170</v>
      </c>
      <c r="C73" s="3">
        <f t="shared" si="23"/>
        <v>78.448848301352939</v>
      </c>
      <c r="D73" s="3">
        <f t="shared" si="24"/>
        <v>74.99632625687623</v>
      </c>
      <c r="E73" s="3">
        <f t="shared" si="25"/>
        <v>81.901370345829648</v>
      </c>
      <c r="F73" s="3">
        <f t="shared" si="26"/>
        <v>63.045872919802079</v>
      </c>
      <c r="G73" s="3">
        <f t="shared" si="27"/>
        <v>93.851823682903799</v>
      </c>
      <c r="H73" s="2">
        <f t="shared" si="28"/>
        <v>5.2899375625237152E-2</v>
      </c>
    </row>
    <row r="74" spans="1:8" ht="12.75">
      <c r="B74" s="9">
        <v>175</v>
      </c>
      <c r="C74" s="3">
        <f t="shared" si="23"/>
        <v>83.902434709846432</v>
      </c>
      <c r="D74" s="3">
        <f t="shared" si="24"/>
        <v>80.541174858079415</v>
      </c>
      <c r="E74" s="3">
        <f t="shared" si="25"/>
        <v>87.263694561613448</v>
      </c>
      <c r="F74" s="3">
        <f t="shared" si="26"/>
        <v>68.519658304783363</v>
      </c>
      <c r="G74" s="3">
        <f t="shared" si="27"/>
        <v>99.285211114909501</v>
      </c>
      <c r="H74" s="2">
        <f t="shared" si="28"/>
        <v>5.0139708165166101E-2</v>
      </c>
    </row>
    <row r="75" spans="1:8" ht="12.75">
      <c r="B75" s="9">
        <v>180</v>
      </c>
      <c r="C75" s="3">
        <f t="shared" si="23"/>
        <v>89.356021118339925</v>
      </c>
      <c r="D75" s="3">
        <f t="shared" si="24"/>
        <v>85.803630482633238</v>
      </c>
      <c r="E75" s="3">
        <f t="shared" si="25"/>
        <v>92.908411754046611</v>
      </c>
      <c r="F75" s="3">
        <f t="shared" si="26"/>
        <v>73.930353503428705</v>
      </c>
      <c r="G75" s="3">
        <f t="shared" si="27"/>
        <v>104.78168873325114</v>
      </c>
      <c r="H75" s="2">
        <f t="shared" si="28"/>
        <v>5.600400151781712E-2</v>
      </c>
    </row>
    <row r="76" spans="1:8" ht="12.75">
      <c r="B76" s="9">
        <v>185</v>
      </c>
      <c r="C76" s="3">
        <f t="shared" si="23"/>
        <v>94.809607526833418</v>
      </c>
      <c r="D76" s="3">
        <f t="shared" si="24"/>
        <v>90.824115991242778</v>
      </c>
      <c r="E76" s="3">
        <f t="shared" si="25"/>
        <v>98.795099062424057</v>
      </c>
      <c r="F76" s="3">
        <f t="shared" si="26"/>
        <v>79.278481202019464</v>
      </c>
      <c r="G76" s="3">
        <f t="shared" si="27"/>
        <v>110.34073385164737</v>
      </c>
      <c r="H76" s="2">
        <f t="shared" si="28"/>
        <v>7.0492255683190203E-2</v>
      </c>
    </row>
    <row r="77" spans="1:8" ht="12.75">
      <c r="B77" s="9">
        <v>190</v>
      </c>
      <c r="C77" s="3">
        <f t="shared" si="23"/>
        <v>100.26319393532691</v>
      </c>
      <c r="D77" s="3">
        <f t="shared" si="24"/>
        <v>95.670584824382985</v>
      </c>
      <c r="E77" s="3">
        <f t="shared" si="25"/>
        <v>104.85580304627084</v>
      </c>
      <c r="F77" s="3">
        <f t="shared" si="26"/>
        <v>84.565302338587259</v>
      </c>
      <c r="G77" s="3">
        <f t="shared" si="27"/>
        <v>115.96108553206656</v>
      </c>
      <c r="H77" s="2">
        <f t="shared" si="28"/>
        <v>9.3604470661285355E-2</v>
      </c>
    </row>
    <row r="78" spans="1:8" ht="12.75">
      <c r="B78" s="9">
        <v>195</v>
      </c>
      <c r="C78" s="3">
        <f t="shared" si="23"/>
        <v>105.7167803438204</v>
      </c>
      <c r="D78" s="3">
        <f t="shared" si="24"/>
        <v>100.40234469874594</v>
      </c>
      <c r="E78" s="3">
        <f t="shared" si="25"/>
        <v>111.03121598889487</v>
      </c>
      <c r="F78" s="3">
        <f t="shared" si="26"/>
        <v>89.79274290469391</v>
      </c>
      <c r="G78" s="3">
        <f t="shared" si="27"/>
        <v>121.6408177829469</v>
      </c>
      <c r="H78" s="2">
        <f t="shared" si="28"/>
        <v>0.12534064645210258</v>
      </c>
    </row>
    <row r="79" spans="1:8" ht="12.75">
      <c r="B79" s="2">
        <v>200</v>
      </c>
      <c r="C79" s="3">
        <f t="shared" si="23"/>
        <v>111.17036675231387</v>
      </c>
      <c r="D79" s="3">
        <f t="shared" si="24"/>
        <v>105.05991291324402</v>
      </c>
      <c r="E79" s="3">
        <f t="shared" si="25"/>
        <v>117.28082059138372</v>
      </c>
      <c r="F79" s="3">
        <f t="shared" si="26"/>
        <v>94.963288414239855</v>
      </c>
      <c r="G79" s="3">
        <f t="shared" si="27"/>
        <v>127.37744509038788</v>
      </c>
      <c r="H79" s="2">
        <f t="shared" si="28"/>
        <v>0.16570078305564184</v>
      </c>
    </row>
  </sheetData>
  <mergeCells count="3">
    <mergeCell ref="A1:B1"/>
    <mergeCell ref="D67:E67"/>
    <mergeCell ref="F67:G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Oraman</cp:lastModifiedBy>
  <dcterms:created xsi:type="dcterms:W3CDTF">2020-11-26T18:09:19Z</dcterms:created>
  <dcterms:modified xsi:type="dcterms:W3CDTF">2020-11-28T19:01:40Z</dcterms:modified>
</cp:coreProperties>
</file>