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a5146403124f8/Documentos/UnB/Semestre 7/demografia/"/>
    </mc:Choice>
  </mc:AlternateContent>
  <xr:revisionPtr revIDLastSave="1058" documentId="8_{0A713880-EEF1-4F9C-93F0-11A7F5D6FD15}" xr6:coauthVersionLast="47" xr6:coauthVersionMax="47" xr10:uidLastSave="{BEBCB5E0-CCA4-4956-8222-A3E7113E30FA}"/>
  <bookViews>
    <workbookView xWindow="1035" yWindow="1035" windowWidth="2400" windowHeight="585" firstSheet="1" activeTab="2" xr2:uid="{23204D0F-84CE-4683-BEC8-2B0E4AC74873}"/>
  </bookViews>
  <sheets>
    <sheet name="Estados" sheetId="1" r:id="rId1"/>
    <sheet name="Paises" sheetId="2" r:id="rId2"/>
    <sheet name=" equa. estados" sheetId="3" r:id="rId3"/>
    <sheet name="equa. pai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3" l="1"/>
  <c r="R50" i="4"/>
  <c r="R36" i="4"/>
  <c r="R35" i="4"/>
  <c r="P32" i="4"/>
  <c r="P33" i="4"/>
  <c r="P34" i="4"/>
  <c r="P35" i="4"/>
  <c r="R39" i="4" s="1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J32" i="4"/>
  <c r="J33" i="4"/>
  <c r="J34" i="4"/>
  <c r="L35" i="4" s="1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F50" i="4"/>
  <c r="F39" i="4"/>
  <c r="F36" i="4"/>
  <c r="F35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32" i="4"/>
  <c r="AC4" i="4"/>
  <c r="Q4" i="4"/>
  <c r="R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4" i="4"/>
  <c r="P4" i="4"/>
  <c r="F4" i="4"/>
  <c r="G4" i="4"/>
  <c r="R20" i="4"/>
  <c r="Q20" i="4"/>
  <c r="P20" i="4"/>
  <c r="R19" i="4"/>
  <c r="Q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P6" i="4"/>
  <c r="R5" i="4"/>
  <c r="Q5" i="4"/>
  <c r="P5" i="4"/>
  <c r="H4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G6" i="3"/>
  <c r="F4" i="3"/>
  <c r="D32" i="3"/>
  <c r="J32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57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G4" i="3"/>
  <c r="G5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6" i="1"/>
  <c r="E6" i="1"/>
  <c r="K44" i="2"/>
  <c r="K45" i="2"/>
  <c r="K46" i="2"/>
  <c r="K47" i="2"/>
  <c r="K48" i="2"/>
  <c r="K49" i="2"/>
  <c r="K43" i="2"/>
  <c r="G44" i="2"/>
  <c r="G45" i="2"/>
  <c r="G46" i="2"/>
  <c r="G47" i="2"/>
  <c r="G48" i="2"/>
  <c r="G49" i="2"/>
  <c r="G43" i="2"/>
  <c r="G52" i="2"/>
  <c r="F44" i="2"/>
  <c r="F45" i="2"/>
  <c r="F46" i="2"/>
  <c r="F47" i="2"/>
  <c r="F48" i="2"/>
  <c r="F49" i="2"/>
  <c r="F43" i="2"/>
  <c r="F52" i="2"/>
  <c r="F34" i="2"/>
  <c r="F27" i="2" s="1"/>
  <c r="K27" i="2" s="1"/>
  <c r="I15" i="2"/>
  <c r="I6" i="2" s="1"/>
  <c r="F15" i="2"/>
  <c r="E25" i="2"/>
  <c r="C26" i="2"/>
  <c r="C27" i="2"/>
  <c r="C28" i="2"/>
  <c r="C29" i="2"/>
  <c r="C30" i="2"/>
  <c r="C31" i="2"/>
  <c r="C25" i="2"/>
  <c r="C43" i="2"/>
  <c r="C44" i="2"/>
  <c r="C45" i="2"/>
  <c r="C46" i="2"/>
  <c r="C47" i="2"/>
  <c r="C48" i="2"/>
  <c r="C49" i="2"/>
  <c r="C12" i="2"/>
  <c r="C11" i="2"/>
  <c r="C10" i="2"/>
  <c r="C9" i="2"/>
  <c r="C8" i="2"/>
  <c r="C7" i="2"/>
  <c r="C6" i="2"/>
  <c r="L36" i="4" l="1"/>
  <c r="L50" i="4" s="1"/>
  <c r="R22" i="4"/>
  <c r="L39" i="4"/>
  <c r="P22" i="4"/>
  <c r="AC22" i="4"/>
  <c r="AE24" i="4" s="1"/>
  <c r="AA22" i="4"/>
  <c r="AB22" i="4"/>
  <c r="Q22" i="4"/>
  <c r="T24" i="4"/>
  <c r="F22" i="4"/>
  <c r="G22" i="4"/>
  <c r="H22" i="4"/>
  <c r="J24" i="4" s="1"/>
  <c r="L39" i="3"/>
  <c r="F35" i="3"/>
  <c r="F36" i="3"/>
  <c r="F39" i="3"/>
  <c r="L36" i="3"/>
  <c r="G24" i="3"/>
  <c r="L35" i="3"/>
  <c r="R24" i="3"/>
  <c r="T26" i="3" s="1"/>
  <c r="H24" i="3"/>
  <c r="P24" i="3"/>
  <c r="F24" i="3"/>
  <c r="Q24" i="3"/>
  <c r="G51" i="2"/>
  <c r="F51" i="2"/>
  <c r="F25" i="2"/>
  <c r="K25" i="2" s="1"/>
  <c r="F30" i="2"/>
  <c r="K30" i="2" s="1"/>
  <c r="F29" i="2"/>
  <c r="K29" i="2" s="1"/>
  <c r="F26" i="2"/>
  <c r="K26" i="2" s="1"/>
  <c r="F31" i="2"/>
  <c r="K31" i="2" s="1"/>
  <c r="F28" i="2"/>
  <c r="K28" i="2" s="1"/>
  <c r="C51" i="2"/>
  <c r="E52" i="2" s="1"/>
  <c r="E43" i="2" s="1"/>
  <c r="C33" i="2"/>
  <c r="E34" i="2" s="1"/>
  <c r="AD24" i="4" l="1"/>
  <c r="S24" i="4"/>
  <c r="I24" i="4"/>
  <c r="F50" i="3"/>
  <c r="L50" i="3"/>
  <c r="S26" i="3"/>
  <c r="I26" i="3"/>
  <c r="F33" i="2"/>
  <c r="E27" i="2"/>
  <c r="E26" i="2"/>
  <c r="E28" i="2"/>
  <c r="E31" i="2"/>
  <c r="E29" i="2"/>
  <c r="E30" i="2"/>
  <c r="E47" i="2"/>
  <c r="E46" i="2"/>
  <c r="E45" i="2"/>
  <c r="E44" i="2"/>
  <c r="E49" i="2"/>
  <c r="E48" i="2"/>
  <c r="K33" i="2" l="1"/>
  <c r="E33" i="2"/>
  <c r="K51" i="2"/>
  <c r="E51" i="2"/>
  <c r="C31" i="1" l="1"/>
  <c r="E32" i="1" s="1"/>
  <c r="C14" i="1"/>
  <c r="E15" i="1" s="1"/>
  <c r="E9" i="1" l="1"/>
  <c r="E10" i="1"/>
  <c r="E11" i="1"/>
  <c r="E12" i="1"/>
  <c r="E8" i="1"/>
  <c r="E7" i="1"/>
  <c r="E25" i="1"/>
  <c r="E26" i="1"/>
  <c r="E27" i="1"/>
  <c r="E28" i="1"/>
  <c r="E29" i="1"/>
  <c r="E23" i="1"/>
  <c r="E24" i="1"/>
  <c r="C14" i="2"/>
  <c r="E15" i="2" s="1"/>
  <c r="E7" i="2" l="1"/>
  <c r="E11" i="2"/>
  <c r="E6" i="2"/>
  <c r="E12" i="2"/>
  <c r="E10" i="2"/>
  <c r="E9" i="2"/>
  <c r="E8" i="2"/>
  <c r="E14" i="1"/>
  <c r="F15" i="1" s="1"/>
  <c r="E31" i="1"/>
  <c r="F32" i="1" s="1"/>
  <c r="F23" i="1" l="1"/>
  <c r="F25" i="1"/>
  <c r="K25" i="1" s="1"/>
  <c r="E14" i="2"/>
  <c r="F10" i="2" s="1"/>
  <c r="F7" i="1"/>
  <c r="K7" i="1" s="1"/>
  <c r="F8" i="1"/>
  <c r="K8" i="1" s="1"/>
  <c r="F9" i="1"/>
  <c r="K9" i="1" s="1"/>
  <c r="K6" i="1"/>
  <c r="F10" i="1"/>
  <c r="K10" i="1" s="1"/>
  <c r="F11" i="1"/>
  <c r="K11" i="1" s="1"/>
  <c r="F12" i="1"/>
  <c r="K12" i="1" s="1"/>
  <c r="F26" i="1"/>
  <c r="K26" i="1" s="1"/>
  <c r="F27" i="1"/>
  <c r="K27" i="1" s="1"/>
  <c r="F28" i="1"/>
  <c r="K28" i="1" s="1"/>
  <c r="F29" i="1"/>
  <c r="K29" i="1" s="1"/>
  <c r="F24" i="1"/>
  <c r="K24" i="1" s="1"/>
  <c r="K14" i="1" l="1"/>
  <c r="F12" i="2"/>
  <c r="F7" i="2"/>
  <c r="F11" i="2"/>
  <c r="F6" i="2"/>
  <c r="F8" i="2"/>
  <c r="F9" i="2"/>
  <c r="F14" i="1"/>
  <c r="F31" i="1"/>
  <c r="K23" i="1"/>
  <c r="K31" i="1" s="1"/>
  <c r="F14" i="2" l="1"/>
  <c r="G15" i="2" s="1"/>
  <c r="G6" i="2" s="1"/>
  <c r="G12" i="2" l="1"/>
  <c r="G7" i="2"/>
  <c r="G11" i="2"/>
  <c r="G9" i="2"/>
  <c r="G8" i="2"/>
  <c r="G10" i="2"/>
  <c r="G14" i="2" l="1"/>
  <c r="H15" i="2" s="1"/>
  <c r="H11" i="2" s="1"/>
  <c r="H12" i="2" l="1"/>
  <c r="H8" i="2"/>
  <c r="H6" i="2"/>
  <c r="H10" i="2"/>
  <c r="H7" i="2"/>
  <c r="H9" i="2"/>
  <c r="H14" i="2" l="1"/>
  <c r="I8" i="2"/>
  <c r="K8" i="2" s="1"/>
  <c r="I12" i="2"/>
  <c r="K12" i="2" s="1"/>
  <c r="I11" i="2"/>
  <c r="K11" i="2" s="1"/>
  <c r="I7" i="2"/>
  <c r="K7" i="2" s="1"/>
  <c r="I9" i="2"/>
  <c r="K9" i="2" s="1"/>
  <c r="I10" i="2"/>
  <c r="K10" i="2" s="1"/>
  <c r="K6" i="2" l="1"/>
  <c r="K14" i="2" s="1"/>
  <c r="I14" i="2"/>
</calcChain>
</file>

<file path=xl/sharedStrings.xml><?xml version="1.0" encoding="utf-8"?>
<sst xmlns="http://schemas.openxmlformats.org/spreadsheetml/2006/main" count="272" uniqueCount="56">
  <si>
    <t>Age group</t>
  </si>
  <si>
    <t>Mid-point</t>
  </si>
  <si>
    <t>Female age-specific fertility rate</t>
  </si>
  <si>
    <t>Life table person years</t>
  </si>
  <si>
    <t>Lotka calculation</t>
  </si>
  <si>
    <t>x - x+4</t>
  </si>
  <si>
    <t>a</t>
  </si>
  <si>
    <r>
      <t>5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/2.01</t>
    </r>
  </si>
  <si>
    <r>
      <t>5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</si>
  <si>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5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.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.exp{-ra}</t>
    </r>
  </si>
  <si>
    <t>T</t>
  </si>
  <si>
    <t>15-19</t>
  </si>
  <si>
    <t>20-24</t>
  </si>
  <si>
    <t>25-29</t>
  </si>
  <si>
    <t>30-34</t>
  </si>
  <si>
    <t>35-39</t>
  </si>
  <si>
    <t>40-44</t>
  </si>
  <si>
    <t>45-49</t>
  </si>
  <si>
    <t xml:space="preserve">NRR = </t>
  </si>
  <si>
    <t>Lotka sum</t>
  </si>
  <si>
    <t>r estimate</t>
  </si>
  <si>
    <t>Pará</t>
  </si>
  <si>
    <r>
      <t xml:space="preserve">T </t>
    </r>
    <r>
      <rPr>
        <sz val="11"/>
        <color theme="1"/>
        <rFont val="Calibri"/>
        <family val="2"/>
      </rPr>
      <t xml:space="preserve">≈ </t>
    </r>
  </si>
  <si>
    <t>Pernambuco</t>
  </si>
  <si>
    <t>Togo</t>
  </si>
  <si>
    <t>nfx</t>
  </si>
  <si>
    <t>Lotka calculation  1</t>
  </si>
  <si>
    <r>
      <t>5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1.96</t>
    </r>
  </si>
  <si>
    <t>Ecuador</t>
  </si>
  <si>
    <r>
      <t>5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/2</t>
    </r>
  </si>
  <si>
    <t>Grecia</t>
  </si>
  <si>
    <r>
      <t>5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1.9</t>
    </r>
  </si>
  <si>
    <r>
      <t>5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/1.92</t>
    </r>
  </si>
  <si>
    <t>70</t>
  </si>
  <si>
    <t>75</t>
  </si>
  <si>
    <t>80</t>
  </si>
  <si>
    <t>85</t>
  </si>
  <si>
    <t>90+</t>
  </si>
  <si>
    <t>1 4</t>
  </si>
  <si>
    <t>5 9</t>
  </si>
  <si>
    <t>10 14</t>
  </si>
  <si>
    <t>idade</t>
  </si>
  <si>
    <t>q</t>
  </si>
  <si>
    <t>lotka</t>
  </si>
  <si>
    <t>lotka *q</t>
  </si>
  <si>
    <t>ler+</t>
  </si>
  <si>
    <t>L</t>
  </si>
  <si>
    <t>TBM</t>
  </si>
  <si>
    <t>TBN</t>
  </si>
  <si>
    <t>Razão de dependência</t>
  </si>
  <si>
    <t>5Lx.exp{-ra}</t>
  </si>
  <si>
    <t>RD</t>
  </si>
  <si>
    <t>nMx</t>
  </si>
  <si>
    <t>nMx * exp(-rt)</t>
  </si>
  <si>
    <t>Equador</t>
  </si>
  <si>
    <t>Grécia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</si>
</sst>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General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/>
    <xf numFmtId="0" fontId="9" fillId="0" borderId="0"/>
    <xf numFmtId="0" fontId="9" fillId="0" borderId="0"/>
    <xf numFmtId="167" fontId="10" fillId="0" borderId="0"/>
    <xf numFmtId="0" fontId="7" fillId="0" borderId="0"/>
    <xf numFmtId="9" fontId="9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right" vertical="top"/>
    </xf>
    <xf numFmtId="166" fontId="0" fillId="0" borderId="0" xfId="0" applyNumberForma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165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NumberFormat="1"/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164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4" fontId="13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7">
    <cellStyle name="Normal" xfId="0" builtinId="0"/>
    <cellStyle name="Normal 16 2" xfId="2" xr:uid="{1F232DCD-D4A3-475D-847B-5847C7A579A6}"/>
    <cellStyle name="Normal 2" xfId="3" xr:uid="{416F60FB-2BB7-4201-AB64-D2FBAA8A144A}"/>
    <cellStyle name="Normal 3" xfId="4" xr:uid="{71A61335-D8F0-4F63-AC2C-14C59C1A6CFF}"/>
    <cellStyle name="Normal 4" xfId="1" xr:uid="{86F3C388-A049-499B-B34A-07EA4CD25E2C}"/>
    <cellStyle name="Normal 6" xfId="5" xr:uid="{B3BF8F55-8E37-48EC-B069-895053DEAF22}"/>
    <cellStyle name="Percent 2" xfId="6" xr:uid="{576BC798-C5D7-486F-8FBE-3CB3C817A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BBB2-74CE-4910-BC8A-8532875D1C25}">
  <dimension ref="A1:P37"/>
  <sheetViews>
    <sheetView topLeftCell="A18" workbookViewId="0">
      <selection activeCell="K33" sqref="K33"/>
    </sheetView>
  </sheetViews>
  <sheetFormatPr defaultRowHeight="15" x14ac:dyDescent="0.25"/>
  <sheetData>
    <row r="1" spans="1:11" ht="15.75" x14ac:dyDescent="0.25">
      <c r="A1" s="1" t="s">
        <v>21</v>
      </c>
    </row>
    <row r="2" spans="1:11" x14ac:dyDescent="0.25">
      <c r="A2" s="2"/>
    </row>
    <row r="3" spans="1:11" ht="75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5">
        <v>2</v>
      </c>
      <c r="G3" s="5"/>
      <c r="H3" s="5"/>
      <c r="I3" s="5"/>
    </row>
    <row r="4" spans="1:11" ht="18" x14ac:dyDescent="0.35">
      <c r="A4" s="6" t="s">
        <v>5</v>
      </c>
      <c r="B4" s="6" t="s">
        <v>6</v>
      </c>
      <c r="C4" s="7" t="s">
        <v>7</v>
      </c>
      <c r="D4" s="8" t="s">
        <v>8</v>
      </c>
      <c r="E4" s="41" t="s">
        <v>9</v>
      </c>
      <c r="F4" s="41"/>
      <c r="G4" s="26"/>
      <c r="H4" s="26"/>
      <c r="I4" s="26"/>
      <c r="K4" s="25" t="s">
        <v>10</v>
      </c>
    </row>
    <row r="5" spans="1:11" x14ac:dyDescent="0.25">
      <c r="A5" s="10"/>
      <c r="B5" s="11"/>
      <c r="C5" s="11"/>
      <c r="D5" s="11"/>
      <c r="E5" s="11"/>
      <c r="F5" s="11"/>
    </row>
    <row r="6" spans="1:11" x14ac:dyDescent="0.25">
      <c r="A6" s="12" t="s">
        <v>11</v>
      </c>
      <c r="B6" s="12">
        <v>17.5</v>
      </c>
      <c r="C6" s="13">
        <v>4.9299999999999997E-2</v>
      </c>
      <c r="D6" s="13">
        <v>4.8700999999999999</v>
      </c>
      <c r="E6" s="14">
        <f>$C6*$D6*EXP(-E$15*$B6)</f>
        <v>0.23622191114415864</v>
      </c>
      <c r="F6" s="15">
        <f>$C6*$D6*EXP(-F$15*$B6)</f>
        <v>0.23595710118384217</v>
      </c>
      <c r="G6" s="15"/>
      <c r="H6" s="15"/>
      <c r="I6" s="15"/>
      <c r="K6" s="15">
        <f>B6*F6</f>
        <v>4.1292492707172377</v>
      </c>
    </row>
    <row r="7" spans="1:11" x14ac:dyDescent="0.25">
      <c r="A7" s="12" t="s">
        <v>12</v>
      </c>
      <c r="B7" s="12">
        <v>22.5</v>
      </c>
      <c r="C7" s="13">
        <v>6.7860000000000004E-2</v>
      </c>
      <c r="D7" s="13">
        <v>4.84877</v>
      </c>
      <c r="E7" s="14">
        <f t="shared" ref="E7:F12" si="0">$C7*$D7*EXP(-E$15*$B7)</f>
        <v>0.32222731855532089</v>
      </c>
      <c r="F7" s="15">
        <f t="shared" si="0"/>
        <v>0.32176296220466555</v>
      </c>
      <c r="G7" s="15"/>
      <c r="H7" s="15"/>
      <c r="I7" s="15"/>
      <c r="K7" s="15">
        <f t="shared" ref="K7:K12" si="1">B7*F7</f>
        <v>7.2396666496049749</v>
      </c>
    </row>
    <row r="8" spans="1:11" x14ac:dyDescent="0.25">
      <c r="A8" s="12" t="s">
        <v>13</v>
      </c>
      <c r="B8" s="12">
        <v>27.5</v>
      </c>
      <c r="C8" s="13">
        <v>4.7399999999999998E-2</v>
      </c>
      <c r="D8" s="13">
        <v>4.8229600000000001</v>
      </c>
      <c r="E8" s="14">
        <f t="shared" si="0"/>
        <v>0.22283861835043489</v>
      </c>
      <c r="F8" s="15">
        <f t="shared" si="0"/>
        <v>0.22244619025377391</v>
      </c>
      <c r="G8" s="15"/>
      <c r="H8" s="15"/>
      <c r="I8" s="15"/>
      <c r="K8" s="15">
        <f t="shared" si="1"/>
        <v>6.1172702319787824</v>
      </c>
    </row>
    <row r="9" spans="1:11" x14ac:dyDescent="0.25">
      <c r="A9" s="12" t="s">
        <v>14</v>
      </c>
      <c r="B9" s="12">
        <v>32.5</v>
      </c>
      <c r="C9" s="13">
        <v>2.7799999999999998E-2</v>
      </c>
      <c r="D9" s="13">
        <v>4.7904600000000004</v>
      </c>
      <c r="E9" s="14">
        <f t="shared" si="0"/>
        <v>0.12921174950556508</v>
      </c>
      <c r="F9" s="15">
        <f t="shared" si="0"/>
        <v>0.12894287306908919</v>
      </c>
      <c r="G9" s="15"/>
      <c r="H9" s="15"/>
      <c r="I9" s="15"/>
      <c r="K9" s="15">
        <f t="shared" si="1"/>
        <v>4.1906433747453988</v>
      </c>
    </row>
    <row r="10" spans="1:11" x14ac:dyDescent="0.25">
      <c r="A10" s="12" t="s">
        <v>15</v>
      </c>
      <c r="B10" s="12">
        <v>37.5</v>
      </c>
      <c r="C10" s="13">
        <v>1.41E-2</v>
      </c>
      <c r="D10" s="13">
        <v>4.7461700000000002</v>
      </c>
      <c r="E10" s="14">
        <f t="shared" si="0"/>
        <v>6.4628478616588242E-2</v>
      </c>
      <c r="F10" s="15">
        <f t="shared" si="0"/>
        <v>6.4473328176212458E-2</v>
      </c>
      <c r="G10" s="15"/>
      <c r="H10" s="15"/>
      <c r="I10" s="15"/>
      <c r="K10" s="15">
        <f t="shared" si="1"/>
        <v>2.4177498066079672</v>
      </c>
    </row>
    <row r="11" spans="1:11" x14ac:dyDescent="0.25">
      <c r="A11" s="12" t="s">
        <v>16</v>
      </c>
      <c r="B11" s="12">
        <v>42.5</v>
      </c>
      <c r="C11" s="13">
        <v>5.0000000000000001E-3</v>
      </c>
      <c r="D11" s="13">
        <v>4.6870099999999999</v>
      </c>
      <c r="E11" s="14">
        <f t="shared" si="0"/>
        <v>2.2527290100465946E-2</v>
      </c>
      <c r="F11" s="15">
        <f t="shared" si="0"/>
        <v>2.246600905943634E-2</v>
      </c>
      <c r="G11" s="15"/>
      <c r="H11" s="15"/>
      <c r="I11" s="15"/>
      <c r="K11" s="15">
        <f t="shared" si="1"/>
        <v>0.9548053850260444</v>
      </c>
    </row>
    <row r="12" spans="1:11" x14ac:dyDescent="0.25">
      <c r="A12" s="12" t="s">
        <v>17</v>
      </c>
      <c r="B12" s="12">
        <v>47.5</v>
      </c>
      <c r="C12" s="13">
        <v>8.9999999999999998E-4</v>
      </c>
      <c r="D12" s="13">
        <v>4.6027500000000003</v>
      </c>
      <c r="E12" s="14">
        <f t="shared" si="0"/>
        <v>3.9635514570025756E-3</v>
      </c>
      <c r="F12" s="15">
        <f t="shared" si="0"/>
        <v>3.9515028508892895E-3</v>
      </c>
      <c r="G12" s="15"/>
      <c r="H12" s="15"/>
      <c r="I12" s="15"/>
      <c r="K12" s="15">
        <f t="shared" si="1"/>
        <v>0.18769638541724126</v>
      </c>
    </row>
    <row r="13" spans="1:11" x14ac:dyDescent="0.25">
      <c r="A13" s="10"/>
      <c r="B13" s="11"/>
      <c r="C13" s="11"/>
      <c r="D13" s="11"/>
      <c r="E13" s="11"/>
    </row>
    <row r="14" spans="1:11" x14ac:dyDescent="0.25">
      <c r="A14" s="10"/>
      <c r="B14" s="16" t="s">
        <v>18</v>
      </c>
      <c r="C14" s="17">
        <f>SUMPRODUCT(C6:C12,D6:D12)</f>
        <v>1.0254150762000001</v>
      </c>
      <c r="D14" s="18" t="s">
        <v>19</v>
      </c>
      <c r="E14" s="19">
        <f>SUM(E6:E12)</f>
        <v>1.0016189177295363</v>
      </c>
      <c r="F14" s="19">
        <f>SUM(F6:F12)</f>
        <v>0.99999996679790892</v>
      </c>
      <c r="G14" s="19"/>
      <c r="H14" s="19"/>
      <c r="K14" s="15">
        <f>SUM(K6:K12)</f>
        <v>25.237081104097648</v>
      </c>
    </row>
    <row r="15" spans="1:11" x14ac:dyDescent="0.25">
      <c r="A15" s="10"/>
      <c r="B15" s="16" t="s">
        <v>22</v>
      </c>
      <c r="C15" s="20">
        <v>27</v>
      </c>
      <c r="D15" s="18" t="s">
        <v>20</v>
      </c>
      <c r="E15" s="19">
        <f>LN(C14)/C15</f>
        <v>9.2953640776018967E-4</v>
      </c>
      <c r="F15" s="21">
        <f>E15*LN($C$14)/(LN($C$14)-E14+1)</f>
        <v>9.9363074030678106E-4</v>
      </c>
      <c r="G15" s="21"/>
      <c r="H15" s="21"/>
    </row>
    <row r="18" spans="1:16" ht="15.75" x14ac:dyDescent="0.25">
      <c r="A18" s="1" t="s">
        <v>23</v>
      </c>
    </row>
    <row r="19" spans="1:16" x14ac:dyDescent="0.25">
      <c r="A19" s="2"/>
    </row>
    <row r="20" spans="1:16" ht="75" x14ac:dyDescent="0.25">
      <c r="A20" s="3" t="s">
        <v>0</v>
      </c>
      <c r="B20" s="3" t="s">
        <v>1</v>
      </c>
      <c r="C20" s="3" t="s">
        <v>2</v>
      </c>
      <c r="D20" s="4" t="s">
        <v>3</v>
      </c>
      <c r="E20" s="3" t="s">
        <v>26</v>
      </c>
      <c r="F20" s="5">
        <v>2</v>
      </c>
      <c r="G20" s="5"/>
      <c r="H20" s="5"/>
      <c r="I20" s="5"/>
    </row>
    <row r="21" spans="1:16" ht="18" x14ac:dyDescent="0.35">
      <c r="A21" s="6" t="s">
        <v>5</v>
      </c>
      <c r="B21" s="6" t="s">
        <v>6</v>
      </c>
      <c r="C21" s="7" t="s">
        <v>32</v>
      </c>
      <c r="D21" s="8" t="s">
        <v>8</v>
      </c>
      <c r="E21" s="41" t="s">
        <v>9</v>
      </c>
      <c r="F21" s="41"/>
      <c r="G21" s="27"/>
      <c r="H21" s="27"/>
      <c r="I21" s="27"/>
      <c r="K21" s="25" t="s">
        <v>10</v>
      </c>
    </row>
    <row r="22" spans="1:16" x14ac:dyDescent="0.25">
      <c r="A22" s="10"/>
      <c r="B22" s="11"/>
      <c r="C22" s="11"/>
      <c r="D22" s="11"/>
      <c r="E22" s="11"/>
      <c r="F22" s="11"/>
    </row>
    <row r="23" spans="1:16" x14ac:dyDescent="0.25">
      <c r="A23" s="12" t="s">
        <v>11</v>
      </c>
      <c r="B23" s="12">
        <v>17.5</v>
      </c>
      <c r="C23" s="13">
        <v>3.73E-2</v>
      </c>
      <c r="D23" s="13">
        <v>4.8844900000000004</v>
      </c>
      <c r="E23" s="14">
        <f>$C23*$D23*EXP(-E$32*$B23)</f>
        <v>0.1943694058861222</v>
      </c>
      <c r="F23" s="15">
        <f>$C23*$D23*EXP(-F$32*$B23)</f>
        <v>0.19479793333485151</v>
      </c>
      <c r="G23" s="15"/>
      <c r="H23" s="15"/>
      <c r="I23" s="15"/>
      <c r="K23" s="15">
        <f>B23*F23</f>
        <v>3.4089638333599015</v>
      </c>
    </row>
    <row r="24" spans="1:16" x14ac:dyDescent="0.25">
      <c r="A24" s="12" t="s">
        <v>12</v>
      </c>
      <c r="B24" s="12">
        <v>22.5</v>
      </c>
      <c r="C24" s="13">
        <v>5.3999999999999999E-2</v>
      </c>
      <c r="D24" s="13">
        <v>4.8685900000000002</v>
      </c>
      <c r="E24" s="14">
        <f t="shared" ref="E24:F29" si="2">$C24*$D24*EXP(-E$32*$B24)</f>
        <v>0.28570993465050915</v>
      </c>
      <c r="F24" s="15">
        <f t="shared" si="2"/>
        <v>0.28652006936209745</v>
      </c>
      <c r="G24" s="15"/>
      <c r="H24" s="15"/>
      <c r="I24" s="15"/>
      <c r="K24" s="15">
        <f t="shared" ref="K24:K29" si="3">B24*F24</f>
        <v>6.4467015606471927</v>
      </c>
      <c r="N24" s="15"/>
    </row>
    <row r="25" spans="1:16" x14ac:dyDescent="0.25">
      <c r="A25" s="12" t="s">
        <v>13</v>
      </c>
      <c r="B25" s="12">
        <v>27.5</v>
      </c>
      <c r="C25" s="13">
        <v>4.5199999999999997E-2</v>
      </c>
      <c r="D25" s="13">
        <v>4.8484299999999996</v>
      </c>
      <c r="E25" s="14">
        <f t="shared" si="2"/>
        <v>0.24260317074134732</v>
      </c>
      <c r="F25" s="15">
        <f>$C25*$D25*EXP(-F$32*$B25)</f>
        <v>0.24344420803283798</v>
      </c>
      <c r="G25" s="15"/>
      <c r="H25" s="15"/>
      <c r="I25" s="15"/>
      <c r="K25" s="15">
        <f t="shared" si="3"/>
        <v>6.6947157209030443</v>
      </c>
      <c r="N25" s="15"/>
    </row>
    <row r="26" spans="1:16" x14ac:dyDescent="0.25">
      <c r="A26" s="12" t="s">
        <v>14</v>
      </c>
      <c r="B26" s="12">
        <v>32.5</v>
      </c>
      <c r="C26" s="13">
        <v>3.0099999999999998E-2</v>
      </c>
      <c r="D26" s="13">
        <v>4.8228</v>
      </c>
      <c r="E26" s="14">
        <f t="shared" si="2"/>
        <v>0.16370094429615611</v>
      </c>
      <c r="F26" s="15">
        <f t="shared" si="2"/>
        <v>0.16437184361640139</v>
      </c>
      <c r="G26" s="15"/>
      <c r="H26" s="15"/>
      <c r="I26" s="15"/>
      <c r="K26" s="15">
        <f t="shared" si="3"/>
        <v>5.3420849175330449</v>
      </c>
    </row>
    <row r="27" spans="1:16" x14ac:dyDescent="0.25">
      <c r="A27" s="12" t="s">
        <v>15</v>
      </c>
      <c r="B27" s="12">
        <v>37.5</v>
      </c>
      <c r="C27" s="13">
        <v>1.52E-2</v>
      </c>
      <c r="D27" s="13">
        <v>4.7880700000000003</v>
      </c>
      <c r="E27" s="14">
        <f t="shared" si="2"/>
        <v>8.3602265140763132E-2</v>
      </c>
      <c r="F27" s="15">
        <f t="shared" si="2"/>
        <v>8.3997730869010509E-2</v>
      </c>
      <c r="G27" s="15"/>
      <c r="H27" s="15"/>
      <c r="I27" s="15"/>
      <c r="K27" s="15">
        <f t="shared" si="3"/>
        <v>3.1499149075878941</v>
      </c>
    </row>
    <row r="28" spans="1:16" x14ac:dyDescent="0.25">
      <c r="A28" s="12" t="s">
        <v>16</v>
      </c>
      <c r="B28" s="12">
        <v>42.5</v>
      </c>
      <c r="C28" s="13">
        <v>4.4000000000000003E-3</v>
      </c>
      <c r="D28" s="13">
        <v>4.7378299999999998</v>
      </c>
      <c r="E28" s="14">
        <f t="shared" si="2"/>
        <v>2.4393529577153846E-2</v>
      </c>
      <c r="F28" s="15">
        <f t="shared" si="2"/>
        <v>2.4524345275351821E-2</v>
      </c>
      <c r="G28" s="15"/>
      <c r="H28" s="15"/>
      <c r="I28" s="15"/>
      <c r="K28" s="15">
        <f t="shared" si="3"/>
        <v>1.0422846742024523</v>
      </c>
    </row>
    <row r="29" spans="1:16" x14ac:dyDescent="0.25">
      <c r="A29" s="12" t="s">
        <v>17</v>
      </c>
      <c r="B29" s="12">
        <v>47.5</v>
      </c>
      <c r="C29" s="13">
        <v>4.2000000000000002E-4</v>
      </c>
      <c r="D29" s="13">
        <v>4.6636699999999998</v>
      </c>
      <c r="E29" s="14">
        <f t="shared" si="2"/>
        <v>2.3347916188527552E-3</v>
      </c>
      <c r="F29" s="15">
        <f t="shared" si="2"/>
        <v>2.3487899024351193E-3</v>
      </c>
      <c r="G29" s="15"/>
      <c r="H29" s="15"/>
      <c r="I29" s="15"/>
      <c r="K29" s="15">
        <f t="shared" si="3"/>
        <v>0.11156752036566817</v>
      </c>
    </row>
    <row r="30" spans="1:16" x14ac:dyDescent="0.25">
      <c r="A30" s="10"/>
      <c r="B30" s="11"/>
      <c r="C30" s="11"/>
      <c r="D30" s="11"/>
      <c r="E30" s="11"/>
    </row>
    <row r="31" spans="1:16" x14ac:dyDescent="0.25">
      <c r="A31" s="10"/>
      <c r="B31" s="16" t="s">
        <v>18</v>
      </c>
      <c r="C31" s="17">
        <f>SUMPRODUCT(C23:C29,D23:D29)</f>
        <v>0.90499451040000001</v>
      </c>
      <c r="D31" s="18" t="s">
        <v>19</v>
      </c>
      <c r="E31" s="19">
        <f>SUM(E23:E29)</f>
        <v>0.9967140419109044</v>
      </c>
      <c r="F31" s="19">
        <f>SUM(F23:F29)</f>
        <v>1.0000049203929857</v>
      </c>
      <c r="G31" s="19"/>
      <c r="H31" s="19"/>
      <c r="K31" s="15">
        <f>SUM(K23:K29)</f>
        <v>26.196233134599197</v>
      </c>
      <c r="O31" s="13"/>
      <c r="P31" s="13"/>
    </row>
    <row r="32" spans="1:16" x14ac:dyDescent="0.25">
      <c r="A32" s="10"/>
      <c r="B32" s="16" t="s">
        <v>22</v>
      </c>
      <c r="C32" s="20">
        <v>27</v>
      </c>
      <c r="D32" s="18" t="s">
        <v>20</v>
      </c>
      <c r="E32" s="19">
        <f>LN(C31)/C32</f>
        <v>-3.6972741169245147E-3</v>
      </c>
      <c r="F32" s="21">
        <f>E32*LN($C$31)/(LN($C$31)-E31+1)</f>
        <v>-3.823118658404105E-3</v>
      </c>
      <c r="G32" s="21"/>
      <c r="H32" s="21"/>
      <c r="O32" s="13"/>
      <c r="P32" s="13"/>
    </row>
    <row r="33" spans="15:16" x14ac:dyDescent="0.25">
      <c r="O33" s="13"/>
      <c r="P33" s="13"/>
    </row>
    <row r="34" spans="15:16" x14ac:dyDescent="0.25">
      <c r="O34" s="13"/>
      <c r="P34" s="13"/>
    </row>
    <row r="35" spans="15:16" x14ac:dyDescent="0.25">
      <c r="O35" s="13"/>
      <c r="P35" s="13"/>
    </row>
    <row r="36" spans="15:16" x14ac:dyDescent="0.25">
      <c r="O36" s="13"/>
      <c r="P36" s="13"/>
    </row>
    <row r="37" spans="15:16" x14ac:dyDescent="0.25">
      <c r="O37" s="13"/>
      <c r="P37" s="13"/>
    </row>
  </sheetData>
  <mergeCells count="2">
    <mergeCell ref="E4:F4"/>
    <mergeCell ref="E21:F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6AA4-53B3-4F7B-AB35-78805B7E3448}">
  <dimension ref="A1:M52"/>
  <sheetViews>
    <sheetView topLeftCell="B35" workbookViewId="0">
      <selection activeCell="B1" activeCellId="2" sqref="B38 B20 B1"/>
    </sheetView>
  </sheetViews>
  <sheetFormatPr defaultRowHeight="15" x14ac:dyDescent="0.25"/>
  <cols>
    <col min="4" max="4" width="13.7109375" bestFit="1" customWidth="1"/>
  </cols>
  <sheetData>
    <row r="1" spans="1:13" ht="15.75" x14ac:dyDescent="0.25">
      <c r="A1" s="1" t="s">
        <v>24</v>
      </c>
      <c r="B1" s="25" t="s">
        <v>24</v>
      </c>
    </row>
    <row r="2" spans="1:13" x14ac:dyDescent="0.25">
      <c r="A2" s="2"/>
    </row>
    <row r="3" spans="1:13" ht="75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5">
        <v>1</v>
      </c>
      <c r="G3" s="5">
        <v>2</v>
      </c>
      <c r="H3" s="5">
        <v>3</v>
      </c>
      <c r="I3" s="5">
        <v>4</v>
      </c>
    </row>
    <row r="4" spans="1:13" ht="18" x14ac:dyDescent="0.35">
      <c r="A4" s="6" t="s">
        <v>5</v>
      </c>
      <c r="B4" s="6" t="s">
        <v>6</v>
      </c>
      <c r="C4" s="7" t="s">
        <v>27</v>
      </c>
      <c r="D4" s="9" t="s">
        <v>8</v>
      </c>
      <c r="E4" s="9" t="s">
        <v>9</v>
      </c>
      <c r="F4" s="41" t="s">
        <v>9</v>
      </c>
      <c r="G4" s="41"/>
      <c r="H4" s="41"/>
      <c r="I4" s="41"/>
      <c r="K4" s="25" t="s">
        <v>10</v>
      </c>
      <c r="M4" s="24" t="s">
        <v>25</v>
      </c>
    </row>
    <row r="5" spans="1:13" x14ac:dyDescent="0.25">
      <c r="A5" s="10"/>
      <c r="B5" s="11"/>
      <c r="C5" s="11"/>
      <c r="D5" s="11"/>
      <c r="E5" s="11"/>
      <c r="F5" s="11"/>
    </row>
    <row r="6" spans="1:13" x14ac:dyDescent="0.25">
      <c r="A6" s="12" t="s">
        <v>11</v>
      </c>
      <c r="B6" s="12">
        <v>17.5</v>
      </c>
      <c r="C6" s="13">
        <f t="shared" ref="C6:C12" si="0">M6/1.96</f>
        <v>6.224489795918367E-2</v>
      </c>
      <c r="D6" s="13">
        <v>4.3305749999999996</v>
      </c>
      <c r="E6" s="14">
        <f>$C6*$D6*EXP(-E$15*$B6)</f>
        <v>0.13940718608792532</v>
      </c>
      <c r="F6" s="15">
        <f>$C6*$D6*EXP(-F$15*$B6)</f>
        <v>0.14463648245690008</v>
      </c>
      <c r="G6" s="15">
        <f>$C6*$D6*EXP(-G$15*$B6)</f>
        <v>0.14498953132666567</v>
      </c>
      <c r="H6" s="15">
        <f>$C6*$D6*EXP(-H$15*$B6)</f>
        <v>0.1450032534650203</v>
      </c>
      <c r="I6" s="15">
        <f>$C6*$D6*EXP(-I$15*$B6)</f>
        <v>0.14500375989071035</v>
      </c>
      <c r="K6" s="15">
        <f>B6*I6</f>
        <v>2.5375657980874311</v>
      </c>
      <c r="M6" s="13">
        <v>0.122</v>
      </c>
    </row>
    <row r="7" spans="1:13" x14ac:dyDescent="0.25">
      <c r="A7" s="12" t="s">
        <v>12</v>
      </c>
      <c r="B7" s="12">
        <v>22.5</v>
      </c>
      <c r="C7" s="13">
        <f t="shared" si="0"/>
        <v>0.14897959183673468</v>
      </c>
      <c r="D7" s="13">
        <v>4.2788269999999997</v>
      </c>
      <c r="E7" s="14">
        <f t="shared" ref="E7:F12" si="1">$C7*$D7*EXP(-E$15*$B7)</f>
        <v>0.27306687037275101</v>
      </c>
      <c r="F7" s="15">
        <f t="shared" si="1"/>
        <v>0.28630639134548475</v>
      </c>
      <c r="G7" s="15">
        <f t="shared" ref="G7:I12" si="2">$C7*$D7*EXP(-G$15*$B7)</f>
        <v>0.28720523428918032</v>
      </c>
      <c r="H7" s="15">
        <f t="shared" si="2"/>
        <v>0.28724018273277313</v>
      </c>
      <c r="I7" s="15">
        <f t="shared" si="2"/>
        <v>0.28724147254907689</v>
      </c>
      <c r="K7" s="15">
        <f t="shared" ref="K7:K12" si="3">B7*I7</f>
        <v>6.4629331323542303</v>
      </c>
      <c r="M7" s="13">
        <v>0.29199999999999998</v>
      </c>
    </row>
    <row r="8" spans="1:13" x14ac:dyDescent="0.25">
      <c r="A8" s="12" t="s">
        <v>13</v>
      </c>
      <c r="B8" s="12">
        <v>27.5</v>
      </c>
      <c r="C8" s="13">
        <f t="shared" si="0"/>
        <v>0.14693877551020407</v>
      </c>
      <c r="D8" s="13">
        <v>4.1848470000000004</v>
      </c>
      <c r="E8" s="14">
        <f t="shared" si="1"/>
        <v>0.21818011887021826</v>
      </c>
      <c r="F8" s="15">
        <f t="shared" si="1"/>
        <v>0.23117802239837465</v>
      </c>
      <c r="G8" s="15">
        <f t="shared" si="2"/>
        <v>0.23206538441415595</v>
      </c>
      <c r="H8" s="15">
        <f t="shared" si="2"/>
        <v>0.23209989893915245</v>
      </c>
      <c r="I8" s="15">
        <f t="shared" si="2"/>
        <v>0.23210117275900088</v>
      </c>
      <c r="K8" s="15">
        <f t="shared" si="3"/>
        <v>6.3827822508725243</v>
      </c>
      <c r="M8" s="13">
        <v>0.28799999999999998</v>
      </c>
    </row>
    <row r="9" spans="1:13" x14ac:dyDescent="0.25">
      <c r="A9" s="12" t="s">
        <v>14</v>
      </c>
      <c r="B9" s="12">
        <v>32.5</v>
      </c>
      <c r="C9" s="13">
        <f t="shared" si="0"/>
        <v>0.125</v>
      </c>
      <c r="D9" s="13">
        <v>4.0503729999999996</v>
      </c>
      <c r="E9" s="14">
        <f t="shared" si="1"/>
        <v>0.1487941556242173</v>
      </c>
      <c r="F9" s="15">
        <f t="shared" si="1"/>
        <v>0.15932597450255695</v>
      </c>
      <c r="G9" s="15">
        <f t="shared" si="2"/>
        <v>0.16004898216934954</v>
      </c>
      <c r="H9" s="15">
        <f t="shared" si="2"/>
        <v>0.16007711419415369</v>
      </c>
      <c r="I9" s="15">
        <f t="shared" si="2"/>
        <v>0.16007815247105087</v>
      </c>
      <c r="K9" s="15">
        <f t="shared" si="3"/>
        <v>5.2025399553091534</v>
      </c>
      <c r="M9" s="13">
        <v>0.245</v>
      </c>
    </row>
    <row r="10" spans="1:13" x14ac:dyDescent="0.25">
      <c r="A10" s="12" t="s">
        <v>15</v>
      </c>
      <c r="B10" s="12">
        <v>37.5</v>
      </c>
      <c r="C10" s="13">
        <f t="shared" si="0"/>
        <v>9.8979591836734701E-2</v>
      </c>
      <c r="D10" s="13">
        <v>3.8973089999999999</v>
      </c>
      <c r="E10" s="14">
        <f t="shared" si="1"/>
        <v>9.3901603313031851E-2</v>
      </c>
      <c r="F10" s="15">
        <f t="shared" si="1"/>
        <v>0.10161154572734231</v>
      </c>
      <c r="G10" s="15">
        <f t="shared" si="2"/>
        <v>0.10214377488482308</v>
      </c>
      <c r="H10" s="15">
        <f t="shared" si="2"/>
        <v>0.10216449125951436</v>
      </c>
      <c r="I10" s="15">
        <f t="shared" si="2"/>
        <v>0.10216525585555426</v>
      </c>
      <c r="K10" s="15">
        <f t="shared" si="3"/>
        <v>3.8311970945832847</v>
      </c>
      <c r="M10" s="13">
        <v>0.19400000000000001</v>
      </c>
    </row>
    <row r="11" spans="1:13" x14ac:dyDescent="0.25">
      <c r="A11" s="12" t="s">
        <v>16</v>
      </c>
      <c r="B11" s="12">
        <v>42.5</v>
      </c>
      <c r="C11" s="13">
        <f t="shared" si="0"/>
        <v>5.9693877551020416E-2</v>
      </c>
      <c r="D11" s="13">
        <v>3.7360829999999998</v>
      </c>
      <c r="E11" s="14">
        <f t="shared" si="1"/>
        <v>4.4966644693965489E-2</v>
      </c>
      <c r="F11" s="15">
        <f t="shared" si="1"/>
        <v>4.9173358707140853E-2</v>
      </c>
      <c r="G11" s="15">
        <f t="shared" si="2"/>
        <v>4.9465366564388186E-2</v>
      </c>
      <c r="H11" s="15">
        <f t="shared" si="2"/>
        <v>4.9476736725521032E-2</v>
      </c>
      <c r="I11" s="15">
        <f t="shared" si="2"/>
        <v>4.9477156379160891E-2</v>
      </c>
      <c r="K11" s="15">
        <f t="shared" si="3"/>
        <v>2.1027791461143379</v>
      </c>
      <c r="M11" s="13">
        <v>0.11700000000000001</v>
      </c>
    </row>
    <row r="12" spans="1:13" x14ac:dyDescent="0.25">
      <c r="A12" s="12" t="s">
        <v>17</v>
      </c>
      <c r="B12" s="12">
        <v>47.5</v>
      </c>
      <c r="C12" s="13">
        <f t="shared" si="0"/>
        <v>3.6224489795918365E-2</v>
      </c>
      <c r="D12" s="13">
        <v>3.5552280000000001</v>
      </c>
      <c r="E12" s="14">
        <f t="shared" si="1"/>
        <v>2.1507779695062595E-2</v>
      </c>
      <c r="F12" s="15">
        <f t="shared" si="1"/>
        <v>2.3768638733538516E-2</v>
      </c>
      <c r="G12" s="15">
        <f t="shared" si="2"/>
        <v>2.3926445299090646E-2</v>
      </c>
      <c r="H12" s="15">
        <f t="shared" si="2"/>
        <v>2.3932592170389767E-2</v>
      </c>
      <c r="I12" s="15">
        <f t="shared" si="2"/>
        <v>2.3932819044313974E-2</v>
      </c>
      <c r="K12" s="15">
        <f t="shared" si="3"/>
        <v>1.1368089046049137</v>
      </c>
      <c r="M12" s="13">
        <v>7.0999999999999994E-2</v>
      </c>
    </row>
    <row r="13" spans="1:13" x14ac:dyDescent="0.25">
      <c r="A13" s="10"/>
      <c r="B13" s="11"/>
      <c r="C13" s="11"/>
      <c r="D13" s="11"/>
      <c r="E13" s="11"/>
    </row>
    <row r="14" spans="1:13" x14ac:dyDescent="0.25">
      <c r="A14" s="10"/>
      <c r="B14" s="16" t="s">
        <v>18</v>
      </c>
      <c r="C14" s="17">
        <f>SUMPRODUCT(C6:C12,D6:D12)</f>
        <v>2.7657886734693879</v>
      </c>
      <c r="D14" s="18" t="s">
        <v>19</v>
      </c>
      <c r="E14" s="22">
        <f>SUM(E6:E12)</f>
        <v>0.93982435865717184</v>
      </c>
      <c r="F14" s="22">
        <f>SUM(F6:F12)</f>
        <v>0.99600041387133809</v>
      </c>
      <c r="G14" s="22">
        <f>SUM(G6:G12)</f>
        <v>0.99984471894765325</v>
      </c>
      <c r="H14" s="22">
        <f>SUM(H6:H12)</f>
        <v>0.9999942694865247</v>
      </c>
      <c r="I14" s="22">
        <f>SUM(I6:I12)</f>
        <v>0.9999997889488681</v>
      </c>
      <c r="K14" s="15">
        <f>SUM(K6:K12)</f>
        <v>27.656606281925871</v>
      </c>
    </row>
    <row r="15" spans="1:13" x14ac:dyDescent="0.25">
      <c r="A15" s="10"/>
      <c r="B15" s="16" t="s">
        <v>22</v>
      </c>
      <c r="C15" s="20">
        <v>27</v>
      </c>
      <c r="D15" s="18" t="s">
        <v>20</v>
      </c>
      <c r="E15" s="22">
        <f>LN(C14)/C15</f>
        <v>3.767873440112858E-2</v>
      </c>
      <c r="F15" s="23">
        <f>E15*LN($C$14)/(LN($C$14)-E14+1)</f>
        <v>3.5574475548275857E-2</v>
      </c>
      <c r="G15" s="23">
        <f>F15*LN($C$14)/(LN($C$14)-F14+1)</f>
        <v>3.5435163261659547E-2</v>
      </c>
      <c r="H15" s="23">
        <f>G15*LN($C$14)/(LN($C$14)-G14+1)</f>
        <v>3.5429755387854409E-2</v>
      </c>
      <c r="I15" s="23">
        <f>H15*LN($C$14)/(LN($C$14)-H14+1)</f>
        <v>3.5429555816054233E-2</v>
      </c>
    </row>
    <row r="20" spans="1:13" ht="15.75" x14ac:dyDescent="0.25">
      <c r="A20" s="1" t="s">
        <v>28</v>
      </c>
      <c r="B20" s="25" t="s">
        <v>54</v>
      </c>
    </row>
    <row r="21" spans="1:13" x14ac:dyDescent="0.25">
      <c r="A21" s="2"/>
    </row>
    <row r="22" spans="1:13" ht="75" x14ac:dyDescent="0.25">
      <c r="A22" s="3" t="s">
        <v>0</v>
      </c>
      <c r="B22" s="3" t="s">
        <v>1</v>
      </c>
      <c r="C22" s="3" t="s">
        <v>2</v>
      </c>
      <c r="D22" s="4" t="s">
        <v>3</v>
      </c>
      <c r="E22" s="3" t="s">
        <v>4</v>
      </c>
      <c r="F22" s="5"/>
      <c r="G22" s="5"/>
      <c r="H22" s="5"/>
      <c r="I22" s="5"/>
    </row>
    <row r="23" spans="1:13" ht="18" x14ac:dyDescent="0.35">
      <c r="A23" s="6" t="s">
        <v>5</v>
      </c>
      <c r="B23" s="6" t="s">
        <v>6</v>
      </c>
      <c r="C23" s="7" t="s">
        <v>29</v>
      </c>
      <c r="D23" s="9" t="s">
        <v>8</v>
      </c>
      <c r="E23" s="41" t="s">
        <v>9</v>
      </c>
      <c r="F23" s="41"/>
      <c r="G23" s="27"/>
      <c r="H23" s="27"/>
      <c r="I23" s="27"/>
      <c r="K23" s="25" t="s">
        <v>10</v>
      </c>
      <c r="M23" s="24" t="s">
        <v>25</v>
      </c>
    </row>
    <row r="24" spans="1:13" x14ac:dyDescent="0.25">
      <c r="A24" s="10"/>
      <c r="B24" s="11"/>
      <c r="C24" s="11"/>
      <c r="D24" s="11"/>
      <c r="E24" s="11"/>
      <c r="F24" s="11"/>
    </row>
    <row r="25" spans="1:13" x14ac:dyDescent="0.25">
      <c r="A25" s="12" t="s">
        <v>11</v>
      </c>
      <c r="B25" s="12">
        <v>17.5</v>
      </c>
      <c r="C25" s="13">
        <f>M25/2</f>
        <v>4.5999999999999999E-2</v>
      </c>
      <c r="D25" s="13">
        <v>4.8445320000000001</v>
      </c>
      <c r="E25" s="14">
        <f>$C25*$D25*EXP(-E$34*$B25)</f>
        <v>0.18208646985135546</v>
      </c>
      <c r="F25" s="15">
        <f>$C25*$D25*EXP(-F$34*$B25)</f>
        <v>0.18209616743664536</v>
      </c>
      <c r="G25" s="15"/>
      <c r="H25" s="15"/>
      <c r="I25" s="15"/>
      <c r="K25" s="15">
        <f>B25*F25</f>
        <v>3.186682930141294</v>
      </c>
      <c r="M25" s="13">
        <v>9.1999999999999998E-2</v>
      </c>
    </row>
    <row r="26" spans="1:13" x14ac:dyDescent="0.25">
      <c r="A26" s="12" t="s">
        <v>12</v>
      </c>
      <c r="B26" s="12">
        <v>22.5</v>
      </c>
      <c r="C26" s="13">
        <f t="shared" ref="C26:C31" si="4">M26/2</f>
        <v>7.5499999999999998E-2</v>
      </c>
      <c r="D26" s="13">
        <v>4.8254359999999998</v>
      </c>
      <c r="E26" s="14">
        <f t="shared" ref="E26:F31" si="5">$C26*$D26*EXP(-E$34*$B26)</f>
        <v>0.28098636490662748</v>
      </c>
      <c r="F26" s="15">
        <f t="shared" si="5"/>
        <v>0.28100560552170029</v>
      </c>
      <c r="G26" s="15"/>
      <c r="H26" s="15"/>
      <c r="I26" s="15"/>
      <c r="K26" s="15">
        <f t="shared" ref="K26:K31" si="6">B26*F26</f>
        <v>6.3226261242382567</v>
      </c>
      <c r="M26" s="13">
        <v>0.151</v>
      </c>
    </row>
    <row r="27" spans="1:13" x14ac:dyDescent="0.25">
      <c r="A27" s="12" t="s">
        <v>13</v>
      </c>
      <c r="B27" s="12">
        <v>27.5</v>
      </c>
      <c r="C27" s="13">
        <f t="shared" si="4"/>
        <v>6.6000000000000003E-2</v>
      </c>
      <c r="D27" s="13">
        <v>4.8032779999999997</v>
      </c>
      <c r="E27" s="14">
        <f t="shared" si="5"/>
        <v>0.23079006620751855</v>
      </c>
      <c r="F27" s="15">
        <f t="shared" si="5"/>
        <v>0.23080938163378653</v>
      </c>
      <c r="G27" s="15"/>
      <c r="H27" s="15"/>
      <c r="I27" s="15"/>
      <c r="K27" s="15">
        <f t="shared" si="6"/>
        <v>6.3472579949291292</v>
      </c>
      <c r="M27" s="13">
        <v>0.13200000000000001</v>
      </c>
    </row>
    <row r="28" spans="1:13" x14ac:dyDescent="0.25">
      <c r="A28" s="12" t="s">
        <v>14</v>
      </c>
      <c r="B28" s="12">
        <v>32.5</v>
      </c>
      <c r="C28" s="13">
        <f t="shared" si="4"/>
        <v>5.1499999999999997E-2</v>
      </c>
      <c r="D28" s="13">
        <v>4.7792940000000002</v>
      </c>
      <c r="E28" s="14">
        <f t="shared" si="5"/>
        <v>0.16913759384918617</v>
      </c>
      <c r="F28" s="15">
        <f t="shared" si="5"/>
        <v>0.16915432328536911</v>
      </c>
      <c r="G28" s="15"/>
      <c r="H28" s="15"/>
      <c r="I28" s="15"/>
      <c r="K28" s="15">
        <f t="shared" si="6"/>
        <v>5.4975155067744961</v>
      </c>
      <c r="M28" s="13">
        <v>0.10299999999999999</v>
      </c>
    </row>
    <row r="29" spans="1:13" x14ac:dyDescent="0.25">
      <c r="A29" s="12" t="s">
        <v>15</v>
      </c>
      <c r="B29" s="12">
        <v>37.5</v>
      </c>
      <c r="C29" s="13">
        <f t="shared" si="4"/>
        <v>3.15E-2</v>
      </c>
      <c r="D29" s="13">
        <v>4.749339</v>
      </c>
      <c r="E29" s="14">
        <f t="shared" si="5"/>
        <v>9.7039067455461314E-2</v>
      </c>
      <c r="F29" s="15">
        <f t="shared" si="5"/>
        <v>9.7050142334253325E-2</v>
      </c>
      <c r="G29" s="15"/>
      <c r="H29" s="15"/>
      <c r="I29" s="15"/>
      <c r="K29" s="15">
        <f t="shared" si="6"/>
        <v>3.6393803375344995</v>
      </c>
      <c r="M29" s="13">
        <v>6.3E-2</v>
      </c>
    </row>
    <row r="30" spans="1:13" x14ac:dyDescent="0.25">
      <c r="A30" s="12" t="s">
        <v>16</v>
      </c>
      <c r="B30" s="12">
        <v>42.5</v>
      </c>
      <c r="C30" s="13">
        <f t="shared" si="4"/>
        <v>1.15E-2</v>
      </c>
      <c r="D30" s="13">
        <v>4.7089220000000003</v>
      </c>
      <c r="E30" s="14">
        <f t="shared" si="5"/>
        <v>3.3155527848035521E-2</v>
      </c>
      <c r="F30" s="15">
        <f t="shared" si="5"/>
        <v>3.3159816386211773E-2</v>
      </c>
      <c r="G30" s="15"/>
      <c r="H30" s="15"/>
      <c r="I30" s="15"/>
      <c r="K30" s="15">
        <f t="shared" si="6"/>
        <v>1.4092921964140004</v>
      </c>
      <c r="M30" s="13">
        <v>2.3E-2</v>
      </c>
    </row>
    <row r="31" spans="1:13" x14ac:dyDescent="0.25">
      <c r="A31" s="12" t="s">
        <v>17</v>
      </c>
      <c r="B31" s="12">
        <v>47.5</v>
      </c>
      <c r="C31" s="13">
        <f t="shared" si="4"/>
        <v>2.5000000000000001E-3</v>
      </c>
      <c r="D31" s="13">
        <v>4.6530180000000003</v>
      </c>
      <c r="E31" s="14">
        <f t="shared" si="5"/>
        <v>6.7227207122778528E-3</v>
      </c>
      <c r="F31" s="15">
        <f t="shared" si="5"/>
        <v>6.7236925782740561E-3</v>
      </c>
      <c r="G31" s="15"/>
      <c r="H31" s="15"/>
      <c r="I31" s="15"/>
      <c r="K31" s="15">
        <f t="shared" si="6"/>
        <v>0.31937539746801769</v>
      </c>
      <c r="M31" s="13">
        <v>5.0000000000000001E-3</v>
      </c>
    </row>
    <row r="32" spans="1:13" x14ac:dyDescent="0.25">
      <c r="A32" s="10"/>
      <c r="B32" s="11"/>
      <c r="C32" s="11"/>
      <c r="D32" s="11"/>
      <c r="E32" s="11"/>
    </row>
    <row r="33" spans="1:13" x14ac:dyDescent="0.25">
      <c r="A33" s="10"/>
      <c r="B33" s="16" t="s">
        <v>18</v>
      </c>
      <c r="C33" s="17">
        <f>SUMPRODUCT(C25:C31,D25:D31)</f>
        <v>1.3657082054999998</v>
      </c>
      <c r="D33" s="18" t="s">
        <v>19</v>
      </c>
      <c r="E33" s="22">
        <f>SUM(E25:E31)</f>
        <v>0.99991781083046238</v>
      </c>
      <c r="F33" s="22">
        <f>SUM(F25:F31)</f>
        <v>0.99999912917624056</v>
      </c>
      <c r="G33" s="22"/>
      <c r="H33" s="22"/>
      <c r="I33" s="22"/>
      <c r="K33" s="15">
        <f>SUM(K25:K31)</f>
        <v>26.722130487499697</v>
      </c>
    </row>
    <row r="34" spans="1:13" x14ac:dyDescent="0.25">
      <c r="A34" s="10"/>
      <c r="B34" s="16" t="s">
        <v>22</v>
      </c>
      <c r="C34" s="20">
        <v>27</v>
      </c>
      <c r="D34" s="18" t="s">
        <v>20</v>
      </c>
      <c r="E34" s="22">
        <f>LN(C33)/C34</f>
        <v>1.1543449109568045E-2</v>
      </c>
      <c r="F34" s="23">
        <f>E34*LN($C$33)/(LN($C$33)-E33+1)</f>
        <v>1.1540405868763872E-2</v>
      </c>
      <c r="G34" s="23"/>
      <c r="H34" s="23"/>
      <c r="I34" s="23"/>
    </row>
    <row r="38" spans="1:13" ht="15.75" x14ac:dyDescent="0.25">
      <c r="A38" s="1" t="s">
        <v>30</v>
      </c>
      <c r="B38" s="25" t="s">
        <v>30</v>
      </c>
    </row>
    <row r="39" spans="1:13" x14ac:dyDescent="0.25">
      <c r="A39" s="2"/>
    </row>
    <row r="40" spans="1:13" ht="75" x14ac:dyDescent="0.25">
      <c r="A40" s="3" t="s">
        <v>0</v>
      </c>
      <c r="B40" s="3" t="s">
        <v>1</v>
      </c>
      <c r="C40" s="3" t="s">
        <v>2</v>
      </c>
      <c r="D40" s="4" t="s">
        <v>3</v>
      </c>
      <c r="E40" s="3" t="s">
        <v>4</v>
      </c>
      <c r="F40" s="5">
        <v>2</v>
      </c>
      <c r="G40" s="5">
        <v>3</v>
      </c>
      <c r="H40" s="5"/>
      <c r="I40" s="5"/>
    </row>
    <row r="41" spans="1:13" ht="18" x14ac:dyDescent="0.35">
      <c r="A41" s="6" t="s">
        <v>5</v>
      </c>
      <c r="B41" s="6" t="s">
        <v>6</v>
      </c>
      <c r="C41" s="7" t="s">
        <v>31</v>
      </c>
      <c r="D41" s="9" t="s">
        <v>8</v>
      </c>
      <c r="E41" s="41" t="s">
        <v>9</v>
      </c>
      <c r="F41" s="41"/>
      <c r="G41" s="41"/>
      <c r="H41" s="27"/>
      <c r="I41" s="27"/>
      <c r="K41" s="25" t="s">
        <v>10</v>
      </c>
      <c r="M41" s="24" t="s">
        <v>25</v>
      </c>
    </row>
    <row r="42" spans="1:13" x14ac:dyDescent="0.25">
      <c r="A42" s="10"/>
      <c r="B42" s="11"/>
      <c r="C42" s="11"/>
      <c r="D42" s="11"/>
      <c r="E42" s="11"/>
      <c r="F42" s="11"/>
    </row>
    <row r="43" spans="1:13" x14ac:dyDescent="0.25">
      <c r="A43" s="12" t="s">
        <v>11</v>
      </c>
      <c r="B43" s="12">
        <v>17.5</v>
      </c>
      <c r="C43" s="13">
        <f>M43/1.9</f>
        <v>6.3157894736842113E-3</v>
      </c>
      <c r="D43" s="13">
        <v>4.9707879999999998</v>
      </c>
      <c r="E43" s="14">
        <f t="shared" ref="E43:G49" si="7">$C43*$D43*EXP(-E$52*$B43)</f>
        <v>3.5960568890968665E-2</v>
      </c>
      <c r="F43" s="14">
        <f t="shared" si="7"/>
        <v>3.5912238046119073E-2</v>
      </c>
      <c r="G43" s="14">
        <f t="shared" si="7"/>
        <v>3.59125005282592E-2</v>
      </c>
      <c r="H43" s="15"/>
      <c r="I43" s="15"/>
      <c r="K43" s="15">
        <f>B43*G43</f>
        <v>0.62846875924453605</v>
      </c>
      <c r="M43" s="13">
        <v>1.2E-2</v>
      </c>
    </row>
    <row r="44" spans="1:13" x14ac:dyDescent="0.25">
      <c r="A44" s="12" t="s">
        <v>12</v>
      </c>
      <c r="B44" s="12">
        <v>22.5</v>
      </c>
      <c r="C44" s="13">
        <f t="shared" ref="C44:C48" si="8">M44/1.9</f>
        <v>2.4210526315789474E-2</v>
      </c>
      <c r="D44" s="13">
        <v>4.9642340000000003</v>
      </c>
      <c r="E44" s="14">
        <f t="shared" si="7"/>
        <v>0.14311322284228906</v>
      </c>
      <c r="F44" s="14">
        <f t="shared" si="7"/>
        <v>0.14286597150699459</v>
      </c>
      <c r="G44" s="14">
        <f t="shared" si="7"/>
        <v>0.14286731405866387</v>
      </c>
      <c r="H44" s="15"/>
      <c r="I44" s="15"/>
      <c r="K44" s="15">
        <f t="shared" ref="K44:K49" si="9">B44*G44</f>
        <v>3.214514566319937</v>
      </c>
      <c r="M44" s="13">
        <v>4.5999999999999999E-2</v>
      </c>
    </row>
    <row r="45" spans="1:13" x14ac:dyDescent="0.25">
      <c r="A45" s="12" t="s">
        <v>13</v>
      </c>
      <c r="B45" s="12">
        <v>27.5</v>
      </c>
      <c r="C45" s="13">
        <f t="shared" si="8"/>
        <v>4.5263157894736838E-2</v>
      </c>
      <c r="D45" s="13">
        <v>4.9573090000000004</v>
      </c>
      <c r="E45" s="14">
        <f t="shared" si="7"/>
        <v>0.27775618998725776</v>
      </c>
      <c r="F45" s="14">
        <f t="shared" si="7"/>
        <v>0.27716979615713283</v>
      </c>
      <c r="G45" s="14">
        <f t="shared" si="7"/>
        <v>0.27717297961232701</v>
      </c>
      <c r="H45" s="15"/>
      <c r="I45" s="15"/>
      <c r="K45" s="15">
        <f t="shared" si="9"/>
        <v>7.6222569393389925</v>
      </c>
      <c r="M45" s="13">
        <v>8.5999999999999993E-2</v>
      </c>
    </row>
    <row r="46" spans="1:13" x14ac:dyDescent="0.25">
      <c r="A46" s="12" t="s">
        <v>14</v>
      </c>
      <c r="B46" s="12">
        <v>32.5</v>
      </c>
      <c r="C46" s="13">
        <f t="shared" si="8"/>
        <v>5.2105263157894745E-2</v>
      </c>
      <c r="D46" s="13">
        <v>4.949884</v>
      </c>
      <c r="E46" s="14">
        <f t="shared" si="7"/>
        <v>0.331893800305265</v>
      </c>
      <c r="F46" s="14">
        <f t="shared" si="7"/>
        <v>0.33106587330747383</v>
      </c>
      <c r="G46" s="14">
        <f t="shared" si="7"/>
        <v>0.33107036715543864</v>
      </c>
      <c r="H46" s="15"/>
      <c r="I46" s="15"/>
      <c r="K46" s="15">
        <f t="shared" si="9"/>
        <v>10.759786932551755</v>
      </c>
      <c r="M46" s="13">
        <v>9.9000000000000005E-2</v>
      </c>
    </row>
    <row r="47" spans="1:13" x14ac:dyDescent="0.25">
      <c r="A47" s="12" t="s">
        <v>15</v>
      </c>
      <c r="B47" s="12">
        <v>37.5</v>
      </c>
      <c r="C47" s="13">
        <f t="shared" si="8"/>
        <v>2.6315789473684213E-2</v>
      </c>
      <c r="D47" s="13">
        <v>4.938841</v>
      </c>
      <c r="E47" s="14">
        <f t="shared" si="7"/>
        <v>0.17386557145880541</v>
      </c>
      <c r="F47" s="14">
        <f t="shared" si="7"/>
        <v>0.17336522480365193</v>
      </c>
      <c r="G47" s="14">
        <f t="shared" si="7"/>
        <v>0.17336794008169168</v>
      </c>
      <c r="H47" s="15"/>
      <c r="I47" s="15"/>
      <c r="K47" s="15">
        <f t="shared" si="9"/>
        <v>6.5012977530634384</v>
      </c>
      <c r="M47" s="13">
        <v>0.05</v>
      </c>
    </row>
    <row r="48" spans="1:13" x14ac:dyDescent="0.25">
      <c r="A48" s="12" t="s">
        <v>16</v>
      </c>
      <c r="B48" s="12">
        <v>42.5</v>
      </c>
      <c r="C48" s="13">
        <f t="shared" si="8"/>
        <v>5.2631578947368429E-3</v>
      </c>
      <c r="D48" s="13">
        <v>4.9207989999999997</v>
      </c>
      <c r="E48" s="14">
        <f t="shared" si="7"/>
        <v>3.6016689195780785E-2</v>
      </c>
      <c r="F48" s="14">
        <f t="shared" si="7"/>
        <v>3.589924394450713E-2</v>
      </c>
      <c r="G48" s="14">
        <f t="shared" si="7"/>
        <v>3.5899881173809399E-2</v>
      </c>
      <c r="H48" s="15"/>
      <c r="I48" s="15"/>
      <c r="K48" s="15">
        <f t="shared" si="9"/>
        <v>1.5257449498868993</v>
      </c>
      <c r="M48" s="13">
        <v>0.01</v>
      </c>
    </row>
    <row r="49" spans="1:13" x14ac:dyDescent="0.25">
      <c r="A49" s="12" t="s">
        <v>17</v>
      </c>
      <c r="B49" s="12">
        <v>47.5</v>
      </c>
      <c r="C49" s="13">
        <f>M49/1.9</f>
        <v>5.263157894736842E-4</v>
      </c>
      <c r="D49" s="13">
        <v>4.8924250000000002</v>
      </c>
      <c r="E49" s="14">
        <f t="shared" si="7"/>
        <v>3.7225621594163668E-3</v>
      </c>
      <c r="F49" s="14">
        <f t="shared" si="7"/>
        <v>3.7089979364847122E-3</v>
      </c>
      <c r="G49" s="14">
        <f t="shared" si="7"/>
        <v>3.7090715185817327E-3</v>
      </c>
      <c r="H49" s="15"/>
      <c r="I49" s="15"/>
      <c r="K49" s="15">
        <f t="shared" si="9"/>
        <v>0.1761808971326323</v>
      </c>
      <c r="M49" s="13">
        <v>1E-3</v>
      </c>
    </row>
    <row r="50" spans="1:13" x14ac:dyDescent="0.25">
      <c r="A50" s="10"/>
      <c r="B50" s="11"/>
      <c r="C50" s="11"/>
      <c r="D50" s="11"/>
      <c r="E50" s="11"/>
    </row>
    <row r="51" spans="1:13" x14ac:dyDescent="0.25">
      <c r="A51" s="10"/>
      <c r="B51" s="16" t="s">
        <v>18</v>
      </c>
      <c r="C51" s="17">
        <f>SUMPRODUCT(C43:C49,D43:D49)</f>
        <v>0.79232303947368432</v>
      </c>
      <c r="D51" s="18" t="s">
        <v>19</v>
      </c>
      <c r="E51" s="22">
        <f>SUM(E43:E49)</f>
        <v>1.002328604839783</v>
      </c>
      <c r="F51" s="22">
        <f>SUM(F43:F49)</f>
        <v>0.99998734570236414</v>
      </c>
      <c r="G51" s="22">
        <f>SUM(G43:G49)</f>
        <v>1.0000000541287715</v>
      </c>
      <c r="H51" s="22"/>
      <c r="I51" s="22"/>
      <c r="K51" s="15">
        <f>SUM(K43:K49)</f>
        <v>30.42825079753819</v>
      </c>
    </row>
    <row r="52" spans="1:13" x14ac:dyDescent="0.25">
      <c r="A52" s="10"/>
      <c r="B52" s="16" t="s">
        <v>22</v>
      </c>
      <c r="C52" s="20">
        <v>30</v>
      </c>
      <c r="D52" s="18" t="s">
        <v>20</v>
      </c>
      <c r="E52" s="22">
        <f>LN(C51)/C52</f>
        <v>-7.7595364068014086E-3</v>
      </c>
      <c r="F52" s="23">
        <f>E52*LN($C$51)/(LN($C$51)-E51+1)</f>
        <v>-7.6826850050875336E-3</v>
      </c>
      <c r="G52" s="23">
        <f>F52*LN($C$51)/(LN($C$51)-F51+1)</f>
        <v>-7.6831026600552629E-3</v>
      </c>
      <c r="H52" s="23"/>
      <c r="I52" s="23"/>
    </row>
  </sheetData>
  <mergeCells count="3">
    <mergeCell ref="F4:I4"/>
    <mergeCell ref="E23:F23"/>
    <mergeCell ref="E41:G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48CB-B74F-493F-9FDF-FB55A01CD2B4}">
  <dimension ref="A1:T74"/>
  <sheetViews>
    <sheetView tabSelected="1" topLeftCell="G9" workbookViewId="0">
      <selection activeCell="J28" sqref="J28"/>
    </sheetView>
  </sheetViews>
  <sheetFormatPr defaultRowHeight="15" x14ac:dyDescent="0.25"/>
  <sheetData>
    <row r="1" spans="1:18" x14ac:dyDescent="0.25">
      <c r="A1" s="24" t="s">
        <v>21</v>
      </c>
      <c r="C1" s="24"/>
      <c r="K1" s="24" t="s">
        <v>23</v>
      </c>
    </row>
    <row r="3" spans="1:18" x14ac:dyDescent="0.25">
      <c r="A3" s="25" t="s">
        <v>41</v>
      </c>
      <c r="B3" s="2"/>
      <c r="C3" s="25" t="s">
        <v>6</v>
      </c>
      <c r="D3" s="25" t="s">
        <v>42</v>
      </c>
      <c r="E3" s="25" t="s">
        <v>46</v>
      </c>
      <c r="F3" s="25" t="s">
        <v>43</v>
      </c>
      <c r="G3" s="25" t="s">
        <v>44</v>
      </c>
      <c r="H3" s="25" t="s">
        <v>45</v>
      </c>
      <c r="L3" s="25" t="s">
        <v>41</v>
      </c>
      <c r="M3" s="25" t="s">
        <v>6</v>
      </c>
      <c r="N3" s="25" t="s">
        <v>42</v>
      </c>
      <c r="O3" s="25" t="s">
        <v>46</v>
      </c>
      <c r="P3" s="25" t="s">
        <v>43</v>
      </c>
      <c r="Q3" s="25" t="s">
        <v>44</v>
      </c>
      <c r="R3" s="25" t="s">
        <v>45</v>
      </c>
    </row>
    <row r="4" spans="1:18" x14ac:dyDescent="0.25">
      <c r="A4" s="34" t="s">
        <v>38</v>
      </c>
      <c r="B4">
        <v>5</v>
      </c>
      <c r="C4" s="32">
        <v>2.5</v>
      </c>
      <c r="D4" s="31">
        <v>3.2026983463403218E-3</v>
      </c>
      <c r="E4" s="32">
        <v>4.8928900000000004</v>
      </c>
      <c r="F4" s="33">
        <f>$E4*EXP(-E$24*$C4)</f>
        <v>4.8806730525473085</v>
      </c>
      <c r="G4">
        <f t="shared" ref="G4:G22" si="0">$E4*EXP(-E$24*$C4) * $D4</f>
        <v>1.5631323514421036E-2</v>
      </c>
      <c r="H4">
        <f t="shared" ref="H4:H22" si="1">$E4*EXP(-E$24*($B4+$C4))</f>
        <v>4.8563305941440147</v>
      </c>
      <c r="L4" s="34" t="s">
        <v>38</v>
      </c>
      <c r="M4" s="32">
        <v>2.5</v>
      </c>
      <c r="N4" s="31">
        <v>3.0781190577723913E-3</v>
      </c>
      <c r="O4" s="32">
        <v>4.9018300000000004</v>
      </c>
      <c r="P4">
        <f t="shared" ref="P4:P22" si="2">$O4*EXP(-O$24*$M4)</f>
        <v>4.94861928219657</v>
      </c>
      <c r="Q4">
        <f t="shared" ref="Q4:Q22" si="3">$O4*$N4 *EXP(-O$24*$M4)</f>
        <v>1.5232439322189194E-2</v>
      </c>
      <c r="R4">
        <f t="shared" ref="R4:R22" si="4">$O4*EXP(-O$24*($B4+$C4))</f>
        <v>5.0435419584089951</v>
      </c>
    </row>
    <row r="5" spans="1:18" x14ac:dyDescent="0.25">
      <c r="A5" s="30" t="s">
        <v>39</v>
      </c>
      <c r="B5">
        <v>10</v>
      </c>
      <c r="C5" s="32">
        <v>7.5</v>
      </c>
      <c r="D5" s="31">
        <v>2.4333673756387238E-3</v>
      </c>
      <c r="E5" s="32">
        <v>4.8768900000000004</v>
      </c>
      <c r="F5" s="33">
        <f t="shared" ref="F5:F22" si="5">$E5*EXP(-E$24*$C5)</f>
        <v>4.8404501452669084</v>
      </c>
      <c r="G5">
        <f t="shared" si="0"/>
        <v>1.1778593466898217E-2</v>
      </c>
      <c r="H5">
        <f t="shared" si="1"/>
        <v>4.7922868615926388</v>
      </c>
      <c r="L5" s="30" t="s">
        <v>39</v>
      </c>
      <c r="M5" s="32">
        <v>7.5</v>
      </c>
      <c r="N5" s="31">
        <v>1.5013838757745263E-3</v>
      </c>
      <c r="O5" s="32">
        <v>4.8886799999999999</v>
      </c>
      <c r="P5">
        <f t="shared" si="2"/>
        <v>5.0300117917665208</v>
      </c>
      <c r="Q5">
        <f t="shared" si="3"/>
        <v>7.5519785991139884E-3</v>
      </c>
      <c r="R5">
        <f t="shared" si="4"/>
        <v>5.2248303498550186</v>
      </c>
    </row>
    <row r="6" spans="1:18" x14ac:dyDescent="0.25">
      <c r="A6" s="34" t="s">
        <v>40</v>
      </c>
      <c r="B6">
        <v>15</v>
      </c>
      <c r="C6" s="35">
        <v>12.5</v>
      </c>
      <c r="D6" s="31">
        <v>2.3546698503513533E-3</v>
      </c>
      <c r="E6" s="32">
        <v>4.8652100000000003</v>
      </c>
      <c r="F6" s="33">
        <f t="shared" si="5"/>
        <v>4.804773390740837</v>
      </c>
      <c r="G6">
        <f>$E6*EXP(-E$24*$C6) * $D6</f>
        <v>1.1313655040947891E-2</v>
      </c>
      <c r="H6">
        <f t="shared" si="1"/>
        <v>4.7332396343058898</v>
      </c>
      <c r="L6" s="34" t="s">
        <v>40</v>
      </c>
      <c r="M6" s="35">
        <v>12.5</v>
      </c>
      <c r="N6" s="31">
        <v>2.2551237305348964E-3</v>
      </c>
      <c r="O6" s="32">
        <v>4.8795000000000002</v>
      </c>
      <c r="P6">
        <f t="shared" si="2"/>
        <v>5.1168691383713112</v>
      </c>
      <c r="Q6">
        <f t="shared" si="3"/>
        <v>1.1539173019982793E-2</v>
      </c>
      <c r="R6">
        <f t="shared" si="4"/>
        <v>5.4170032443702052</v>
      </c>
    </row>
    <row r="7" spans="1:18" x14ac:dyDescent="0.25">
      <c r="A7" s="30" t="s">
        <v>11</v>
      </c>
      <c r="B7">
        <v>20</v>
      </c>
      <c r="C7" s="30">
        <v>17.5</v>
      </c>
      <c r="D7" s="31">
        <v>8.7068157045685785E-3</v>
      </c>
      <c r="E7" s="32">
        <v>4.8383200000000004</v>
      </c>
      <c r="F7" s="33">
        <f t="shared" si="5"/>
        <v>4.7543859648630376</v>
      </c>
      <c r="G7">
        <f t="shared" si="0"/>
        <v>4.1395562384449927E-2</v>
      </c>
      <c r="H7">
        <f t="shared" si="1"/>
        <v>4.660242815147007</v>
      </c>
      <c r="L7" s="30" t="s">
        <v>11</v>
      </c>
      <c r="M7" s="30">
        <v>17.5</v>
      </c>
      <c r="N7" s="31">
        <v>7.8383314143013055E-3</v>
      </c>
      <c r="O7" s="32">
        <v>4.8548900000000001</v>
      </c>
      <c r="P7">
        <f t="shared" si="2"/>
        <v>5.1887169168789189</v>
      </c>
      <c r="Q7">
        <f t="shared" si="3"/>
        <v>4.0670882809488641E-2</v>
      </c>
      <c r="R7">
        <f t="shared" si="4"/>
        <v>5.5984313612091245</v>
      </c>
    </row>
    <row r="8" spans="1:18" x14ac:dyDescent="0.25">
      <c r="A8" s="30" t="s">
        <v>12</v>
      </c>
      <c r="B8">
        <v>25</v>
      </c>
      <c r="C8" s="30">
        <v>22.5</v>
      </c>
      <c r="D8" s="31">
        <v>1.3136765978125345E-2</v>
      </c>
      <c r="E8" s="32">
        <v>4.78552</v>
      </c>
      <c r="F8" s="33">
        <f t="shared" si="5"/>
        <v>4.6790481006134552</v>
      </c>
      <c r="G8">
        <f t="shared" si="0"/>
        <v>6.146755989815085E-2</v>
      </c>
      <c r="H8">
        <f t="shared" si="1"/>
        <v>4.5635219913856462</v>
      </c>
      <c r="L8" s="30" t="s">
        <v>12</v>
      </c>
      <c r="M8" s="30">
        <v>22.5</v>
      </c>
      <c r="N8" s="31">
        <v>1.2250370761395546E-2</v>
      </c>
      <c r="O8" s="32">
        <v>4.8061699999999998</v>
      </c>
      <c r="P8">
        <f t="shared" si="2"/>
        <v>5.2351762382850078</v>
      </c>
      <c r="Q8">
        <f t="shared" si="3"/>
        <v>6.413284992023939E-2</v>
      </c>
      <c r="R8">
        <f t="shared" si="4"/>
        <v>5.7569079085758696</v>
      </c>
    </row>
    <row r="9" spans="1:18" x14ac:dyDescent="0.25">
      <c r="A9" s="30" t="s">
        <v>13</v>
      </c>
      <c r="B9">
        <v>30</v>
      </c>
      <c r="C9" s="30">
        <v>27.5</v>
      </c>
      <c r="D9" s="31">
        <v>1.3570283416970407E-2</v>
      </c>
      <c r="E9" s="32">
        <v>4.7216300000000002</v>
      </c>
      <c r="F9" s="33">
        <f t="shared" si="5"/>
        <v>4.5935542873848654</v>
      </c>
      <c r="G9">
        <f t="shared" si="0"/>
        <v>6.233583357105215E-2</v>
      </c>
      <c r="H9">
        <f t="shared" si="1"/>
        <v>4.4577942413052423</v>
      </c>
      <c r="L9" s="30" t="s">
        <v>13</v>
      </c>
      <c r="M9" s="30">
        <v>27.5</v>
      </c>
      <c r="N9" s="31">
        <v>1.2254338521326305E-2</v>
      </c>
      <c r="O9" s="32">
        <v>4.7472799999999999</v>
      </c>
      <c r="P9">
        <f t="shared" si="2"/>
        <v>5.2702184981932136</v>
      </c>
      <c r="Q9">
        <f t="shared" si="3"/>
        <v>6.4583041558215565E-2</v>
      </c>
      <c r="R9">
        <f t="shared" si="4"/>
        <v>5.9066085804538133</v>
      </c>
    </row>
    <row r="10" spans="1:18" x14ac:dyDescent="0.25">
      <c r="A10" s="30" t="s">
        <v>14</v>
      </c>
      <c r="B10">
        <v>35</v>
      </c>
      <c r="C10" s="30">
        <v>32.5</v>
      </c>
      <c r="D10" s="31">
        <v>1.4952286870356282E-2</v>
      </c>
      <c r="E10" s="32">
        <v>4.6543099999999997</v>
      </c>
      <c r="F10" s="33">
        <f t="shared" si="5"/>
        <v>4.5054765684743456</v>
      </c>
      <c r="G10">
        <f t="shared" si="0"/>
        <v>6.7367178139496831E-2</v>
      </c>
      <c r="H10">
        <f t="shared" si="1"/>
        <v>4.3505125773403828</v>
      </c>
      <c r="L10" s="30" t="s">
        <v>14</v>
      </c>
      <c r="M10" s="30">
        <v>32.5</v>
      </c>
      <c r="N10" s="31">
        <v>1.3835734510962998E-2</v>
      </c>
      <c r="O10" s="32">
        <v>4.6853800000000003</v>
      </c>
      <c r="P10">
        <f t="shared" si="2"/>
        <v>5.3012732222813659</v>
      </c>
      <c r="Q10">
        <f t="shared" si="3"/>
        <v>7.3347008873562311E-2</v>
      </c>
      <c r="R10">
        <f t="shared" si="4"/>
        <v>6.0553793293025029</v>
      </c>
    </row>
    <row r="11" spans="1:18" x14ac:dyDescent="0.25">
      <c r="A11" s="30" t="s">
        <v>15</v>
      </c>
      <c r="B11">
        <v>40</v>
      </c>
      <c r="C11" s="30">
        <v>37.5</v>
      </c>
      <c r="D11" s="31">
        <v>1.6498979109071291E-2</v>
      </c>
      <c r="E11" s="32">
        <v>4.5811500000000001</v>
      </c>
      <c r="F11" s="33">
        <f t="shared" si="5"/>
        <v>4.4125381067417431</v>
      </c>
      <c r="G11">
        <f t="shared" si="0"/>
        <v>7.2802374041113005E-2</v>
      </c>
      <c r="H11">
        <f t="shared" si="1"/>
        <v>4.2395200128146531</v>
      </c>
      <c r="L11" s="30" t="s">
        <v>15</v>
      </c>
      <c r="M11" s="30">
        <v>37.5</v>
      </c>
      <c r="N11" s="31">
        <v>1.5999261909018399E-2</v>
      </c>
      <c r="O11" s="32">
        <v>4.6155200000000001</v>
      </c>
      <c r="P11">
        <f t="shared" si="2"/>
        <v>5.3224011082203582</v>
      </c>
      <c r="Q11">
        <f t="shared" si="3"/>
        <v>8.5154489315267298E-2</v>
      </c>
      <c r="R11">
        <f t="shared" si="4"/>
        <v>6.1961277325323501</v>
      </c>
    </row>
    <row r="12" spans="1:18" x14ac:dyDescent="0.25">
      <c r="A12" s="30" t="s">
        <v>16</v>
      </c>
      <c r="B12">
        <v>45</v>
      </c>
      <c r="C12" s="30">
        <v>42.5</v>
      </c>
      <c r="D12" s="31">
        <v>2.0393851905115182E-2</v>
      </c>
      <c r="E12" s="32">
        <v>4.4967199999999998</v>
      </c>
      <c r="F12" s="33">
        <f t="shared" si="5"/>
        <v>4.3096135741173525</v>
      </c>
      <c r="G12">
        <f t="shared" si="0"/>
        <v>8.7889620998823414E-2</v>
      </c>
      <c r="H12">
        <f t="shared" si="1"/>
        <v>4.1199797245299337</v>
      </c>
      <c r="L12" s="30" t="s">
        <v>16</v>
      </c>
      <c r="M12" s="30">
        <v>42.5</v>
      </c>
      <c r="N12" s="31">
        <v>2.1104240164662825E-2</v>
      </c>
      <c r="O12" s="32">
        <v>4.5299899999999997</v>
      </c>
      <c r="P12">
        <f t="shared" si="2"/>
        <v>5.3239724827328585</v>
      </c>
      <c r="Q12">
        <f t="shared" si="3"/>
        <v>0.11235839390565044</v>
      </c>
      <c r="R12">
        <f t="shared" si="4"/>
        <v>6.3168440988086907</v>
      </c>
    </row>
    <row r="13" spans="1:18" x14ac:dyDescent="0.25">
      <c r="A13" s="30" t="s">
        <v>17</v>
      </c>
      <c r="B13">
        <v>50</v>
      </c>
      <c r="C13" s="30">
        <v>47.5</v>
      </c>
      <c r="D13" s="31">
        <v>2.9340190084055692E-2</v>
      </c>
      <c r="E13" s="32">
        <v>4.3851000000000004</v>
      </c>
      <c r="F13" s="33">
        <f t="shared" si="5"/>
        <v>4.1816772857338806</v>
      </c>
      <c r="G13">
        <f t="shared" si="0"/>
        <v>0.12269120643361012</v>
      </c>
      <c r="H13">
        <f t="shared" si="1"/>
        <v>3.9777344779563464</v>
      </c>
      <c r="L13" s="30" t="s">
        <v>17</v>
      </c>
      <c r="M13" s="30">
        <v>47.5</v>
      </c>
      <c r="N13" s="31">
        <v>2.9593381908302015E-2</v>
      </c>
      <c r="O13" s="32">
        <v>4.4153599999999997</v>
      </c>
      <c r="P13">
        <f t="shared" si="2"/>
        <v>5.2887893901400806</v>
      </c>
      <c r="Q13">
        <f t="shared" si="3"/>
        <v>0.15651316425499112</v>
      </c>
      <c r="R13">
        <f t="shared" si="4"/>
        <v>6.3954664421208332</v>
      </c>
    </row>
    <row r="14" spans="1:18" x14ac:dyDescent="0.25">
      <c r="A14" s="29">
        <v>50</v>
      </c>
      <c r="B14">
        <v>55</v>
      </c>
      <c r="C14" s="30">
        <v>52.5</v>
      </c>
      <c r="D14" s="31">
        <v>4.1339062839619599E-2</v>
      </c>
      <c r="E14" s="32">
        <v>4.2305299999999999</v>
      </c>
      <c r="F14">
        <f t="shared" si="5"/>
        <v>4.0141566708561989</v>
      </c>
      <c r="G14">
        <f t="shared" si="0"/>
        <v>0.16594147486460262</v>
      </c>
      <c r="H14">
        <f t="shared" si="1"/>
        <v>3.7993396705237941</v>
      </c>
      <c r="L14" s="29">
        <v>50</v>
      </c>
      <c r="M14" s="30">
        <v>52.5</v>
      </c>
      <c r="N14" s="31">
        <v>3.9901675134099979E-2</v>
      </c>
      <c r="O14" s="32">
        <v>4.2622799999999996</v>
      </c>
      <c r="P14">
        <f t="shared" si="2"/>
        <v>5.203358218413527</v>
      </c>
      <c r="Q14">
        <f t="shared" si="3"/>
        <v>0.2076227092374858</v>
      </c>
      <c r="R14">
        <f t="shared" si="4"/>
        <v>6.412852811845049</v>
      </c>
    </row>
    <row r="15" spans="1:18" x14ac:dyDescent="0.25">
      <c r="A15" s="29">
        <v>55</v>
      </c>
      <c r="B15">
        <v>60</v>
      </c>
      <c r="C15" s="30">
        <v>57.5</v>
      </c>
      <c r="D15" s="31">
        <v>5.5960126192719034E-2</v>
      </c>
      <c r="E15" s="32">
        <v>4.0253699999999997</v>
      </c>
      <c r="F15">
        <f t="shared" si="5"/>
        <v>3.8004399339047916</v>
      </c>
      <c r="G15">
        <f t="shared" si="0"/>
        <v>0.21267309828916092</v>
      </c>
      <c r="H15">
        <f t="shared" si="1"/>
        <v>3.5791195417687991</v>
      </c>
      <c r="L15" s="29">
        <v>55</v>
      </c>
      <c r="M15" s="30">
        <v>57.5</v>
      </c>
      <c r="N15" s="31">
        <v>5.6002212876373116E-2</v>
      </c>
      <c r="O15" s="32">
        <v>4.0585899999999997</v>
      </c>
      <c r="P15">
        <f t="shared" si="2"/>
        <v>5.0497342727928505</v>
      </c>
      <c r="Q15">
        <f t="shared" si="3"/>
        <v>0.2827962937140624</v>
      </c>
      <c r="R15">
        <f t="shared" si="4"/>
        <v>6.342897117387869</v>
      </c>
    </row>
    <row r="16" spans="1:18" x14ac:dyDescent="0.25">
      <c r="A16" s="29">
        <v>60</v>
      </c>
      <c r="B16">
        <v>65</v>
      </c>
      <c r="C16" s="30">
        <v>62.5</v>
      </c>
      <c r="D16" s="31">
        <v>8.163110265213333E-2</v>
      </c>
      <c r="E16" s="32">
        <v>3.74993</v>
      </c>
      <c r="F16">
        <f t="shared" si="5"/>
        <v>3.5227332266361375</v>
      </c>
      <c r="G16">
        <f t="shared" si="0"/>
        <v>0.28756459763961539</v>
      </c>
      <c r="H16">
        <f t="shared" si="1"/>
        <v>3.3010386888392209</v>
      </c>
      <c r="L16" s="29">
        <v>60</v>
      </c>
      <c r="M16" s="30">
        <v>62.5</v>
      </c>
      <c r="N16" s="31">
        <v>8.0810582945628526E-2</v>
      </c>
      <c r="O16" s="32">
        <v>3.78241</v>
      </c>
      <c r="P16">
        <f t="shared" si="2"/>
        <v>4.796379548611184</v>
      </c>
      <c r="Q16">
        <f t="shared" si="3"/>
        <v>0.38759822735176042</v>
      </c>
      <c r="R16">
        <f t="shared" si="4"/>
        <v>6.140224915088905</v>
      </c>
    </row>
    <row r="17" spans="1:20" x14ac:dyDescent="0.25">
      <c r="A17" s="29">
        <v>65</v>
      </c>
      <c r="B17">
        <v>70</v>
      </c>
      <c r="C17" s="30">
        <v>67.5</v>
      </c>
      <c r="D17" s="31">
        <v>0.11220174504124052</v>
      </c>
      <c r="E17" s="32">
        <v>3.3889399999999998</v>
      </c>
      <c r="F17">
        <f t="shared" si="5"/>
        <v>3.1677361615044801</v>
      </c>
      <c r="G17">
        <f t="shared" si="0"/>
        <v>0.35542552515104359</v>
      </c>
      <c r="H17">
        <f t="shared" si="1"/>
        <v>2.953577620079368</v>
      </c>
      <c r="L17" s="29">
        <v>65</v>
      </c>
      <c r="M17" s="30">
        <v>67.5</v>
      </c>
      <c r="N17" s="31">
        <v>0.1187419177682362</v>
      </c>
      <c r="O17" s="32">
        <v>3.4080300000000001</v>
      </c>
      <c r="P17">
        <f t="shared" si="2"/>
        <v>4.4045337658082824</v>
      </c>
      <c r="Q17">
        <f t="shared" si="3"/>
        <v>0.52300278622702678</v>
      </c>
      <c r="R17">
        <f t="shared" si="4"/>
        <v>5.7467496214204248</v>
      </c>
    </row>
    <row r="18" spans="1:20" x14ac:dyDescent="0.25">
      <c r="A18" s="29" t="s">
        <v>33</v>
      </c>
      <c r="B18">
        <v>75</v>
      </c>
      <c r="C18" s="30">
        <v>72.5</v>
      </c>
      <c r="D18" s="31">
        <v>0.17800096172270036</v>
      </c>
      <c r="E18" s="32">
        <v>2.9038200000000001</v>
      </c>
      <c r="F18">
        <f t="shared" si="5"/>
        <v>2.7007435164670501</v>
      </c>
      <c r="G18">
        <f t="shared" si="0"/>
        <v>0.48073494329748256</v>
      </c>
      <c r="H18">
        <f t="shared" si="1"/>
        <v>2.5055972056463767</v>
      </c>
      <c r="L18" s="29" t="s">
        <v>33</v>
      </c>
      <c r="M18" s="30">
        <v>72.5</v>
      </c>
      <c r="N18" s="31">
        <v>0.17673349812032493</v>
      </c>
      <c r="O18" s="32">
        <v>2.9107799999999999</v>
      </c>
      <c r="P18">
        <f t="shared" si="2"/>
        <v>3.8340477024663118</v>
      </c>
      <c r="Q18">
        <f t="shared" si="3"/>
        <v>0.67760466241706607</v>
      </c>
      <c r="R18">
        <f t="shared" si="4"/>
        <v>5.0983710487460794</v>
      </c>
    </row>
    <row r="19" spans="1:20" x14ac:dyDescent="0.25">
      <c r="A19" s="29" t="s">
        <v>34</v>
      </c>
      <c r="B19">
        <v>80</v>
      </c>
      <c r="C19" s="30">
        <v>77.5</v>
      </c>
      <c r="D19" s="31">
        <v>0.25506523175674878</v>
      </c>
      <c r="E19" s="32">
        <v>2.2859799999999999</v>
      </c>
      <c r="F19">
        <f t="shared" si="5"/>
        <v>2.1155076692302237</v>
      </c>
      <c r="G19">
        <f t="shared" si="0"/>
        <v>0.53959245393538646</v>
      </c>
      <c r="H19">
        <f t="shared" si="1"/>
        <v>1.9528597103727119</v>
      </c>
      <c r="L19" s="29" t="s">
        <v>34</v>
      </c>
      <c r="M19" s="30">
        <v>77.5</v>
      </c>
      <c r="N19" s="31">
        <v>0.2494319981322268</v>
      </c>
      <c r="O19" s="32">
        <v>2.3007900000000001</v>
      </c>
      <c r="P19">
        <f t="shared" si="2"/>
        <v>3.0887069551714879</v>
      </c>
      <c r="Q19">
        <f t="shared" si="3"/>
        <v>0.77042234747333049</v>
      </c>
      <c r="R19">
        <f t="shared" si="4"/>
        <v>4.1860289596728659</v>
      </c>
    </row>
    <row r="20" spans="1:20" x14ac:dyDescent="0.25">
      <c r="A20" s="29" t="s">
        <v>35</v>
      </c>
      <c r="B20">
        <v>85</v>
      </c>
      <c r="C20" s="32">
        <v>82.5</v>
      </c>
      <c r="D20" s="31">
        <v>0.36570697048663592</v>
      </c>
      <c r="E20" s="32">
        <v>1.59493</v>
      </c>
      <c r="F20">
        <f t="shared" si="5"/>
        <v>1.4686297865809532</v>
      </c>
      <c r="G20">
        <f t="shared" si="0"/>
        <v>0.53708815001695509</v>
      </c>
      <c r="H20">
        <f t="shared" si="1"/>
        <v>1.3489545002124961</v>
      </c>
      <c r="L20" s="29" t="s">
        <v>35</v>
      </c>
      <c r="M20" s="32">
        <v>82.5</v>
      </c>
      <c r="N20" s="31">
        <v>0.36317792338144345</v>
      </c>
      <c r="O20" s="32">
        <v>1.61469</v>
      </c>
      <c r="P20">
        <f t="shared" si="2"/>
        <v>2.2092276786668572</v>
      </c>
      <c r="Q20">
        <f t="shared" si="3"/>
        <v>0.80234272061503609</v>
      </c>
      <c r="R20">
        <f t="shared" si="4"/>
        <v>3.0515296448042069</v>
      </c>
    </row>
    <row r="21" spans="1:20" x14ac:dyDescent="0.25">
      <c r="A21" s="29" t="s">
        <v>36</v>
      </c>
      <c r="B21">
        <v>90</v>
      </c>
      <c r="C21" s="32">
        <v>87.5</v>
      </c>
      <c r="D21" s="31">
        <v>0.47332593173769721</v>
      </c>
      <c r="E21" s="32">
        <v>0.94503000000000004</v>
      </c>
      <c r="F21">
        <f t="shared" si="5"/>
        <v>0.86585432027622888</v>
      </c>
      <c r="G21">
        <f t="shared" si="0"/>
        <v>0.40983130289385655</v>
      </c>
      <c r="H21">
        <f t="shared" si="1"/>
        <v>0.7913312652022676</v>
      </c>
      <c r="L21" s="29" t="s">
        <v>36</v>
      </c>
      <c r="M21" s="32">
        <v>87.5</v>
      </c>
      <c r="N21" s="31">
        <v>0.50886673137900063</v>
      </c>
      <c r="O21" s="32">
        <v>0.93674999999999997</v>
      </c>
      <c r="P21">
        <f t="shared" si="2"/>
        <v>1.3062509430614728</v>
      </c>
      <c r="Q21">
        <f t="shared" si="3"/>
        <v>0.66470764775642877</v>
      </c>
      <c r="R21">
        <f t="shared" si="4"/>
        <v>1.8388882162322961</v>
      </c>
    </row>
    <row r="22" spans="1:20" x14ac:dyDescent="0.25">
      <c r="A22" s="29" t="s">
        <v>37</v>
      </c>
      <c r="B22">
        <v>95</v>
      </c>
      <c r="C22" s="32">
        <v>95</v>
      </c>
      <c r="D22" s="31">
        <v>1</v>
      </c>
      <c r="E22" s="32">
        <v>0.64863000000000004</v>
      </c>
      <c r="F22">
        <f t="shared" si="5"/>
        <v>0.58984656648412903</v>
      </c>
      <c r="G22">
        <f t="shared" si="0"/>
        <v>0.58984656648412903</v>
      </c>
      <c r="H22">
        <f t="shared" si="1"/>
        <v>0.53639050304968316</v>
      </c>
      <c r="L22" s="29" t="s">
        <v>37</v>
      </c>
      <c r="M22" s="32">
        <v>95</v>
      </c>
      <c r="N22" s="31">
        <v>1</v>
      </c>
      <c r="O22" s="32">
        <v>0.53395999999999999</v>
      </c>
      <c r="P22">
        <f t="shared" si="2"/>
        <v>0.76610629757071358</v>
      </c>
      <c r="Q22">
        <f t="shared" si="3"/>
        <v>0.76610629757071358</v>
      </c>
      <c r="R22">
        <f t="shared" si="4"/>
        <v>1.099181322903414</v>
      </c>
    </row>
    <row r="24" spans="1:20" x14ac:dyDescent="0.25">
      <c r="A24" s="33"/>
      <c r="C24" s="33"/>
      <c r="D24" s="33"/>
      <c r="E24" s="28">
        <v>1E-3</v>
      </c>
      <c r="F24">
        <f>SUM(F4:F22)</f>
        <v>68.207838328423918</v>
      </c>
      <c r="G24">
        <f>SUM(G4:G22)</f>
        <v>4.1333710200611957</v>
      </c>
      <c r="H24">
        <f>SUM(H4:H22)</f>
        <v>65.519371636216476</v>
      </c>
      <c r="O24" s="36">
        <v>-3.8E-3</v>
      </c>
      <c r="P24">
        <f>SUM(P4:P22)</f>
        <v>82.684393451628878</v>
      </c>
      <c r="Q24">
        <f>SUM(Q4:Q22)</f>
        <v>5.7132871139416119</v>
      </c>
      <c r="R24">
        <f>SUM(R4:R22)</f>
        <v>97.827864663738509</v>
      </c>
    </row>
    <row r="25" spans="1:20" x14ac:dyDescent="0.25">
      <c r="I25" s="38" t="s">
        <v>47</v>
      </c>
      <c r="J25" s="38" t="s">
        <v>48</v>
      </c>
      <c r="S25" s="38" t="s">
        <v>47</v>
      </c>
      <c r="T25" s="38" t="s">
        <v>48</v>
      </c>
    </row>
    <row r="26" spans="1:20" x14ac:dyDescent="0.25">
      <c r="I26" s="24">
        <f>G24/F24</f>
        <v>6.0599648388779334E-2</v>
      </c>
      <c r="J26" s="24">
        <f xml:space="preserve"> 1000/H24</f>
        <v>15.262661637726088</v>
      </c>
      <c r="S26" s="24">
        <f>Q24/P24</f>
        <v>6.9097527059733918E-2</v>
      </c>
      <c r="T26" s="24">
        <f xml:space="preserve"> 1000/R24</f>
        <v>10.222036466167152</v>
      </c>
    </row>
    <row r="28" spans="1:20" x14ac:dyDescent="0.25">
      <c r="B28" s="24" t="s">
        <v>49</v>
      </c>
    </row>
    <row r="29" spans="1:20" x14ac:dyDescent="0.25">
      <c r="B29" s="24" t="s">
        <v>21</v>
      </c>
      <c r="I29" s="24" t="s">
        <v>23</v>
      </c>
    </row>
    <row r="31" spans="1:20" x14ac:dyDescent="0.25">
      <c r="B31" s="25" t="s">
        <v>6</v>
      </c>
      <c r="C31" s="37" t="s">
        <v>46</v>
      </c>
      <c r="D31" s="24" t="s">
        <v>50</v>
      </c>
      <c r="I31" s="25" t="s">
        <v>46</v>
      </c>
      <c r="J31" s="24" t="s">
        <v>50</v>
      </c>
    </row>
    <row r="32" spans="1:20" x14ac:dyDescent="0.25">
      <c r="B32" s="32">
        <v>2.5</v>
      </c>
      <c r="C32" s="32">
        <v>4.8928900000000004</v>
      </c>
      <c r="D32">
        <f>$C32*EXP(-E$24*$B32)</f>
        <v>4.8806730525473085</v>
      </c>
      <c r="I32" s="32">
        <v>4.9018300000000004</v>
      </c>
      <c r="J32">
        <f t="shared" ref="J32:J50" si="6">$I32*EXP(-O$24*$B32)</f>
        <v>4.94861928219657</v>
      </c>
    </row>
    <row r="33" spans="2:12" x14ac:dyDescent="0.25">
      <c r="B33" s="32">
        <v>7.5</v>
      </c>
      <c r="C33" s="32">
        <v>4.8768900000000004</v>
      </c>
      <c r="D33">
        <f t="shared" ref="D33:D50" si="7">$C33*EXP(-E$24*$B33)</f>
        <v>4.8404501452669084</v>
      </c>
      <c r="I33" s="32">
        <v>4.8886799999999999</v>
      </c>
      <c r="J33">
        <f t="shared" si="6"/>
        <v>5.0300117917665208</v>
      </c>
    </row>
    <row r="34" spans="2:12" x14ac:dyDescent="0.25">
      <c r="B34" s="35">
        <v>12.5</v>
      </c>
      <c r="C34" s="32">
        <v>4.8652100000000003</v>
      </c>
      <c r="D34">
        <f t="shared" si="7"/>
        <v>4.804773390740837</v>
      </c>
      <c r="I34" s="32">
        <v>4.8795000000000002</v>
      </c>
      <c r="J34">
        <f t="shared" si="6"/>
        <v>5.1168691383713112</v>
      </c>
    </row>
    <row r="35" spans="2:12" x14ac:dyDescent="0.25">
      <c r="B35" s="30">
        <v>17.5</v>
      </c>
      <c r="C35" s="32">
        <v>4.8383200000000004</v>
      </c>
      <c r="D35">
        <f t="shared" si="7"/>
        <v>4.7543859648630376</v>
      </c>
      <c r="F35">
        <f>SUM(D32:D34)</f>
        <v>14.525896588555053</v>
      </c>
      <c r="I35" s="32">
        <v>4.8548900000000001</v>
      </c>
      <c r="J35">
        <f t="shared" si="6"/>
        <v>5.1887169168789189</v>
      </c>
      <c r="L35">
        <f>SUM(J32:J34)</f>
        <v>15.0955002123344</v>
      </c>
    </row>
    <row r="36" spans="2:12" x14ac:dyDescent="0.25">
      <c r="B36" s="30">
        <v>22.5</v>
      </c>
      <c r="C36" s="32">
        <v>4.78552</v>
      </c>
      <c r="D36">
        <f t="shared" si="7"/>
        <v>4.6790481006134552</v>
      </c>
      <c r="F36">
        <f>SUM(D45:D50)</f>
        <v>10.908318020543065</v>
      </c>
      <c r="I36" s="32">
        <v>4.8061699999999998</v>
      </c>
      <c r="J36">
        <f t="shared" si="6"/>
        <v>5.2351762382850078</v>
      </c>
      <c r="L36">
        <f>SUM(J45:J50)</f>
        <v>15.608873342745124</v>
      </c>
    </row>
    <row r="37" spans="2:12" x14ac:dyDescent="0.25">
      <c r="B37" s="30">
        <v>27.5</v>
      </c>
      <c r="C37" s="32">
        <v>4.7216300000000002</v>
      </c>
      <c r="D37">
        <f t="shared" si="7"/>
        <v>4.5935542873848654</v>
      </c>
      <c r="I37" s="32">
        <v>4.7472799999999999</v>
      </c>
      <c r="J37">
        <f t="shared" si="6"/>
        <v>5.2702184981932136</v>
      </c>
    </row>
    <row r="38" spans="2:12" x14ac:dyDescent="0.25">
      <c r="B38" s="30">
        <v>32.5</v>
      </c>
      <c r="C38" s="32">
        <v>4.6543099999999997</v>
      </c>
      <c r="D38">
        <f t="shared" si="7"/>
        <v>4.5054765684743456</v>
      </c>
      <c r="I38" s="32">
        <v>4.6853800000000003</v>
      </c>
      <c r="J38">
        <f t="shared" si="6"/>
        <v>5.3012732222813659</v>
      </c>
    </row>
    <row r="39" spans="2:12" x14ac:dyDescent="0.25">
      <c r="B39" s="30">
        <v>37.5</v>
      </c>
      <c r="C39" s="32">
        <v>4.5811500000000001</v>
      </c>
      <c r="D39">
        <f t="shared" si="7"/>
        <v>4.4125381067417431</v>
      </c>
      <c r="F39">
        <f>SUM(D35:D44)</f>
        <v>42.773623719325805</v>
      </c>
      <c r="I39" s="32">
        <v>4.6155200000000001</v>
      </c>
      <c r="J39">
        <f t="shared" si="6"/>
        <v>5.3224011082203582</v>
      </c>
      <c r="L39">
        <f>SUM(J35:J44)</f>
        <v>51.980019896549365</v>
      </c>
    </row>
    <row r="40" spans="2:12" x14ac:dyDescent="0.25">
      <c r="B40" s="30">
        <v>42.5</v>
      </c>
      <c r="C40" s="32">
        <v>4.4967199999999998</v>
      </c>
      <c r="D40">
        <f t="shared" si="7"/>
        <v>4.3096135741173525</v>
      </c>
      <c r="I40" s="32">
        <v>4.5299899999999997</v>
      </c>
      <c r="J40">
        <f t="shared" si="6"/>
        <v>5.3239724827328585</v>
      </c>
    </row>
    <row r="41" spans="2:12" x14ac:dyDescent="0.25">
      <c r="B41" s="30">
        <v>47.5</v>
      </c>
      <c r="C41" s="32">
        <v>4.3851000000000004</v>
      </c>
      <c r="D41">
        <f t="shared" si="7"/>
        <v>4.1816772857338806</v>
      </c>
      <c r="I41" s="32">
        <v>4.4153599999999997</v>
      </c>
      <c r="J41">
        <f t="shared" si="6"/>
        <v>5.2887893901400806</v>
      </c>
    </row>
    <row r="42" spans="2:12" x14ac:dyDescent="0.25">
      <c r="B42" s="30">
        <v>52.5</v>
      </c>
      <c r="C42" s="32">
        <v>4.2305299999999999</v>
      </c>
      <c r="D42">
        <f t="shared" si="7"/>
        <v>4.0141566708561989</v>
      </c>
      <c r="I42" s="32">
        <v>4.2622799999999996</v>
      </c>
      <c r="J42">
        <f t="shared" si="6"/>
        <v>5.203358218413527</v>
      </c>
    </row>
    <row r="43" spans="2:12" x14ac:dyDescent="0.25">
      <c r="B43" s="30">
        <v>57.5</v>
      </c>
      <c r="C43" s="32">
        <v>4.0253699999999997</v>
      </c>
      <c r="D43">
        <f t="shared" si="7"/>
        <v>3.8004399339047916</v>
      </c>
      <c r="I43" s="32">
        <v>4.0585899999999997</v>
      </c>
      <c r="J43">
        <f t="shared" si="6"/>
        <v>5.0497342727928505</v>
      </c>
    </row>
    <row r="44" spans="2:12" x14ac:dyDescent="0.25">
      <c r="B44" s="30">
        <v>62.5</v>
      </c>
      <c r="C44" s="32">
        <v>3.74993</v>
      </c>
      <c r="D44">
        <f t="shared" si="7"/>
        <v>3.5227332266361375</v>
      </c>
      <c r="I44" s="32">
        <v>3.78241</v>
      </c>
      <c r="J44">
        <f t="shared" si="6"/>
        <v>4.796379548611184</v>
      </c>
    </row>
    <row r="45" spans="2:12" x14ac:dyDescent="0.25">
      <c r="B45" s="30">
        <v>67.5</v>
      </c>
      <c r="C45" s="32">
        <v>3.3889399999999998</v>
      </c>
      <c r="D45">
        <f t="shared" si="7"/>
        <v>3.1677361615044801</v>
      </c>
      <c r="I45" s="32">
        <v>3.4080300000000001</v>
      </c>
      <c r="J45">
        <f t="shared" si="6"/>
        <v>4.4045337658082824</v>
      </c>
    </row>
    <row r="46" spans="2:12" x14ac:dyDescent="0.25">
      <c r="B46" s="30">
        <v>72.5</v>
      </c>
      <c r="C46" s="32">
        <v>2.9038200000000001</v>
      </c>
      <c r="D46">
        <f t="shared" si="7"/>
        <v>2.7007435164670501</v>
      </c>
      <c r="I46" s="32">
        <v>2.9107799999999999</v>
      </c>
      <c r="J46">
        <f t="shared" si="6"/>
        <v>3.8340477024663118</v>
      </c>
    </row>
    <row r="47" spans="2:12" x14ac:dyDescent="0.25">
      <c r="B47" s="30">
        <v>77.5</v>
      </c>
      <c r="C47" s="32">
        <v>2.2859799999999999</v>
      </c>
      <c r="D47">
        <f t="shared" si="7"/>
        <v>2.1155076692302237</v>
      </c>
      <c r="I47" s="32">
        <v>2.3007900000000001</v>
      </c>
      <c r="J47">
        <f t="shared" si="6"/>
        <v>3.0887069551714879</v>
      </c>
    </row>
    <row r="48" spans="2:12" x14ac:dyDescent="0.25">
      <c r="B48" s="32">
        <v>82.5</v>
      </c>
      <c r="C48" s="32">
        <v>1.59493</v>
      </c>
      <c r="D48">
        <f t="shared" si="7"/>
        <v>1.4686297865809532</v>
      </c>
      <c r="I48" s="32">
        <v>1.61469</v>
      </c>
      <c r="J48">
        <f t="shared" si="6"/>
        <v>2.2092276786668572</v>
      </c>
    </row>
    <row r="49" spans="1:12" x14ac:dyDescent="0.25">
      <c r="B49" s="32">
        <v>87.5</v>
      </c>
      <c r="C49" s="32">
        <v>0.94503000000000004</v>
      </c>
      <c r="D49">
        <f t="shared" si="7"/>
        <v>0.86585432027622888</v>
      </c>
      <c r="F49" s="38" t="s">
        <v>51</v>
      </c>
      <c r="I49" s="32">
        <v>0.93674999999999997</v>
      </c>
      <c r="J49">
        <f t="shared" si="6"/>
        <v>1.3062509430614728</v>
      </c>
      <c r="L49" s="38" t="s">
        <v>51</v>
      </c>
    </row>
    <row r="50" spans="1:12" x14ac:dyDescent="0.25">
      <c r="B50" s="32">
        <v>95</v>
      </c>
      <c r="C50" s="32">
        <v>0.64863000000000004</v>
      </c>
      <c r="D50">
        <f t="shared" si="7"/>
        <v>0.58984656648412903</v>
      </c>
      <c r="F50" s="24">
        <f>($F35+$F36)/ $F39</f>
        <v>0.59462379844162083</v>
      </c>
      <c r="I50" s="32">
        <v>0.53395999999999999</v>
      </c>
      <c r="J50">
        <f t="shared" si="6"/>
        <v>0.76610629757071358</v>
      </c>
      <c r="L50" s="24">
        <f>($L35+$L36)/ $L39</f>
        <v>0.59069568684635687</v>
      </c>
    </row>
    <row r="53" spans="1:12" x14ac:dyDescent="0.25">
      <c r="A53" s="39" t="s">
        <v>52</v>
      </c>
    </row>
    <row r="55" spans="1:12" x14ac:dyDescent="0.25">
      <c r="A55" s="24" t="s">
        <v>21</v>
      </c>
      <c r="D55" s="24" t="s">
        <v>23</v>
      </c>
    </row>
    <row r="56" spans="1:12" x14ac:dyDescent="0.25">
      <c r="A56" s="39" t="s">
        <v>52</v>
      </c>
      <c r="B56" s="24" t="s">
        <v>53</v>
      </c>
      <c r="D56" s="39" t="s">
        <v>52</v>
      </c>
      <c r="E56" s="24" t="s">
        <v>53</v>
      </c>
    </row>
    <row r="57" spans="1:12" x14ac:dyDescent="0.25">
      <c r="A57" s="31">
        <v>2.196E-2</v>
      </c>
      <c r="B57">
        <f t="shared" ref="B57:B74" si="8">$A57*EXP(0.001642717)</f>
        <v>2.1996103711291268E-2</v>
      </c>
      <c r="D57" s="31">
        <v>1.9890000000000001E-2</v>
      </c>
      <c r="E57">
        <f t="shared" ref="E57:E74" si="9">$D57*EXP(-0.02101836)</f>
        <v>1.9476307616996057E-2</v>
      </c>
    </row>
    <row r="58" spans="1:12" x14ac:dyDescent="0.25">
      <c r="A58" s="31">
        <v>4.6999999999999999E-4</v>
      </c>
      <c r="B58">
        <f t="shared" si="8"/>
        <v>4.7077271148938509E-4</v>
      </c>
      <c r="D58" s="31">
        <v>4.4999999999999999E-4</v>
      </c>
      <c r="E58">
        <f t="shared" si="9"/>
        <v>4.4064044382344014E-4</v>
      </c>
    </row>
    <row r="59" spans="1:12" x14ac:dyDescent="0.25">
      <c r="A59" s="31">
        <v>1.75E-3</v>
      </c>
      <c r="B59">
        <f t="shared" si="8"/>
        <v>1.7528771172477106E-3</v>
      </c>
      <c r="D59" s="31">
        <v>1.57E-3</v>
      </c>
      <c r="E59">
        <f t="shared" si="9"/>
        <v>1.5373455484506689E-3</v>
      </c>
    </row>
    <row r="60" spans="1:12" x14ac:dyDescent="0.25">
      <c r="A60" s="31">
        <v>2.64E-3</v>
      </c>
      <c r="B60">
        <f t="shared" si="8"/>
        <v>2.644340336876546E-3</v>
      </c>
      <c r="D60" s="31">
        <v>2.47E-3</v>
      </c>
      <c r="E60">
        <f t="shared" si="9"/>
        <v>2.4186264360975492E-3</v>
      </c>
    </row>
    <row r="61" spans="1:12" x14ac:dyDescent="0.25">
      <c r="A61" s="31">
        <v>2.7299999999999998E-3</v>
      </c>
      <c r="B61">
        <f t="shared" si="8"/>
        <v>2.734488302906428E-3</v>
      </c>
      <c r="D61" s="31">
        <v>2.47E-3</v>
      </c>
      <c r="E61">
        <f t="shared" si="9"/>
        <v>2.4186264360975492E-3</v>
      </c>
    </row>
    <row r="62" spans="1:12" x14ac:dyDescent="0.25">
      <c r="A62" s="31">
        <v>3.0100000000000001E-3</v>
      </c>
      <c r="B62">
        <f t="shared" si="8"/>
        <v>3.0149486416660622E-3</v>
      </c>
      <c r="D62" s="31">
        <v>2.7899999999999999E-3</v>
      </c>
      <c r="E62">
        <f t="shared" si="9"/>
        <v>2.7319707517053289E-3</v>
      </c>
    </row>
    <row r="63" spans="1:12" x14ac:dyDescent="0.25">
      <c r="A63" s="31">
        <v>3.3300000000000001E-3</v>
      </c>
      <c r="B63">
        <f t="shared" si="8"/>
        <v>3.3354747431056432E-3</v>
      </c>
      <c r="D63" s="31">
        <v>3.2299999999999998E-3</v>
      </c>
      <c r="E63">
        <f t="shared" si="9"/>
        <v>3.1628191856660258E-3</v>
      </c>
    </row>
    <row r="64" spans="1:12" x14ac:dyDescent="0.25">
      <c r="A64" s="31">
        <v>4.1200000000000004E-3</v>
      </c>
      <c r="B64">
        <f t="shared" si="8"/>
        <v>4.1267735560346101E-3</v>
      </c>
      <c r="D64" s="31">
        <v>4.2700000000000004E-3</v>
      </c>
      <c r="E64">
        <f t="shared" si="9"/>
        <v>4.1811882113913105E-3</v>
      </c>
    </row>
    <row r="65" spans="1:5" x14ac:dyDescent="0.25">
      <c r="A65" s="31">
        <v>5.96E-3</v>
      </c>
      <c r="B65">
        <f t="shared" si="8"/>
        <v>5.9697986393122023E-3</v>
      </c>
      <c r="D65" s="31">
        <v>6.0099999999999997E-3</v>
      </c>
      <c r="E65">
        <f t="shared" si="9"/>
        <v>5.884997927508611E-3</v>
      </c>
    </row>
    <row r="66" spans="1:5" x14ac:dyDescent="0.25">
      <c r="A66" s="31">
        <v>8.4399999999999996E-3</v>
      </c>
      <c r="B66">
        <f t="shared" si="8"/>
        <v>8.453875925468958E-3</v>
      </c>
      <c r="D66" s="31">
        <v>8.1399999999999997E-3</v>
      </c>
      <c r="E66">
        <f t="shared" si="9"/>
        <v>7.9706960282728938E-3</v>
      </c>
    </row>
    <row r="67" spans="1:5" x14ac:dyDescent="0.25">
      <c r="A67" s="31">
        <v>1.1509999999999999E-2</v>
      </c>
      <c r="B67">
        <f t="shared" si="8"/>
        <v>1.1528923211154941E-2</v>
      </c>
      <c r="D67" s="31">
        <v>1.1520000000000001E-2</v>
      </c>
      <c r="E67">
        <f t="shared" si="9"/>
        <v>1.1280395361880068E-2</v>
      </c>
    </row>
    <row r="68" spans="1:5" x14ac:dyDescent="0.25">
      <c r="A68" s="31">
        <v>1.702E-2</v>
      </c>
      <c r="B68">
        <f t="shared" si="8"/>
        <v>1.7047982020317733E-2</v>
      </c>
      <c r="D68" s="31">
        <v>1.6840000000000001E-2</v>
      </c>
      <c r="E68">
        <f t="shared" si="9"/>
        <v>1.6489744608859404E-2</v>
      </c>
    </row>
    <row r="69" spans="1:5" x14ac:dyDescent="0.25">
      <c r="A69" s="31">
        <v>2.3769999999999999E-2</v>
      </c>
      <c r="B69">
        <f t="shared" si="8"/>
        <v>2.3809079472558902E-2</v>
      </c>
      <c r="D69" s="31">
        <v>2.5250000000000002E-2</v>
      </c>
      <c r="E69">
        <f t="shared" si="9"/>
        <v>2.4724824903426364E-2</v>
      </c>
    </row>
    <row r="70" spans="1:5" x14ac:dyDescent="0.25">
      <c r="A70" s="31">
        <v>3.9079999999999997E-2</v>
      </c>
      <c r="B70">
        <f t="shared" si="8"/>
        <v>3.914425013830887E-2</v>
      </c>
      <c r="D70" s="31">
        <v>3.8769999999999999E-2</v>
      </c>
      <c r="E70">
        <f t="shared" si="9"/>
        <v>3.7963622237855051E-2</v>
      </c>
    </row>
    <row r="71" spans="1:5" x14ac:dyDescent="0.25">
      <c r="A71" s="31">
        <v>5.8470000000000001E-2</v>
      </c>
      <c r="B71">
        <f t="shared" si="8"/>
        <v>5.8566128597413503E-2</v>
      </c>
      <c r="D71" s="31">
        <v>5.6989999999999999E-2</v>
      </c>
      <c r="E71">
        <f t="shared" si="9"/>
        <v>5.5804664207773004E-2</v>
      </c>
    </row>
    <row r="72" spans="1:5" x14ac:dyDescent="0.25">
      <c r="A72" s="31">
        <v>8.9510000000000006E-2</v>
      </c>
      <c r="B72">
        <f t="shared" si="8"/>
        <v>8.9657160437052894E-2</v>
      </c>
      <c r="D72" s="31">
        <v>8.8749999999999996E-2</v>
      </c>
      <c r="E72">
        <f t="shared" si="9"/>
        <v>8.6904087531845128E-2</v>
      </c>
    </row>
    <row r="73" spans="1:5" x14ac:dyDescent="0.25">
      <c r="A73" s="31">
        <v>0.12401</v>
      </c>
      <c r="B73">
        <f t="shared" si="8"/>
        <v>0.12421388074850775</v>
      </c>
      <c r="D73" s="31">
        <v>0.13650000000000001</v>
      </c>
      <c r="E73">
        <f t="shared" si="9"/>
        <v>0.13366093462644352</v>
      </c>
    </row>
    <row r="74" spans="1:5" x14ac:dyDescent="0.25">
      <c r="A74" s="31">
        <v>0.20105000000000001</v>
      </c>
      <c r="B74">
        <f t="shared" si="8"/>
        <v>0.20138053967008698</v>
      </c>
      <c r="D74" s="31">
        <v>0.23113</v>
      </c>
      <c r="E74">
        <f t="shared" si="9"/>
        <v>0.2263227239575816</v>
      </c>
    </row>
  </sheetData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1A27-D986-4911-AE6E-9E0D5993A5FF}">
  <dimension ref="A1:AE50"/>
  <sheetViews>
    <sheetView topLeftCell="B30" workbookViewId="0">
      <selection activeCell="R51" sqref="R51"/>
    </sheetView>
  </sheetViews>
  <sheetFormatPr defaultRowHeight="15" x14ac:dyDescent="0.25"/>
  <cols>
    <col min="5" max="5" width="9.5703125" bestFit="1" customWidth="1"/>
  </cols>
  <sheetData>
    <row r="1" spans="1:29" x14ac:dyDescent="0.25">
      <c r="A1" s="24" t="s">
        <v>24</v>
      </c>
      <c r="K1" s="24" t="s">
        <v>54</v>
      </c>
      <c r="V1" s="24" t="s">
        <v>55</v>
      </c>
    </row>
    <row r="3" spans="1:29" x14ac:dyDescent="0.25">
      <c r="A3" s="25" t="s">
        <v>41</v>
      </c>
      <c r="B3" s="2"/>
      <c r="C3" s="25" t="s">
        <v>6</v>
      </c>
      <c r="D3" s="25" t="s">
        <v>42</v>
      </c>
      <c r="E3" s="25" t="s">
        <v>46</v>
      </c>
      <c r="F3" s="25" t="s">
        <v>43</v>
      </c>
      <c r="G3" s="25" t="s">
        <v>44</v>
      </c>
      <c r="H3" s="25" t="s">
        <v>45</v>
      </c>
      <c r="L3" s="25" t="s">
        <v>41</v>
      </c>
      <c r="M3" s="25" t="s">
        <v>6</v>
      </c>
      <c r="N3" s="25" t="s">
        <v>42</v>
      </c>
      <c r="O3" s="25" t="s">
        <v>46</v>
      </c>
      <c r="P3" s="25" t="s">
        <v>43</v>
      </c>
      <c r="Q3" s="25" t="s">
        <v>44</v>
      </c>
      <c r="R3" s="25" t="s">
        <v>45</v>
      </c>
      <c r="V3" s="25" t="s">
        <v>41</v>
      </c>
      <c r="W3" s="2"/>
      <c r="X3" s="25" t="s">
        <v>6</v>
      </c>
      <c r="Y3" s="25" t="s">
        <v>42</v>
      </c>
      <c r="Z3" s="25" t="s">
        <v>46</v>
      </c>
      <c r="AA3" s="25" t="s">
        <v>43</v>
      </c>
      <c r="AB3" s="25" t="s">
        <v>44</v>
      </c>
      <c r="AC3" s="25" t="s">
        <v>45</v>
      </c>
    </row>
    <row r="4" spans="1:29" x14ac:dyDescent="0.25">
      <c r="A4" s="34" t="s">
        <v>38</v>
      </c>
      <c r="B4">
        <v>5</v>
      </c>
      <c r="C4" s="32">
        <v>2.5</v>
      </c>
      <c r="D4" s="40">
        <v>0.112</v>
      </c>
      <c r="E4" s="32">
        <v>4.5453359999999998</v>
      </c>
      <c r="F4" s="33">
        <f>$E4*EXP(-E$22*$C4)</f>
        <v>4.1600481648275256</v>
      </c>
      <c r="G4">
        <f>$E4*EXP(-E$22*$C4) * $D4</f>
        <v>0.46592539446068287</v>
      </c>
      <c r="H4">
        <f>$E4*EXP(-E$22*($B4+$C4))</f>
        <v>3.4846815137027982</v>
      </c>
      <c r="L4" s="34" t="s">
        <v>38</v>
      </c>
      <c r="M4" s="32">
        <v>2.5</v>
      </c>
      <c r="N4" s="31">
        <v>2.9000000000000001E-2</v>
      </c>
      <c r="O4" s="32">
        <v>4.8723970000000003</v>
      </c>
      <c r="P4">
        <f>$O4*EXP(-O$22*$M4)</f>
        <v>4.7338366894681121</v>
      </c>
      <c r="Q4">
        <f>$O4*$N4 *EXP(-O$22*$M4)</f>
        <v>0.13728126399457527</v>
      </c>
      <c r="R4">
        <f>$O4*EXP(-O$22*($B4+$C4))</f>
        <v>4.4684250696528469</v>
      </c>
      <c r="V4" s="34" t="s">
        <v>38</v>
      </c>
      <c r="W4">
        <v>5</v>
      </c>
      <c r="X4" s="32">
        <v>2.5</v>
      </c>
      <c r="Y4" s="31">
        <v>4.7999999999999996E-3</v>
      </c>
      <c r="Z4" s="32">
        <v>4.9796050000000003</v>
      </c>
      <c r="AA4" s="33">
        <f>$Z4*EXP(-Z$22*$X4)</f>
        <v>5.0761371592793694</v>
      </c>
      <c r="AB4">
        <f>$Z4*EXP(-Z$22*$X4) * $Y4</f>
        <v>2.436545836454097E-2</v>
      </c>
      <c r="AC4">
        <f>$Z4*EXP(-Z$22*($W4+$X4))</f>
        <v>5.2748517284781267</v>
      </c>
    </row>
    <row r="5" spans="1:29" x14ac:dyDescent="0.25">
      <c r="A5" s="30" t="s">
        <v>39</v>
      </c>
      <c r="B5">
        <v>10</v>
      </c>
      <c r="C5" s="32">
        <v>7.5</v>
      </c>
      <c r="D5" s="32">
        <v>1.7000000000000001E-2</v>
      </c>
      <c r="E5" s="32">
        <v>4.3708309999999999</v>
      </c>
      <c r="F5" s="33">
        <f>$E5*EXP(-E$22*$C5)</f>
        <v>3.3508972681489584</v>
      </c>
      <c r="G5">
        <f>$E5*EXP(-E$22*$C5) * $D5</f>
        <v>5.6965253558532297E-2</v>
      </c>
      <c r="H5">
        <f>$E5*EXP(-E$22*($B5+$C5))</f>
        <v>2.3512054432455294</v>
      </c>
      <c r="L5" s="30" t="s">
        <v>39</v>
      </c>
      <c r="M5" s="32">
        <v>7.5</v>
      </c>
      <c r="N5" s="31">
        <v>3.0000000000000001E-3</v>
      </c>
      <c r="O5" s="32">
        <v>4.8516199999999996</v>
      </c>
      <c r="P5">
        <f>$O5*EXP(-O$22*$M5)</f>
        <v>4.4493706970981926</v>
      </c>
      <c r="Q5">
        <f>$O5*$N5 *EXP(-O$22*$M5)</f>
        <v>1.3348112091294577E-2</v>
      </c>
      <c r="R5">
        <f>$O5*EXP(-O$22*($B5+$C5))</f>
        <v>3.9644323109632045</v>
      </c>
      <c r="V5" s="30" t="s">
        <v>39</v>
      </c>
      <c r="W5">
        <v>10</v>
      </c>
      <c r="X5" s="32">
        <v>7.5</v>
      </c>
      <c r="Y5" s="31">
        <v>5.9999999999999995E-4</v>
      </c>
      <c r="Z5" s="32">
        <v>4.9760619999999998</v>
      </c>
      <c r="AA5" s="33">
        <f t="shared" ref="AA5:AA20" si="0">$Z5*EXP(-Z$22*$X5)</f>
        <v>5.2710986597760909</v>
      </c>
      <c r="AB5">
        <f t="shared" ref="AB5:AB20" si="1">$Z5*EXP(-Z$22*$X5) * $Y5</f>
        <v>3.1626591958656544E-3</v>
      </c>
      <c r="AC5">
        <f t="shared" ref="AC5:AC20" si="2">$Z5*EXP(-Z$22*($W5+$X5))</f>
        <v>5.6918698535591234</v>
      </c>
    </row>
    <row r="6" spans="1:29" x14ac:dyDescent="0.25">
      <c r="A6" s="34" t="s">
        <v>40</v>
      </c>
      <c r="B6">
        <v>15</v>
      </c>
      <c r="C6" s="35">
        <v>12.5</v>
      </c>
      <c r="D6" s="32">
        <v>7.0000000000000001E-3</v>
      </c>
      <c r="E6" s="32">
        <v>4.3146209999999998</v>
      </c>
      <c r="F6" s="33">
        <f>$E6*EXP(-E$22*$C6)</f>
        <v>2.7707955677523808</v>
      </c>
      <c r="G6">
        <f>$E6*EXP(-E$22*$C6) * $D6</f>
        <v>1.9395568974266666E-2</v>
      </c>
      <c r="H6">
        <f>$E6*EXP(-E$22*($B6+$C6))</f>
        <v>1.6285409439416596</v>
      </c>
      <c r="L6" s="34" t="s">
        <v>40</v>
      </c>
      <c r="M6" s="35">
        <v>12.5</v>
      </c>
      <c r="N6" s="31">
        <v>3.0000000000000001E-3</v>
      </c>
      <c r="O6" s="32">
        <v>4.8392670000000004</v>
      </c>
      <c r="P6">
        <f>$O6*EXP(-O$22*$M6)</f>
        <v>4.1892145703207797</v>
      </c>
      <c r="Q6">
        <f>$O6*$N6 *EXP(-O$22*$M6)</f>
        <v>1.2567643710962339E-2</v>
      </c>
      <c r="R6">
        <f>$O6*EXP(-O$22*($B6+$C6))</f>
        <v>3.5233535987747309</v>
      </c>
      <c r="V6" s="34" t="s">
        <v>40</v>
      </c>
      <c r="W6">
        <v>15</v>
      </c>
      <c r="X6" s="35">
        <v>12.5</v>
      </c>
      <c r="Y6" s="31">
        <v>5.9999999999999995E-4</v>
      </c>
      <c r="Z6" s="32">
        <v>4.973382</v>
      </c>
      <c r="AA6" s="33">
        <f t="shared" si="0"/>
        <v>5.4744953152045026</v>
      </c>
      <c r="AB6">
        <f t="shared" si="1"/>
        <v>3.2846971891227015E-3</v>
      </c>
      <c r="AC6">
        <f t="shared" si="2"/>
        <v>6.1429193392576034</v>
      </c>
    </row>
    <row r="7" spans="1:29" x14ac:dyDescent="0.25">
      <c r="A7" s="30" t="s">
        <v>11</v>
      </c>
      <c r="B7">
        <v>20</v>
      </c>
      <c r="C7" s="30">
        <v>17.5</v>
      </c>
      <c r="D7" s="32">
        <v>8.0000000000000002E-3</v>
      </c>
      <c r="E7" s="32">
        <v>4.2784839999999997</v>
      </c>
      <c r="F7" s="33">
        <f>$E7*EXP(-E$22*$C7)</f>
        <v>2.3015291301903242</v>
      </c>
      <c r="G7">
        <f>$E7*EXP(-E$22*$C7) * $D7</f>
        <v>1.8412233041522594E-2</v>
      </c>
      <c r="H7">
        <f>$E7*EXP(-E$22*($B7+$C7))</f>
        <v>1.1331186983849011</v>
      </c>
      <c r="L7" s="30" t="s">
        <v>11</v>
      </c>
      <c r="M7" s="30">
        <v>17.5</v>
      </c>
      <c r="N7" s="31">
        <v>5.0000000000000001E-3</v>
      </c>
      <c r="O7" s="32">
        <v>4.8202199999999999</v>
      </c>
      <c r="P7">
        <f>$O7*EXP(-O$22*$M7)</f>
        <v>3.93877424735471</v>
      </c>
      <c r="Q7">
        <f>$O7*$N7 *EXP(-O$22*$M7)</f>
        <v>1.969387123677355E-2</v>
      </c>
      <c r="R7">
        <f>$O7*EXP(-O$22*($B7+$C7))</f>
        <v>3.1269859025736584</v>
      </c>
      <c r="V7" s="30" t="s">
        <v>11</v>
      </c>
      <c r="W7">
        <v>20</v>
      </c>
      <c r="X7" s="30">
        <v>17.5</v>
      </c>
      <c r="Y7" s="31">
        <v>3.0000000000000001E-3</v>
      </c>
      <c r="Z7" s="32">
        <v>4.9671000000000003</v>
      </c>
      <c r="AA7" s="33">
        <f t="shared" si="0"/>
        <v>5.6816186674550124</v>
      </c>
      <c r="AB7">
        <f t="shared" si="1"/>
        <v>1.7044856002365039E-2</v>
      </c>
      <c r="AC7">
        <f t="shared" si="2"/>
        <v>6.6249059053112642</v>
      </c>
    </row>
    <row r="8" spans="1:29" x14ac:dyDescent="0.25">
      <c r="A8" s="30" t="s">
        <v>12</v>
      </c>
      <c r="B8">
        <v>25</v>
      </c>
      <c r="C8" s="30">
        <v>22.5</v>
      </c>
      <c r="D8" s="32">
        <v>1.6E-2</v>
      </c>
      <c r="E8" s="32">
        <v>4.2277319999999996</v>
      </c>
      <c r="F8" s="33">
        <f>$E8*EXP(-E$22*$C8)</f>
        <v>1.905016517328592</v>
      </c>
      <c r="G8">
        <f>$E8*EXP(-E$22*$C8) * $D8</f>
        <v>3.0480264277257474E-2</v>
      </c>
      <c r="H8">
        <f>$E8*EXP(-E$22*($B8+$C8))</f>
        <v>0.78563786761559162</v>
      </c>
      <c r="L8" s="30" t="s">
        <v>12</v>
      </c>
      <c r="M8" s="30">
        <v>22.5</v>
      </c>
      <c r="N8" s="31">
        <v>8.0000000000000002E-3</v>
      </c>
      <c r="O8" s="32">
        <v>4.7879779999999998</v>
      </c>
      <c r="P8">
        <f>$O8*EXP(-O$22*$M8)</f>
        <v>3.6930703781507677</v>
      </c>
      <c r="Q8">
        <f>$O8*$N8 *EXP(-O$22*$M8)</f>
        <v>2.9544563025206142E-2</v>
      </c>
      <c r="R8">
        <f>$O8*EXP(-O$22*($B8+$C8))</f>
        <v>2.7675382118672833</v>
      </c>
      <c r="V8" s="30" t="s">
        <v>12</v>
      </c>
      <c r="W8">
        <v>25</v>
      </c>
      <c r="X8" s="30">
        <v>22.5</v>
      </c>
      <c r="Y8" s="31">
        <v>3.0000000000000001E-3</v>
      </c>
      <c r="Z8" s="32">
        <v>4.9550359999999998</v>
      </c>
      <c r="AA8" s="33">
        <f t="shared" si="0"/>
        <v>5.8896962928108216</v>
      </c>
      <c r="AB8">
        <f t="shared" si="1"/>
        <v>1.7669088878432465E-2</v>
      </c>
      <c r="AC8">
        <f t="shared" si="2"/>
        <v>7.1363713518763463</v>
      </c>
    </row>
    <row r="9" spans="1:29" x14ac:dyDescent="0.25">
      <c r="A9" s="30" t="s">
        <v>13</v>
      </c>
      <c r="B9">
        <v>30</v>
      </c>
      <c r="C9" s="30">
        <v>27.5</v>
      </c>
      <c r="D9" s="32">
        <v>2.8000000000000001E-2</v>
      </c>
      <c r="E9" s="32">
        <v>4.1464980000000002</v>
      </c>
      <c r="F9" s="33">
        <f>$E9*EXP(-E$22*$C9)</f>
        <v>1.5650834145043573</v>
      </c>
      <c r="G9">
        <f>$E9*EXP(-E$22*$C9) * $D9</f>
        <v>4.3822335606122004E-2</v>
      </c>
      <c r="H9">
        <f>$E9*EXP(-E$22*($B9+$C9))</f>
        <v>0.54066204698677567</v>
      </c>
      <c r="L9" s="30" t="s">
        <v>13</v>
      </c>
      <c r="M9" s="30">
        <v>27.5</v>
      </c>
      <c r="N9" s="31">
        <v>8.9999999999999993E-3</v>
      </c>
      <c r="O9" s="32">
        <v>4.7484320000000002</v>
      </c>
      <c r="P9">
        <f>$O9*EXP(-O$22*$M9)</f>
        <v>3.4572188258546372</v>
      </c>
      <c r="Q9">
        <f>$O9*$N9 *EXP(-O$22*$M9)</f>
        <v>3.1114969432691732E-2</v>
      </c>
      <c r="R9">
        <f>$O9*EXP(-O$22*($B9+$C9))</f>
        <v>2.4455363337710923</v>
      </c>
      <c r="V9" s="30" t="s">
        <v>13</v>
      </c>
      <c r="W9">
        <v>30</v>
      </c>
      <c r="X9" s="30">
        <v>27.5</v>
      </c>
      <c r="Y9" s="31">
        <v>4.0000000000000001E-3</v>
      </c>
      <c r="Z9" s="32">
        <v>4.9397589999999996</v>
      </c>
      <c r="AA9" s="33">
        <f t="shared" si="0"/>
        <v>6.1013895760212655</v>
      </c>
      <c r="AB9">
        <f t="shared" si="1"/>
        <v>2.4405558304085063E-2</v>
      </c>
      <c r="AC9">
        <f t="shared" si="2"/>
        <v>7.682281278975001</v>
      </c>
    </row>
    <row r="10" spans="1:29" x14ac:dyDescent="0.25">
      <c r="A10" s="30" t="s">
        <v>14</v>
      </c>
      <c r="B10">
        <v>35</v>
      </c>
      <c r="C10" s="30">
        <v>32.5</v>
      </c>
      <c r="D10" s="32">
        <v>3.6999999999999998E-2</v>
      </c>
      <c r="E10" s="32">
        <v>4.0285190000000002</v>
      </c>
      <c r="F10" s="33">
        <f>$E10*EXP(-E$22*$C10)</f>
        <v>1.2736971520177478</v>
      </c>
      <c r="G10">
        <f>$E10*EXP(-E$22*$C10) * $D10</f>
        <v>4.7126794624656666E-2</v>
      </c>
      <c r="H10">
        <f>$E10*EXP(-E$22*($B10+$C10))</f>
        <v>0.36856942529586773</v>
      </c>
      <c r="L10" s="30" t="s">
        <v>14</v>
      </c>
      <c r="M10" s="30">
        <v>32.5</v>
      </c>
      <c r="N10" s="31">
        <v>0.01</v>
      </c>
      <c r="O10" s="40">
        <v>4.7062759999999999</v>
      </c>
      <c r="P10">
        <f>$O10*EXP(-O$22*$M10)</f>
        <v>3.2344113132225187</v>
      </c>
      <c r="Q10">
        <f>$O10*$N10 *EXP(-O$22*$M10)</f>
        <v>3.234411313222519E-2</v>
      </c>
      <c r="R10">
        <f>$O10*EXP(-O$22*($B10+$C10))</f>
        <v>2.1596516534061729</v>
      </c>
      <c r="V10" s="30" t="s">
        <v>14</v>
      </c>
      <c r="W10">
        <v>35</v>
      </c>
      <c r="X10" s="30">
        <v>32.5</v>
      </c>
      <c r="Y10" s="31">
        <v>5.0000000000000001E-3</v>
      </c>
      <c r="Z10" s="32">
        <v>4.9221550000000001</v>
      </c>
      <c r="AA10" s="33">
        <f t="shared" si="0"/>
        <v>6.3176445615730614</v>
      </c>
      <c r="AB10">
        <f t="shared" si="1"/>
        <v>3.1588222807865309E-2</v>
      </c>
      <c r="AC10">
        <f t="shared" si="2"/>
        <v>8.2659646765412127</v>
      </c>
    </row>
    <row r="11" spans="1:29" x14ac:dyDescent="0.25">
      <c r="A11" s="30" t="s">
        <v>15</v>
      </c>
      <c r="B11">
        <v>40</v>
      </c>
      <c r="C11" s="30">
        <v>37.5</v>
      </c>
      <c r="D11" s="32">
        <v>3.9E-2</v>
      </c>
      <c r="E11" s="32">
        <v>3.8765529999999999</v>
      </c>
      <c r="F11" s="33">
        <f>$E11*EXP(-E$22*$C11)</f>
        <v>1.0266708230251844</v>
      </c>
      <c r="G11">
        <f>$E11*EXP(-E$22*$C11) * $D11</f>
        <v>4.0040162097982189E-2</v>
      </c>
      <c r="H11">
        <f>$E11*EXP(-E$22*($B11+$C11))</f>
        <v>0.24885655240329371</v>
      </c>
      <c r="L11" s="30" t="s">
        <v>15</v>
      </c>
      <c r="M11" s="30">
        <v>37.5</v>
      </c>
      <c r="N11" s="31">
        <v>1.2E-2</v>
      </c>
      <c r="O11" s="32">
        <v>4.6574280000000003</v>
      </c>
      <c r="P11">
        <f>$O11*EXP(-O$22*$M11)</f>
        <v>3.0213790445771833</v>
      </c>
      <c r="Q11">
        <f>$O11*$N11 *EXP(-O$22*$M11)</f>
        <v>3.62565485349262E-2</v>
      </c>
      <c r="R11">
        <f>$O11*EXP(-O$22*($B11+$C11))</f>
        <v>1.904297862337393</v>
      </c>
      <c r="V11" s="30" t="s">
        <v>15</v>
      </c>
      <c r="W11">
        <v>40</v>
      </c>
      <c r="X11" s="30">
        <v>37.5</v>
      </c>
      <c r="Y11" s="31">
        <v>5.0000000000000001E-3</v>
      </c>
      <c r="Z11" s="32">
        <v>4.90151</v>
      </c>
      <c r="AA11" s="33">
        <f t="shared" si="0"/>
        <v>6.537424763733811</v>
      </c>
      <c r="AB11">
        <f t="shared" si="1"/>
        <v>3.2687123818669055E-2</v>
      </c>
      <c r="AC11">
        <f t="shared" si="2"/>
        <v>8.8883668026366998</v>
      </c>
    </row>
    <row r="12" spans="1:29" x14ac:dyDescent="0.25">
      <c r="A12" s="30" t="s">
        <v>16</v>
      </c>
      <c r="B12">
        <v>45</v>
      </c>
      <c r="C12" s="30">
        <v>42.5</v>
      </c>
      <c r="D12" s="32">
        <v>4.3999999999999997E-2</v>
      </c>
      <c r="E12" s="40">
        <v>3.6958660000000001</v>
      </c>
      <c r="F12" s="33">
        <f>$E12*EXP(-E$22*$C12)</f>
        <v>0.81991049076217992</v>
      </c>
      <c r="G12">
        <f>$E12*EXP(-E$22*$C12) * $D12</f>
        <v>3.6076061593535914E-2</v>
      </c>
      <c r="H12">
        <f>$E12*EXP(-E$22*($B12+$C12))</f>
        <v>0.16647500477723157</v>
      </c>
      <c r="L12" s="30" t="s">
        <v>16</v>
      </c>
      <c r="M12" s="30">
        <v>42.5</v>
      </c>
      <c r="N12" s="31">
        <v>1.4500000000000001E-2</v>
      </c>
      <c r="O12" s="32">
        <v>4.5979510000000001</v>
      </c>
      <c r="P12">
        <f>$O12*EXP(-O$22*$M12)</f>
        <v>2.8155588551637063</v>
      </c>
      <c r="Q12">
        <f>$O12*$N12 *EXP(-O$22*$M12)</f>
        <v>4.082560339987374E-2</v>
      </c>
      <c r="R12">
        <f>$O12*EXP(-O$22*($B12+$C12))</f>
        <v>1.6750797389327186</v>
      </c>
      <c r="V12" s="30" t="s">
        <v>16</v>
      </c>
      <c r="W12">
        <v>45</v>
      </c>
      <c r="X12" s="30">
        <v>42.5</v>
      </c>
      <c r="Y12" s="31">
        <v>8.0000000000000002E-3</v>
      </c>
      <c r="Z12" s="32">
        <v>4.873208</v>
      </c>
      <c r="AA12" s="33">
        <f t="shared" si="0"/>
        <v>6.7541183660027739</v>
      </c>
      <c r="AB12">
        <f t="shared" si="1"/>
        <v>5.4032946928022192E-2</v>
      </c>
      <c r="AC12">
        <f t="shared" si="2"/>
        <v>9.5424708142253838</v>
      </c>
    </row>
    <row r="13" spans="1:29" x14ac:dyDescent="0.25">
      <c r="A13" s="30" t="s">
        <v>17</v>
      </c>
      <c r="B13">
        <v>50</v>
      </c>
      <c r="C13" s="30">
        <v>47.5</v>
      </c>
      <c r="D13" s="32">
        <v>9.1999999999999998E-2</v>
      </c>
      <c r="E13" s="40">
        <v>3.488159</v>
      </c>
      <c r="F13" s="33">
        <f>$E13*EXP(-E$22*$C13)</f>
        <v>0.64820329166184965</v>
      </c>
      <c r="G13">
        <f>$E13*EXP(-E$22*$C13) * $D13</f>
        <v>5.9634702832890164E-2</v>
      </c>
      <c r="H13">
        <f>$E13*EXP(-E$22*($B13+$C13))</f>
        <v>0.11024491257880054</v>
      </c>
      <c r="L13" s="30" t="s">
        <v>17</v>
      </c>
      <c r="M13" s="30">
        <v>47.5</v>
      </c>
      <c r="N13" s="31">
        <v>1.8499999999999999E-2</v>
      </c>
      <c r="O13" s="32">
        <v>4.5235539999999999</v>
      </c>
      <c r="P13">
        <f>$O13*EXP(-O$22*$M13)</f>
        <v>2.614696339132113</v>
      </c>
      <c r="Q13">
        <f>$O13*$N13 *EXP(-O$22*$M13)</f>
        <v>4.8371882273944088E-2</v>
      </c>
      <c r="R13">
        <f>$O13*EXP(-O$22*($B13+$C13))</f>
        <v>1.4683626964043652</v>
      </c>
      <c r="V13" s="30" t="s">
        <v>17</v>
      </c>
      <c r="W13">
        <v>50</v>
      </c>
      <c r="X13" s="30">
        <v>47.5</v>
      </c>
      <c r="Y13" s="31">
        <v>1.15E-2</v>
      </c>
      <c r="Z13" s="32">
        <v>4.8288359999999999</v>
      </c>
      <c r="AA13" s="33">
        <f t="shared" si="0"/>
        <v>6.954614838985866</v>
      </c>
      <c r="AB13">
        <f t="shared" si="1"/>
        <v>7.9978070648337451E-2</v>
      </c>
      <c r="AC13">
        <f t="shared" si="2"/>
        <v>10.210386074511021</v>
      </c>
    </row>
    <row r="14" spans="1:29" x14ac:dyDescent="0.25">
      <c r="A14" s="29">
        <v>50</v>
      </c>
      <c r="B14">
        <v>55</v>
      </c>
      <c r="C14" s="30">
        <v>52.5</v>
      </c>
      <c r="D14" s="32">
        <v>0.12</v>
      </c>
      <c r="E14" s="32">
        <v>3.244218</v>
      </c>
      <c r="F14">
        <f>$E14*EXP(-E$22*$C14)</f>
        <v>0.50499807327136548</v>
      </c>
      <c r="G14">
        <f>$E14*EXP(-E$22*$C14) * $D14</f>
        <v>6.0599768792563853E-2</v>
      </c>
      <c r="H14">
        <f>$E14*EXP(-E$22*($B14+$C14))</f>
        <v>7.194519250698149E-2</v>
      </c>
      <c r="L14" s="29">
        <v>50</v>
      </c>
      <c r="M14" s="30">
        <v>52.5</v>
      </c>
      <c r="N14" s="31">
        <v>3.5999999999999997E-2</v>
      </c>
      <c r="O14" s="32">
        <v>4.4187310000000002</v>
      </c>
      <c r="P14">
        <f>$O14*EXP(-O$22*$M14)</f>
        <v>2.4109058561358352</v>
      </c>
      <c r="Q14">
        <f>$O14*$N14 *EXP(-O$22*$M14)</f>
        <v>8.6792610820890057E-2</v>
      </c>
      <c r="R14">
        <f>$O14*EXP(-O$22*($B14+$C14))</f>
        <v>1.2780079170295326</v>
      </c>
      <c r="V14" s="29">
        <v>50</v>
      </c>
      <c r="W14">
        <v>55</v>
      </c>
      <c r="X14" s="30">
        <v>52.5</v>
      </c>
      <c r="Y14" s="31">
        <v>6.7499999999999999E-3</v>
      </c>
      <c r="Z14" s="32">
        <v>4.7583950000000002</v>
      </c>
      <c r="AA14" s="33">
        <f t="shared" si="0"/>
        <v>7.1214433780137636</v>
      </c>
      <c r="AB14">
        <f t="shared" si="1"/>
        <v>4.8069742801592902E-2</v>
      </c>
      <c r="AC14">
        <f t="shared" si="2"/>
        <v>10.86460683320089</v>
      </c>
    </row>
    <row r="15" spans="1:29" x14ac:dyDescent="0.25">
      <c r="A15" s="29">
        <v>55</v>
      </c>
      <c r="B15">
        <v>60</v>
      </c>
      <c r="C15" s="30">
        <v>57.5</v>
      </c>
      <c r="D15" s="32">
        <v>0.17</v>
      </c>
      <c r="E15" s="40">
        <v>2.9542820000000001</v>
      </c>
      <c r="F15">
        <f>$E15*EXP(-E$22*$C15)</f>
        <v>0.38520895307225167</v>
      </c>
      <c r="G15">
        <f>$E15*EXP(-E$22*$C15) * $D15</f>
        <v>6.5485522022282791E-2</v>
      </c>
      <c r="H15">
        <f>$E15*EXP(-E$22*($B15+$C15))</f>
        <v>4.5969858067602308E-2</v>
      </c>
      <c r="L15" s="29">
        <v>55</v>
      </c>
      <c r="M15" s="30">
        <v>57.5</v>
      </c>
      <c r="N15" s="31">
        <v>5.3499999999999999E-2</v>
      </c>
      <c r="O15" s="32">
        <v>4.2777719999999997</v>
      </c>
      <c r="P15">
        <f>$O15*EXP(-O$22*$M15)</f>
        <v>2.2031371310758225</v>
      </c>
      <c r="Q15">
        <f>$O15*$N15 *EXP(-O$22*$M15)</f>
        <v>0.11786783651255651</v>
      </c>
      <c r="R15">
        <f>$O15*EXP(-O$22*($B15+$C15))</f>
        <v>1.1023919437233087</v>
      </c>
      <c r="V15" s="29">
        <v>55</v>
      </c>
      <c r="W15">
        <v>60</v>
      </c>
      <c r="X15" s="30">
        <v>57.5</v>
      </c>
      <c r="Y15" s="31">
        <v>2.8500000000000001E-2</v>
      </c>
      <c r="Z15" s="32">
        <v>4.6480079999999999</v>
      </c>
      <c r="AA15" s="33">
        <f t="shared" si="0"/>
        <v>7.2285520088988227</v>
      </c>
      <c r="AB15">
        <f t="shared" si="1"/>
        <v>0.20601373225361647</v>
      </c>
      <c r="AC15">
        <f t="shared" si="2"/>
        <v>11.459725300582294</v>
      </c>
    </row>
    <row r="16" spans="1:29" x14ac:dyDescent="0.25">
      <c r="A16" s="29">
        <v>60</v>
      </c>
      <c r="B16">
        <v>65</v>
      </c>
      <c r="C16" s="30">
        <v>62.5</v>
      </c>
      <c r="D16" s="32">
        <v>0.23</v>
      </c>
      <c r="E16" s="40">
        <v>2.6052149999999998</v>
      </c>
      <c r="F16">
        <f>$E16*EXP(-E$22*$C16)</f>
        <v>0.28454615840797204</v>
      </c>
      <c r="G16">
        <f>$E16*EXP(-E$22*$C16) * $D16</f>
        <v>6.5445616433833578E-2</v>
      </c>
      <c r="H16">
        <f>$E16*EXP(-E$22*($B16+$C16))</f>
        <v>2.8444234446362123E-2</v>
      </c>
      <c r="L16" s="29">
        <v>60</v>
      </c>
      <c r="M16" s="30">
        <v>62.5</v>
      </c>
      <c r="N16" s="31">
        <v>0.08</v>
      </c>
      <c r="O16" s="40">
        <v>4.0873309999999998</v>
      </c>
      <c r="P16">
        <f>$O16*EXP(-O$22*$M16)</f>
        <v>1.9870322417869317</v>
      </c>
      <c r="Q16">
        <f>$O16*$N16 *EXP(-O$22*$M16)</f>
        <v>0.15896257934295452</v>
      </c>
      <c r="R16">
        <f>$O16*EXP(-O$22*($B16+$C16))</f>
        <v>0.93851371417400098</v>
      </c>
      <c r="V16" s="29">
        <v>60</v>
      </c>
      <c r="W16">
        <v>65</v>
      </c>
      <c r="X16" s="30">
        <v>62.5</v>
      </c>
      <c r="Y16" s="31">
        <v>4.1000000000000002E-2</v>
      </c>
      <c r="Z16" s="32">
        <v>4.4867179999999998</v>
      </c>
      <c r="AA16" s="33">
        <f t="shared" si="0"/>
        <v>7.2508701096580941</v>
      </c>
      <c r="AB16">
        <f t="shared" si="1"/>
        <v>0.29728567449598187</v>
      </c>
      <c r="AC16">
        <f t="shared" si="2"/>
        <v>11.94510387432485</v>
      </c>
    </row>
    <row r="17" spans="1:31" x14ac:dyDescent="0.25">
      <c r="A17" s="29">
        <v>65</v>
      </c>
      <c r="B17">
        <v>70</v>
      </c>
      <c r="C17" s="30">
        <v>67.5</v>
      </c>
      <c r="D17" s="32">
        <v>0.31</v>
      </c>
      <c r="E17" s="32">
        <v>2.1873610000000001</v>
      </c>
      <c r="F17">
        <f>$E17*EXP(-E$22*$C17)</f>
        <v>0.20012177842144832</v>
      </c>
      <c r="G17">
        <f>$E17*EXP(-E$22*$C17) * $D17</f>
        <v>6.2037751310648981E-2</v>
      </c>
      <c r="H17">
        <f>$E17*EXP(-E$22*($B17+$C17))</f>
        <v>1.6757167435726587E-2</v>
      </c>
      <c r="L17" s="29">
        <v>65</v>
      </c>
      <c r="M17" s="30">
        <v>67.5</v>
      </c>
      <c r="N17" s="31">
        <v>0.125</v>
      </c>
      <c r="O17" s="32">
        <v>3.816646</v>
      </c>
      <c r="P17">
        <f>$O17*EXP(-O$22*$M17)</f>
        <v>1.7514114863569532</v>
      </c>
      <c r="Q17">
        <f>$O17*$N17 *EXP(-O$22*$M17)</f>
        <v>0.21892643579461915</v>
      </c>
      <c r="R17">
        <f>$O17*EXP(-O$22*($B17+$C17))</f>
        <v>0.78084549881767185</v>
      </c>
      <c r="V17" s="29">
        <v>65</v>
      </c>
      <c r="W17">
        <v>70</v>
      </c>
      <c r="X17" s="30">
        <v>67.5</v>
      </c>
      <c r="Y17" s="31">
        <v>2.8500000000000001E-2</v>
      </c>
      <c r="Z17" s="32">
        <v>4.2623660000000001</v>
      </c>
      <c r="AA17" s="33">
        <f t="shared" si="0"/>
        <v>7.1579555691542147</v>
      </c>
      <c r="AB17">
        <f t="shared" si="1"/>
        <v>0.20400173372089514</v>
      </c>
      <c r="AC17">
        <f t="shared" si="2"/>
        <v>12.25365678082807</v>
      </c>
    </row>
    <row r="18" spans="1:31" x14ac:dyDescent="0.25">
      <c r="A18" s="29" t="s">
        <v>33</v>
      </c>
      <c r="B18">
        <v>75</v>
      </c>
      <c r="C18" s="30">
        <v>72.5</v>
      </c>
      <c r="D18" s="32">
        <v>0.42</v>
      </c>
      <c r="E18" s="32">
        <v>1.6978530000000001</v>
      </c>
      <c r="F18">
        <f>$E18*EXP(-E$22*$C18)</f>
        <v>0.13011839811299802</v>
      </c>
      <c r="G18">
        <f>$E18*EXP(-E$22*$C18) * $D18</f>
        <v>5.464972720745917E-2</v>
      </c>
      <c r="H18">
        <f>$E18*EXP(-E$22*($B18+$C18))</f>
        <v>9.1266142751261423E-3</v>
      </c>
      <c r="L18" s="29" t="s">
        <v>33</v>
      </c>
      <c r="M18" s="30">
        <v>72.5</v>
      </c>
      <c r="N18" s="31">
        <v>0.19</v>
      </c>
      <c r="O18" s="32">
        <v>3.4276119999999999</v>
      </c>
      <c r="P18">
        <f>$O18*EXP(-O$22*$M18)</f>
        <v>1.4847015992526418</v>
      </c>
      <c r="Q18">
        <f>$O18*$N18 *EXP(-O$22*$M18)</f>
        <v>0.28209330385800191</v>
      </c>
      <c r="R18">
        <f>$O18*EXP(-O$22*($B18+$C18))</f>
        <v>0.62482342372578192</v>
      </c>
      <c r="V18" s="29" t="s">
        <v>33</v>
      </c>
      <c r="W18">
        <v>75</v>
      </c>
      <c r="X18" s="30">
        <v>72.5</v>
      </c>
      <c r="Y18" s="31">
        <v>0.107</v>
      </c>
      <c r="Z18" s="32">
        <v>3.9423780000000002</v>
      </c>
      <c r="AA18" s="33">
        <f t="shared" si="0"/>
        <v>6.8797622491894677</v>
      </c>
      <c r="AB18">
        <f t="shared" si="1"/>
        <v>0.73613456066327299</v>
      </c>
      <c r="AC18">
        <f t="shared" si="2"/>
        <v>12.238467861612307</v>
      </c>
    </row>
    <row r="19" spans="1:31" x14ac:dyDescent="0.25">
      <c r="A19" s="29" t="s">
        <v>34</v>
      </c>
      <c r="B19">
        <v>80</v>
      </c>
      <c r="C19" s="30">
        <v>77.5</v>
      </c>
      <c r="D19" s="32">
        <v>0.55000000000000004</v>
      </c>
      <c r="E19" s="32">
        <v>1.1714819999999999</v>
      </c>
      <c r="F19">
        <f>$E19*EXP(-E$22*$C19)</f>
        <v>7.5203659468222231E-2</v>
      </c>
      <c r="G19">
        <f>$E19*EXP(-E$22*$C19) * $D19</f>
        <v>4.1362012707522232E-2</v>
      </c>
      <c r="H19">
        <f>$E19*EXP(-E$22*($B19+$C19))</f>
        <v>4.4184983251109511E-3</v>
      </c>
      <c r="L19" s="29" t="s">
        <v>34</v>
      </c>
      <c r="M19" s="30">
        <v>77.5</v>
      </c>
      <c r="N19" s="31">
        <v>0.19</v>
      </c>
      <c r="O19" s="32">
        <v>2.8964669999999999</v>
      </c>
      <c r="P19">
        <f>$O19*EXP(-O$22*$M19)</f>
        <v>1.1842879624614273</v>
      </c>
      <c r="Q19">
        <f>$O19*$N19 *EXP(-O$22*$M19)</f>
        <v>0.22501471286767116</v>
      </c>
      <c r="R19">
        <f>$O19*EXP(-O$22*($B19+$C19))</f>
        <v>0.47045344086431823</v>
      </c>
      <c r="V19" s="29" t="s">
        <v>34</v>
      </c>
      <c r="W19">
        <v>80</v>
      </c>
      <c r="X19" s="30">
        <v>77.5</v>
      </c>
      <c r="Y19" s="31">
        <v>0.2</v>
      </c>
      <c r="Z19" s="32">
        <v>3.4549949999999998</v>
      </c>
      <c r="AA19" s="33">
        <f t="shared" si="0"/>
        <v>6.2652657775411624</v>
      </c>
      <c r="AB19">
        <f t="shared" si="1"/>
        <v>1.2530531555082325</v>
      </c>
      <c r="AC19">
        <f t="shared" si="2"/>
        <v>11.581639124829001</v>
      </c>
    </row>
    <row r="20" spans="1:31" x14ac:dyDescent="0.25">
      <c r="A20" s="29" t="s">
        <v>35</v>
      </c>
      <c r="B20">
        <v>85</v>
      </c>
      <c r="C20" s="32">
        <v>82.5</v>
      </c>
      <c r="D20" s="32">
        <v>1</v>
      </c>
      <c r="E20" s="40">
        <v>1.1143554</v>
      </c>
      <c r="F20">
        <f>$E20*EXP(-E$22*$C20)</f>
        <v>5.9922760033860566E-2</v>
      </c>
      <c r="G20">
        <f>$E20*EXP(-E$22*$C20) * $D20</f>
        <v>5.9922760033860566E-2</v>
      </c>
      <c r="H20">
        <f>$E20*EXP(-E$22*($B20+$C20))</f>
        <v>2.9491187594921234E-3</v>
      </c>
      <c r="L20" s="29" t="s">
        <v>35</v>
      </c>
      <c r="M20" s="32">
        <v>82.5</v>
      </c>
      <c r="N20" s="31">
        <v>0.999</v>
      </c>
      <c r="O20" s="32">
        <v>4.2033550000000002</v>
      </c>
      <c r="P20">
        <f>$O20*EXP(-O$22*$M20)</f>
        <v>1.6222807280022578</v>
      </c>
      <c r="Q20">
        <f>$O20*$N20 *EXP(-O$22*$M20)</f>
        <v>1.6206584472742558</v>
      </c>
      <c r="R20">
        <f>$O20*EXP(-O$22*($B20+$C20))</f>
        <v>0.60831223521989608</v>
      </c>
      <c r="V20" s="29" t="s">
        <v>35</v>
      </c>
      <c r="W20">
        <v>85</v>
      </c>
      <c r="X20" s="32">
        <v>82.5</v>
      </c>
      <c r="Y20" s="31">
        <v>0.98580000000000001</v>
      </c>
      <c r="Z20" s="32">
        <v>5.2298349999999996</v>
      </c>
      <c r="AA20" s="33">
        <f t="shared" si="0"/>
        <v>9.8550077678846044</v>
      </c>
      <c r="AB20">
        <f t="shared" si="1"/>
        <v>9.7150666575806426</v>
      </c>
      <c r="AC20">
        <f t="shared" si="2"/>
        <v>18.930601294511924</v>
      </c>
    </row>
    <row r="21" spans="1:31" x14ac:dyDescent="0.25">
      <c r="A21" s="29"/>
      <c r="C21" s="32"/>
      <c r="D21" s="31"/>
      <c r="E21" s="32"/>
      <c r="L21" s="29"/>
      <c r="M21" s="32"/>
      <c r="N21" s="31"/>
      <c r="O21" s="32"/>
      <c r="V21" s="29"/>
      <c r="X21" s="32"/>
      <c r="Y21" s="31"/>
      <c r="Z21" s="32"/>
    </row>
    <row r="22" spans="1:31" x14ac:dyDescent="0.25">
      <c r="A22" s="29"/>
      <c r="C22" s="32"/>
      <c r="D22" s="31"/>
      <c r="E22" s="28">
        <v>3.5430000000000003E-2</v>
      </c>
      <c r="F22">
        <f>SUM(F4:F20)</f>
        <v>21.461971601007217</v>
      </c>
      <c r="G22">
        <f>SUM(G4:G21)</f>
        <v>1.2273819295756199</v>
      </c>
      <c r="H22">
        <f>SUM(H4:H21)</f>
        <v>10.997603092748848</v>
      </c>
      <c r="L22" s="29"/>
      <c r="M22" s="32"/>
      <c r="N22" s="31"/>
      <c r="O22" s="36">
        <v>1.154E-2</v>
      </c>
      <c r="P22">
        <f>SUM(P4:P20)</f>
        <v>48.79128796541459</v>
      </c>
      <c r="Q22">
        <f>SUM(Q4:Q20)</f>
        <v>3.1116644973034218</v>
      </c>
      <c r="R22">
        <f>SUM(R4:R20)</f>
        <v>33.307011552237981</v>
      </c>
      <c r="V22" s="29"/>
      <c r="X22" s="32"/>
      <c r="Y22" s="31"/>
      <c r="Z22" s="28">
        <v>-7.6800000000000002E-3</v>
      </c>
      <c r="AA22">
        <f>SUM(AA4:AA21)</f>
        <v>111.81709506118268</v>
      </c>
      <c r="AB22">
        <f>SUM(AB4:AB21)</f>
        <v>12.747843939161541</v>
      </c>
      <c r="AC22">
        <f>SUM(AC4:AC21)</f>
        <v>164.73418889526113</v>
      </c>
    </row>
    <row r="23" spans="1:31" x14ac:dyDescent="0.25">
      <c r="I23" s="38" t="s">
        <v>47</v>
      </c>
      <c r="J23" s="38" t="s">
        <v>48</v>
      </c>
      <c r="S23" s="38" t="s">
        <v>47</v>
      </c>
      <c r="T23" s="38" t="s">
        <v>48</v>
      </c>
      <c r="AD23" s="38" t="s">
        <v>47</v>
      </c>
      <c r="AE23" s="38" t="s">
        <v>48</v>
      </c>
    </row>
    <row r="24" spans="1:31" x14ac:dyDescent="0.25">
      <c r="A24" s="33"/>
      <c r="C24" s="33"/>
      <c r="D24" s="33"/>
      <c r="I24" s="24">
        <f>G22/F22</f>
        <v>5.7188684823253538E-2</v>
      </c>
      <c r="J24" s="24">
        <f xml:space="preserve"> 1000/H22</f>
        <v>90.928904377294657</v>
      </c>
      <c r="S24" s="24">
        <f>Q22/P22</f>
        <v>6.3775002199349742E-2</v>
      </c>
      <c r="T24" s="24">
        <f xml:space="preserve"> 1000/R22</f>
        <v>30.023708324345524</v>
      </c>
      <c r="V24" s="33"/>
      <c r="X24" s="33"/>
      <c r="Y24" s="33"/>
      <c r="AD24" s="24">
        <f>AB22/AA22</f>
        <v>0.11400621642143659</v>
      </c>
      <c r="AE24" s="24">
        <f xml:space="preserve"> 1000/AC22</f>
        <v>6.070385308029806</v>
      </c>
    </row>
    <row r="28" spans="1:31" x14ac:dyDescent="0.25">
      <c r="B28" s="24" t="s">
        <v>49</v>
      </c>
    </row>
    <row r="29" spans="1:31" x14ac:dyDescent="0.25">
      <c r="B29" s="24" t="s">
        <v>24</v>
      </c>
      <c r="I29" s="24" t="s">
        <v>54</v>
      </c>
      <c r="O29" s="24" t="s">
        <v>55</v>
      </c>
    </row>
    <row r="31" spans="1:31" x14ac:dyDescent="0.25">
      <c r="B31" s="25" t="s">
        <v>6</v>
      </c>
      <c r="C31" s="37" t="s">
        <v>46</v>
      </c>
      <c r="D31" s="24" t="s">
        <v>50</v>
      </c>
      <c r="I31" s="25" t="s">
        <v>46</v>
      </c>
      <c r="J31" s="24" t="s">
        <v>50</v>
      </c>
      <c r="O31" s="25" t="s">
        <v>46</v>
      </c>
      <c r="P31" s="24" t="s">
        <v>50</v>
      </c>
    </row>
    <row r="32" spans="1:31" x14ac:dyDescent="0.25">
      <c r="B32" s="32">
        <v>2.5</v>
      </c>
      <c r="C32" s="32">
        <v>4.5453359999999998</v>
      </c>
      <c r="D32">
        <f>$C32*EXP(-E$22*$B32)</f>
        <v>4.1600481648275256</v>
      </c>
      <c r="I32" s="32">
        <v>4.8723970000000003</v>
      </c>
      <c r="J32">
        <f>$I32*EXP(-O$22*$B32)</f>
        <v>4.7338366894681121</v>
      </c>
      <c r="O32" s="32">
        <v>4.9796050000000003</v>
      </c>
      <c r="P32">
        <f>$O32*EXP(-Z$22*$B32)</f>
        <v>5.0761371592793694</v>
      </c>
    </row>
    <row r="33" spans="2:18" x14ac:dyDescent="0.25">
      <c r="B33" s="32">
        <v>7.5</v>
      </c>
      <c r="C33" s="32">
        <v>4.3708309999999999</v>
      </c>
      <c r="D33">
        <f t="shared" ref="D33:D48" si="3">$C33*EXP(-E$22*$B33)</f>
        <v>3.3508972681489584</v>
      </c>
      <c r="I33" s="32">
        <v>4.8516199999999996</v>
      </c>
      <c r="J33">
        <f t="shared" ref="J33:J48" si="4">$I33*EXP(-O$22*$B33)</f>
        <v>4.4493706970981926</v>
      </c>
      <c r="O33" s="32">
        <v>4.9760619999999998</v>
      </c>
      <c r="P33">
        <f t="shared" ref="P33:P48" si="5">$O33*EXP(-Z$22*$B33)</f>
        <v>5.2710986597760909</v>
      </c>
    </row>
    <row r="34" spans="2:18" x14ac:dyDescent="0.25">
      <c r="B34" s="35">
        <v>12.5</v>
      </c>
      <c r="C34" s="32">
        <v>4.3146209999999998</v>
      </c>
      <c r="D34">
        <f t="shared" si="3"/>
        <v>2.7707955677523808</v>
      </c>
      <c r="I34" s="32">
        <v>4.8392670000000004</v>
      </c>
      <c r="J34">
        <f t="shared" si="4"/>
        <v>4.1892145703207797</v>
      </c>
      <c r="O34" s="32">
        <v>4.973382</v>
      </c>
      <c r="P34">
        <f t="shared" si="5"/>
        <v>5.4744953152045026</v>
      </c>
    </row>
    <row r="35" spans="2:18" x14ac:dyDescent="0.25">
      <c r="B35" s="30">
        <v>17.5</v>
      </c>
      <c r="C35" s="32">
        <v>4.2784839999999997</v>
      </c>
      <c r="D35">
        <f t="shared" si="3"/>
        <v>2.3015291301903242</v>
      </c>
      <c r="F35">
        <f>SUM(D32:D34)</f>
        <v>10.281741000728864</v>
      </c>
      <c r="I35" s="32">
        <v>4.8202199999999999</v>
      </c>
      <c r="J35">
        <f t="shared" si="4"/>
        <v>3.93877424735471</v>
      </c>
      <c r="L35">
        <f>SUM(J32:J34)</f>
        <v>13.372421956887084</v>
      </c>
      <c r="O35" s="32">
        <v>4.9671000000000003</v>
      </c>
      <c r="P35">
        <f t="shared" si="5"/>
        <v>5.6816186674550124</v>
      </c>
      <c r="R35">
        <f>SUM(P32:P34)</f>
        <v>15.821731134259963</v>
      </c>
    </row>
    <row r="36" spans="2:18" x14ac:dyDescent="0.25">
      <c r="B36" s="30">
        <v>22.5</v>
      </c>
      <c r="C36" s="32">
        <v>4.2277319999999996</v>
      </c>
      <c r="D36">
        <f t="shared" si="3"/>
        <v>1.905016517328592</v>
      </c>
      <c r="F36">
        <f>SUM(D45:D48)</f>
        <v>0.46536659603652913</v>
      </c>
      <c r="I36" s="32">
        <v>4.7879779999999998</v>
      </c>
      <c r="J36">
        <f t="shared" si="4"/>
        <v>3.6930703781507677</v>
      </c>
      <c r="L36">
        <f>SUM(J45:J50)</f>
        <v>6.0426817760732803</v>
      </c>
      <c r="O36" s="32">
        <v>4.9550359999999998</v>
      </c>
      <c r="P36">
        <f t="shared" si="5"/>
        <v>5.8896962928108216</v>
      </c>
      <c r="R36">
        <f>SUM(P45:P48)</f>
        <v>30.157991363769451</v>
      </c>
    </row>
    <row r="37" spans="2:18" x14ac:dyDescent="0.25">
      <c r="B37" s="30">
        <v>27.5</v>
      </c>
      <c r="C37" s="32">
        <v>4.1464980000000002</v>
      </c>
      <c r="D37">
        <f t="shared" si="3"/>
        <v>1.5650834145043573</v>
      </c>
      <c r="I37" s="32">
        <v>4.7484320000000002</v>
      </c>
      <c r="J37">
        <f t="shared" si="4"/>
        <v>3.4572188258546372</v>
      </c>
      <c r="O37" s="32">
        <v>4.9397589999999996</v>
      </c>
      <c r="P37">
        <f t="shared" si="5"/>
        <v>6.1013895760212655</v>
      </c>
    </row>
    <row r="38" spans="2:18" x14ac:dyDescent="0.25">
      <c r="B38" s="30">
        <v>32.5</v>
      </c>
      <c r="C38" s="32">
        <v>4.0285190000000002</v>
      </c>
      <c r="D38">
        <f t="shared" si="3"/>
        <v>1.2736971520177478</v>
      </c>
      <c r="I38" s="40">
        <v>4.7062759999999999</v>
      </c>
      <c r="J38">
        <f t="shared" si="4"/>
        <v>3.2344113132225187</v>
      </c>
      <c r="O38" s="32">
        <v>4.9221550000000001</v>
      </c>
      <c r="P38">
        <f t="shared" si="5"/>
        <v>6.3176445615730614</v>
      </c>
    </row>
    <row r="39" spans="2:18" x14ac:dyDescent="0.25">
      <c r="B39" s="30">
        <v>37.5</v>
      </c>
      <c r="C39" s="32">
        <v>3.8765529999999999</v>
      </c>
      <c r="D39">
        <f t="shared" si="3"/>
        <v>1.0266708230251844</v>
      </c>
      <c r="F39">
        <f>SUM(D35:D44)</f>
        <v>10.714864004241823</v>
      </c>
      <c r="I39" s="32">
        <v>4.6574280000000003</v>
      </c>
      <c r="J39">
        <f t="shared" si="4"/>
        <v>3.0213790445771833</v>
      </c>
      <c r="L39">
        <f>SUM(J35:J44)</f>
        <v>29.376184232454225</v>
      </c>
      <c r="O39" s="32">
        <v>4.90151</v>
      </c>
      <c r="P39">
        <f t="shared" si="5"/>
        <v>6.537424763733811</v>
      </c>
      <c r="R39">
        <f>SUM(P35:P44)</f>
        <v>65.837372563153295</v>
      </c>
    </row>
    <row r="40" spans="2:18" x14ac:dyDescent="0.25">
      <c r="B40" s="30">
        <v>42.5</v>
      </c>
      <c r="C40" s="40">
        <v>3.6958660000000001</v>
      </c>
      <c r="D40">
        <f t="shared" si="3"/>
        <v>0.81991049076217992</v>
      </c>
      <c r="I40" s="32">
        <v>4.5979510000000001</v>
      </c>
      <c r="J40">
        <f t="shared" si="4"/>
        <v>2.8155588551637063</v>
      </c>
      <c r="O40" s="32">
        <v>4.873208</v>
      </c>
      <c r="P40">
        <f t="shared" si="5"/>
        <v>6.7541183660027739</v>
      </c>
    </row>
    <row r="41" spans="2:18" x14ac:dyDescent="0.25">
      <c r="B41" s="30">
        <v>47.5</v>
      </c>
      <c r="C41" s="40">
        <v>3.488159</v>
      </c>
      <c r="D41">
        <f t="shared" si="3"/>
        <v>0.64820329166184965</v>
      </c>
      <c r="I41" s="32">
        <v>4.5235539999999999</v>
      </c>
      <c r="J41">
        <f t="shared" si="4"/>
        <v>2.614696339132113</v>
      </c>
      <c r="O41" s="32">
        <v>4.8288359999999999</v>
      </c>
      <c r="P41">
        <f t="shared" si="5"/>
        <v>6.954614838985866</v>
      </c>
    </row>
    <row r="42" spans="2:18" x14ac:dyDescent="0.25">
      <c r="B42" s="30">
        <v>52.5</v>
      </c>
      <c r="C42" s="32">
        <v>3.244218</v>
      </c>
      <c r="D42">
        <f t="shared" si="3"/>
        <v>0.50499807327136548</v>
      </c>
      <c r="I42" s="32">
        <v>4.4187310000000002</v>
      </c>
      <c r="J42">
        <f t="shared" si="4"/>
        <v>2.4109058561358352</v>
      </c>
      <c r="O42" s="32">
        <v>4.7583950000000002</v>
      </c>
      <c r="P42">
        <f t="shared" si="5"/>
        <v>7.1214433780137636</v>
      </c>
    </row>
    <row r="43" spans="2:18" x14ac:dyDescent="0.25">
      <c r="B43" s="30">
        <v>57.5</v>
      </c>
      <c r="C43" s="40">
        <v>2.9542820000000001</v>
      </c>
      <c r="D43">
        <f t="shared" si="3"/>
        <v>0.38520895307225167</v>
      </c>
      <c r="I43" s="32">
        <v>4.2777719999999997</v>
      </c>
      <c r="J43">
        <f t="shared" si="4"/>
        <v>2.2031371310758225</v>
      </c>
      <c r="O43" s="32">
        <v>4.6480079999999999</v>
      </c>
      <c r="P43">
        <f t="shared" si="5"/>
        <v>7.2285520088988227</v>
      </c>
    </row>
    <row r="44" spans="2:18" x14ac:dyDescent="0.25">
      <c r="B44" s="30">
        <v>62.5</v>
      </c>
      <c r="C44" s="40">
        <v>2.6052149999999998</v>
      </c>
      <c r="D44">
        <f t="shared" si="3"/>
        <v>0.28454615840797204</v>
      </c>
      <c r="I44" s="40">
        <v>4.0873309999999998</v>
      </c>
      <c r="J44">
        <f t="shared" si="4"/>
        <v>1.9870322417869317</v>
      </c>
      <c r="O44" s="32">
        <v>4.4867179999999998</v>
      </c>
      <c r="P44">
        <f t="shared" si="5"/>
        <v>7.2508701096580941</v>
      </c>
    </row>
    <row r="45" spans="2:18" x14ac:dyDescent="0.25">
      <c r="B45" s="30">
        <v>67.5</v>
      </c>
      <c r="C45" s="32">
        <v>2.1873610000000001</v>
      </c>
      <c r="D45">
        <f t="shared" si="3"/>
        <v>0.20012177842144832</v>
      </c>
      <c r="I45" s="32">
        <v>3.816646</v>
      </c>
      <c r="J45">
        <f t="shared" si="4"/>
        <v>1.7514114863569532</v>
      </c>
      <c r="O45" s="32">
        <v>4.2623660000000001</v>
      </c>
      <c r="P45">
        <f t="shared" si="5"/>
        <v>7.1579555691542147</v>
      </c>
    </row>
    <row r="46" spans="2:18" x14ac:dyDescent="0.25">
      <c r="B46" s="30">
        <v>72.5</v>
      </c>
      <c r="C46" s="32">
        <v>1.6978530000000001</v>
      </c>
      <c r="D46">
        <f t="shared" si="3"/>
        <v>0.13011839811299802</v>
      </c>
      <c r="I46" s="32">
        <v>3.4276119999999999</v>
      </c>
      <c r="J46">
        <f t="shared" si="4"/>
        <v>1.4847015992526418</v>
      </c>
      <c r="O46" s="32">
        <v>3.9423780000000002</v>
      </c>
      <c r="P46">
        <f t="shared" si="5"/>
        <v>6.8797622491894677</v>
      </c>
    </row>
    <row r="47" spans="2:18" x14ac:dyDescent="0.25">
      <c r="B47" s="30">
        <v>77.5</v>
      </c>
      <c r="C47" s="32">
        <v>1.1714819999999999</v>
      </c>
      <c r="D47">
        <f t="shared" si="3"/>
        <v>7.5203659468222231E-2</v>
      </c>
      <c r="I47" s="32">
        <v>2.8964669999999999</v>
      </c>
      <c r="J47">
        <f t="shared" si="4"/>
        <v>1.1842879624614273</v>
      </c>
      <c r="O47" s="32">
        <v>3.4549949999999998</v>
      </c>
      <c r="P47">
        <f t="shared" si="5"/>
        <v>6.2652657775411624</v>
      </c>
    </row>
    <row r="48" spans="2:18" x14ac:dyDescent="0.25">
      <c r="B48" s="32">
        <v>82.5</v>
      </c>
      <c r="C48" s="40">
        <v>1.1143554</v>
      </c>
      <c r="D48">
        <f t="shared" si="3"/>
        <v>5.9922760033860566E-2</v>
      </c>
      <c r="I48" s="32">
        <v>4.2033550000000002</v>
      </c>
      <c r="J48">
        <f t="shared" si="4"/>
        <v>1.6222807280022578</v>
      </c>
      <c r="O48" s="32">
        <v>5.2298349999999996</v>
      </c>
      <c r="P48">
        <f t="shared" si="5"/>
        <v>9.8550077678846044</v>
      </c>
    </row>
    <row r="49" spans="2:18" x14ac:dyDescent="0.25">
      <c r="B49" s="32"/>
      <c r="C49" s="32"/>
      <c r="F49" s="38" t="s">
        <v>51</v>
      </c>
      <c r="I49" s="32"/>
      <c r="L49" s="38" t="s">
        <v>51</v>
      </c>
      <c r="O49" s="32"/>
      <c r="R49" s="38" t="s">
        <v>51</v>
      </c>
    </row>
    <row r="50" spans="2:18" x14ac:dyDescent="0.25">
      <c r="B50" s="32"/>
      <c r="C50" s="32"/>
      <c r="F50" s="24">
        <f>($F35+$F36)/ $F39</f>
        <v>1.003009239548986</v>
      </c>
      <c r="I50" s="32"/>
      <c r="L50" s="24">
        <f>($L35+$L36)/ $L39</f>
        <v>0.66091305730275696</v>
      </c>
      <c r="O50" s="32"/>
      <c r="R50" s="24">
        <f>($R35+$R36)/ $R39</f>
        <v>0.69838331494660133</v>
      </c>
    </row>
  </sheetData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Estados</vt:lpstr>
      <vt:lpstr>Paises</vt:lpstr>
      <vt:lpstr> equa. estados</vt:lpstr>
      <vt:lpstr>equa. 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Emilly Alves</dc:creator>
  <cp:lastModifiedBy>Emilly Alves</cp:lastModifiedBy>
  <dcterms:created xsi:type="dcterms:W3CDTF">2022-03-11T15:41:59Z</dcterms:created>
  <dcterms:modified xsi:type="dcterms:W3CDTF">2022-03-20T18:54:34Z</dcterms:modified>
</cp:coreProperties>
</file>