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P&amp;L Summary" sheetId="2" r:id="rId4"/>
    <sheet state="visible" name="Opex Summary" sheetId="3" r:id="rId5"/>
    <sheet state="visible" name="Staff &amp; Other exp. details" sheetId="4" r:id="rId6"/>
    <sheet state="hidden" name="Ess CS Exp 2" sheetId="5" r:id="rId7"/>
    <sheet state="hidden" name="Ess CD Exp 2" sheetId="6" r:id="rId8"/>
    <sheet state="hidden" name="Ess CW Exp 2" sheetId="7" r:id="rId9"/>
    <sheet state="visible" name="ACTUAL" sheetId="8" r:id="rId10"/>
    <sheet state="visible" name="BUDGET" sheetId="9" r:id="rId11"/>
    <sheet state="visible" name="PRIOR" sheetId="10" r:id="rId12"/>
    <sheet state="visible" name="Data" sheetId="11" r:id="rId13"/>
    <sheet state="visible" name="FIGURES SUMMARY" sheetId="12" r:id="rId14"/>
    <sheet state="hidden" name="ESS BUD 07" sheetId="13" r:id="rId15"/>
  </sheets>
  <definedNames>
    <definedName name="ess_bud">'ESS BUD 07'!$A$3:$S$451</definedName>
    <definedName name="BUD_SUM">'ESS BUD 07'!$A$455:$S$475</definedName>
    <definedName localSheetId="3" name="Z_1D2B0788_776D_4CCE_91C1_4960A5CDF039_.wvu.PrintArea">'Staff &amp; Other exp. details'!$A$10:$V$63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barbiern:
Select the location</t>
      </text>
    </comment>
    <comment authorId="0" ref="A5">
      <text>
        <t xml:space="preserve">barbiern:
Update the month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">
      <text>
        <t xml:space="preserve">Jasbeen ZAWED:
8.5k Accrual HotWax Consulting fees - advised by George)
69K Dispensing Fees as per Hotwax
10K dispensing Fees - does not go through hotwax
15K May dispensing fee acrual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8">
      <text>
        <t xml:space="preserve">LIS:
INCLUDE 46203 LIVING AWAY ALLOW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8">
      <text>
        <t xml:space="preserve">LIS:
INCLUDE 46203 LIVING AWAY ALLOW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24">
      <text>
        <t xml:space="preserve">LIS:
was $16667 each month
$200k yearly total.
This appeared to be exculded in FIGURES.
Therefore, this amt was deleted in order to agree to the FIGURES amt.
</t>
      </text>
    </comment>
    <comment authorId="0" ref="G224">
      <text>
        <t xml:space="preserve">LIS:
was $16667 each month
$200k yearly total.
This appeared to be exculded in FIGURES.
Therefore, this amt was deleted in order to agree to the FIGURES amt.
</t>
      </text>
    </comment>
    <comment authorId="0" ref="H224">
      <text>
        <t xml:space="preserve">LIS:
was $16667 each month
$200k yearly total.
This appeared to be exculded in FIGURES.
Therefore, this amt was deleted in order to agree to the FIGURES amt.
</t>
      </text>
    </comment>
    <comment authorId="0" ref="I224">
      <text>
        <t xml:space="preserve">LIS:
was $16667 each month
$200k yearly total.
This appeared to be exculded in FIGURES.
Therefore, this amt was deleted in order to agree to the FIGURES amt.
</t>
      </text>
    </comment>
    <comment authorId="0" ref="J224">
      <text>
        <t xml:space="preserve">LIS:
was $16667 each month
$200k yearly total.
This appeared to be exculded in FIGURES.
Therefore, this amt was deleted in order to agree to the FIGURES amt.
</t>
      </text>
    </comment>
    <comment authorId="0" ref="K224">
      <text>
        <t xml:space="preserve">LIS:
was $16667 each month
$200k yearly total.
This appeared to be exculded in FIGURES.
Therefore, this amt was deleted in order to agree to the FIGURES amt.
</t>
      </text>
    </comment>
    <comment authorId="0" ref="L224">
      <text>
        <t xml:space="preserve">LIS:
was $16667 each month
$200k yearly total.
This appeared to be exculded in FIGURES.
Therefore, this amt was deleted in order to agree to the FIGURES amt.
</t>
      </text>
    </comment>
    <comment authorId="0" ref="M224">
      <text>
        <t xml:space="preserve">LIS:
was $16667 each month
$200k yearly total.
This appeared to be exculded in FIGURES.
Therefore, this amt was deleted in order to agree to the FIGURES amt.
</t>
      </text>
    </comment>
    <comment authorId="0" ref="N224">
      <text>
        <t xml:space="preserve">LIS:
was $16667 each month
$200k yearly total.
This appeared to be exculded in FIGURES.
Therefore, this amt was deleted in order to agree to the FIGURES amt.
</t>
      </text>
    </comment>
    <comment authorId="0" ref="O224">
      <text>
        <t xml:space="preserve">LIS:
was $16667 each month
$200k yearly total.
This appeared to be exculded in FIGURES.
Therefore, this amt was deleted in order to agree to the FIGURES amt.
</t>
      </text>
    </comment>
    <comment authorId="0" ref="P224">
      <text>
        <t xml:space="preserve">LIS:
was $16667 each month
$200k yearly total.
This appeared to be exculded in FIGURES.
Therefore, this amt was deleted in order to agree to the FIGURES amt.
</t>
      </text>
    </comment>
    <comment authorId="0" ref="Q224">
      <text>
        <t xml:space="preserve">LIS:
was $16667 each month
$200k yearly total.
This appeared to be exculded in FIGURES.
Therefore, this amt was deleted in order to agree to the FIGURES amt.
</t>
      </text>
    </comment>
    <comment authorId="0" ref="B281">
      <text>
        <t xml:space="preserve">LIS:
OR AD???
</t>
      </text>
    </comment>
  </commentList>
</comments>
</file>

<file path=xl/sharedStrings.xml><?xml version="1.0" encoding="utf-8"?>
<sst xmlns="http://schemas.openxmlformats.org/spreadsheetml/2006/main" count="3699" uniqueCount="903">
  <si>
    <t>PRESCRIPTION SAFETY GLASSES</t>
  </si>
  <si>
    <t>P&amp;L SUMMARY</t>
  </si>
  <si>
    <t>OPERATING EXPENSES</t>
  </si>
  <si>
    <t>MONTH</t>
  </si>
  <si>
    <t>YTD</t>
  </si>
  <si>
    <t>ACTUAL</t>
  </si>
  <si>
    <t>BUDGET</t>
  </si>
  <si>
    <t>LAST YEAR</t>
  </si>
  <si>
    <t>$</t>
  </si>
  <si>
    <t xml:space="preserve">% to </t>
  </si>
  <si>
    <t>Actual</t>
  </si>
  <si>
    <t>Act</t>
  </si>
  <si>
    <t>Sales</t>
  </si>
  <si>
    <t>To Bud</t>
  </si>
  <si>
    <t>To LY</t>
  </si>
  <si>
    <t>GROSS SALES - OG</t>
  </si>
  <si>
    <t>MARKETING</t>
  </si>
  <si>
    <t>FREIGHT - OG</t>
  </si>
  <si>
    <t>MARKETING - PPA</t>
  </si>
  <si>
    <t>DISCOUNTS - OG</t>
  </si>
  <si>
    <t>NET SALES - OG</t>
  </si>
  <si>
    <t>FREIGHT</t>
  </si>
  <si>
    <t>RENT</t>
  </si>
  <si>
    <t>GROSS SALES - GP</t>
  </si>
  <si>
    <t>TRAVEL</t>
  </si>
  <si>
    <t>FREIGHT - GP</t>
  </si>
  <si>
    <t>ENTERTAINMENT</t>
  </si>
  <si>
    <t>ROYALTIES - GP</t>
  </si>
  <si>
    <t>DISCOUNTS - GP</t>
  </si>
  <si>
    <t>COMMISSIONS / FEES</t>
  </si>
  <si>
    <t>NET SALES - GP</t>
  </si>
  <si>
    <t>OTHER</t>
  </si>
  <si>
    <t>TOTAL NET SALES</t>
  </si>
  <si>
    <t>STAFF COSTS</t>
  </si>
  <si>
    <t>DEPRECIATION EXC MFG</t>
  </si>
  <si>
    <t>Nb. of Working Days</t>
  </si>
  <si>
    <t>Average Sales</t>
  </si>
  <si>
    <t>BAD DEBTS</t>
  </si>
  <si>
    <t>MANUFACTURING COSTS</t>
  </si>
  <si>
    <t>BANK FEES</t>
  </si>
  <si>
    <t>TOTAL</t>
  </si>
  <si>
    <t>COSTS OF MATERIAL</t>
  </si>
  <si>
    <t>TECHNOLOGY ROYALTIES</t>
  </si>
  <si>
    <t>STOCK PROVISIONS</t>
  </si>
  <si>
    <t>FINANCIAL ITEMS</t>
  </si>
  <si>
    <t>FINANCIAL EXPENSES</t>
  </si>
  <si>
    <t>COSTS OF SALES</t>
  </si>
  <si>
    <t>FINANCIAL INCOME</t>
  </si>
  <si>
    <t>MARGIN "0"</t>
  </si>
  <si>
    <t>EXCHANGE (GAIN) / LOSS</t>
  </si>
  <si>
    <t>MANAGEMENT FEES</t>
  </si>
  <si>
    <t>NET MARGIN</t>
  </si>
  <si>
    <t>OTHER REV / (EXP) FROM OPERATIONS</t>
  </si>
  <si>
    <t>Income from Operations</t>
  </si>
  <si>
    <t>CURRENT RESULT</t>
  </si>
  <si>
    <t>GAIN / LOSS ON ASSETS DISPOSAL</t>
  </si>
  <si>
    <t>INCOME BEFORE TAX</t>
  </si>
  <si>
    <t>INCOME TAX</t>
  </si>
  <si>
    <t>NET RESULT</t>
  </si>
  <si>
    <t>Check</t>
  </si>
  <si>
    <t>Monthly</t>
  </si>
  <si>
    <t>Conso - KAUD</t>
  </si>
  <si>
    <t>Prior</t>
  </si>
  <si>
    <t>Plan</t>
  </si>
  <si>
    <t>% Actual vs Prior</t>
  </si>
  <si>
    <t>% Actual vs Plan</t>
  </si>
  <si>
    <t>Direct Sales Volume</t>
  </si>
  <si>
    <t>Interco sales</t>
  </si>
  <si>
    <t>Total Volume</t>
  </si>
  <si>
    <t>OG Net Sales</t>
  </si>
  <si>
    <t>IG Sales</t>
  </si>
  <si>
    <t>Total Net Sales</t>
  </si>
  <si>
    <t>Margin "0"</t>
  </si>
  <si>
    <t>% Margin "0"</t>
  </si>
  <si>
    <t>OPEX</t>
  </si>
  <si>
    <t>Net Margin</t>
  </si>
  <si>
    <t>% Net Margin</t>
  </si>
  <si>
    <t>OTHER EXPENSE AND STAFF COST ANALYSIS</t>
  </si>
  <si>
    <t>OTHER EXPENSES</t>
  </si>
  <si>
    <t>PURCH. PACKAGING MAT.</t>
  </si>
  <si>
    <t>RENT ON APARTMENTS</t>
  </si>
  <si>
    <t>PHOTOCOPIER COSTS</t>
  </si>
  <si>
    <t>CLEANING</t>
  </si>
  <si>
    <t>RELOCATION COSTS</t>
  </si>
  <si>
    <t>STATIONERY AND SUPPLIERS</t>
  </si>
  <si>
    <t>POSTAGE COSTS</t>
  </si>
  <si>
    <t>CS DEPT. OTHER EXPENSE AND STAFF COST ANALYSIS</t>
  </si>
  <si>
    <t>HIRE OF OFFICE EQUIP</t>
  </si>
  <si>
    <t>GENERAL INSURANCE</t>
  </si>
  <si>
    <t>CS</t>
  </si>
  <si>
    <t>O</t>
  </si>
  <si>
    <t>SUBSCRIPTIONS / DONATIONS</t>
  </si>
  <si>
    <t>01</t>
  </si>
  <si>
    <t>ESS</t>
  </si>
  <si>
    <t>MINOR CAPITAL ITEMS</t>
  </si>
  <si>
    <t>SECURITY</t>
  </si>
  <si>
    <t>LOCAL GOVT TAXES / RATES</t>
  </si>
  <si>
    <t>REVENUE RECHARGED</t>
  </si>
  <si>
    <t>FREIGHT OUT (COURIER)</t>
  </si>
  <si>
    <t>EXPENSE RECHARGED</t>
  </si>
  <si>
    <t>STAFF AMENITIES</t>
  </si>
  <si>
    <t>A/R UNDERS &amp; OVERS</t>
  </si>
  <si>
    <t>LAB RELOCATION COSTS</t>
  </si>
  <si>
    <t>OTHER OPERATING EXPENSES</t>
  </si>
  <si>
    <t>STAFF RELOCATION COSTS</t>
  </si>
  <si>
    <t>ESSILOR LABORATORY NSW</t>
  </si>
  <si>
    <t>CD &amp; CW DEPT. OTHER EXPENSE AND STAFF COST ANALYSIS</t>
  </si>
  <si>
    <t>REPAIR &amp; MAINTENANCE</t>
  </si>
  <si>
    <t>CD</t>
  </si>
  <si>
    <t>SUBSIDIES</t>
  </si>
  <si>
    <t>TELECOMMUNICATIONS</t>
  </si>
  <si>
    <t>UTILITIES</t>
  </si>
  <si>
    <t>R &amp; M OFFICE EQUIP</t>
  </si>
  <si>
    <t>R &amp; M COMPUTER EQUIP</t>
  </si>
  <si>
    <t>R &amp; M PRODUCTION EQUIP</t>
  </si>
  <si>
    <t>FRINGE BENEFIT TAX</t>
  </si>
  <si>
    <t>R &amp; M BUILDING</t>
  </si>
  <si>
    <t>WORKERS COMP INS</t>
  </si>
  <si>
    <t>OCCUPATION &amp; HEALTH</t>
  </si>
  <si>
    <t>STATIONERY &amp; SUPPLIES</t>
  </si>
  <si>
    <t>EMPL. SHARE PLAN</t>
  </si>
  <si>
    <t>WATER COSTS</t>
  </si>
  <si>
    <t>STAFF RECRUITEMENT</t>
  </si>
  <si>
    <t>STAFF TRAINING</t>
  </si>
  <si>
    <t>ELECTRICITY/GAS</t>
  </si>
  <si>
    <t>RECHARGE TO NEW ZEALAND</t>
  </si>
  <si>
    <t>PAYROLL TAX</t>
  </si>
  <si>
    <t>PWC AUDIT FEES</t>
  </si>
  <si>
    <t>STAFF COSTS - OTHERS</t>
  </si>
  <si>
    <t>AUDIT FEES</t>
  </si>
  <si>
    <t>SALARIES &amp; WAGES</t>
  </si>
  <si>
    <t>LEGAL FEES</t>
  </si>
  <si>
    <t>OVERTIME</t>
  </si>
  <si>
    <t>CONSULTANCY FEES</t>
  </si>
  <si>
    <t>SUPERANNUATION</t>
  </si>
  <si>
    <t>TAXATION FEES</t>
  </si>
  <si>
    <t>BONUS</t>
  </si>
  <si>
    <t>SICK PAY</t>
  </si>
  <si>
    <t>TEMPORARY STAFF</t>
  </si>
  <si>
    <t>LIVE AWAY FROM HOME ALLOWANCE</t>
  </si>
  <si>
    <t>LEAVE LIABILITY ONCOST</t>
  </si>
  <si>
    <t>PAYROLL PROCESSING FEES</t>
  </si>
  <si>
    <t>MOTOR VEHICLE ALLOWANCE</t>
  </si>
  <si>
    <t>IASC LODGEMENT FEES</t>
  </si>
  <si>
    <t>MOTOR VEHICLE LEASES AND INSURANCE</t>
  </si>
  <si>
    <t>PWC CONSULT FEES</t>
  </si>
  <si>
    <t>MOTOR VEHICLE RUNNING COSTS</t>
  </si>
  <si>
    <t>SUBSCRIPTIONS/DONATION</t>
  </si>
  <si>
    <t>ANNUAL LEAVE PAID</t>
  </si>
  <si>
    <t>ANNUAL LEAVE PROVIDED</t>
  </si>
  <si>
    <t>Adjustment prior years</t>
  </si>
  <si>
    <t>LONG SERVICE LEAVE PAID</t>
  </si>
  <si>
    <t>LONG SERVICE LEAVE PROVIDED</t>
  </si>
  <si>
    <t>STAFF COSTS - PAY</t>
  </si>
  <si>
    <t>STAFF RECRUITMENT</t>
  </si>
  <si>
    <t>INDIRECT LABOUR GROSS</t>
  </si>
  <si>
    <t>INDIRECT LABOUR OVERTIME</t>
  </si>
  <si>
    <t>INDIRECT LABOUR SUPER</t>
  </si>
  <si>
    <t>INDIRECT LABOUR W/C</t>
  </si>
  <si>
    <t>BONUS INDIRECT</t>
  </si>
  <si>
    <t>SICK PAY INDIRECT</t>
  </si>
  <si>
    <t>LEAVE LIABILITIES ON COSTS</t>
  </si>
  <si>
    <t>TEMPORARY STAFF COSTS</t>
  </si>
  <si>
    <t>LONG SERVICE LEAVE PROVD.</t>
  </si>
  <si>
    <t>M.V RUNNING COSTS</t>
  </si>
  <si>
    <t>M.V ALLOWANCE</t>
  </si>
  <si>
    <t>M.V INSURANCE</t>
  </si>
  <si>
    <t>MV LEASING</t>
  </si>
  <si>
    <t>RECHAGE TO EAPL</t>
  </si>
  <si>
    <t>REWARD</t>
  </si>
  <si>
    <t>ADVERTISING</t>
  </si>
  <si>
    <t>LEASINGS (CARS)</t>
  </si>
  <si>
    <t>45402CS</t>
  </si>
  <si>
    <t>COMMISSIONS/FEES</t>
  </si>
  <si>
    <t>CO DEPT. OTHER EXPENSE AND STAFF COST ANALYSIS</t>
  </si>
  <si>
    <t>ROYALTIES</t>
  </si>
  <si>
    <t>CW</t>
  </si>
  <si>
    <t>CO</t>
  </si>
  <si>
    <t>49100SU</t>
  </si>
  <si>
    <t>49100RX</t>
  </si>
  <si>
    <t>DEP'N PHI TRACERS 2004</t>
  </si>
  <si>
    <t>49200CS</t>
  </si>
  <si>
    <t>OTHER OPTG INC/EXP</t>
  </si>
  <si>
    <t>EXCHANGE (GAIN)/LOSS</t>
  </si>
  <si>
    <t>OTHER COST/ EMPL SHARE PLAN</t>
  </si>
  <si>
    <t>GROSS SALES - OTHER</t>
  </si>
  <si>
    <t xml:space="preserve">                      - OPSM</t>
  </si>
  <si>
    <t xml:space="preserve">                      - FREIGHT OG</t>
  </si>
  <si>
    <t xml:space="preserve">                      - GP</t>
  </si>
  <si>
    <t xml:space="preserve">                      - FREIGHT GP</t>
  </si>
  <si>
    <t xml:space="preserve">                      - TOTAL</t>
  </si>
  <si>
    <t>DISCOUNTS OG</t>
  </si>
  <si>
    <t>XXXXX</t>
  </si>
  <si>
    <t>45402CD</t>
  </si>
  <si>
    <t>COST OF MATERIALS</t>
  </si>
  <si>
    <t>PROVISION STOCK</t>
  </si>
  <si>
    <t>GAIN/LOSS ON ASSETS DISPOSAL</t>
  </si>
  <si>
    <t>EXCLUDED ACCOUNTS</t>
  </si>
  <si>
    <t xml:space="preserve">OTHER SALES </t>
  </si>
  <si>
    <t>OTHER COM</t>
  </si>
  <si>
    <t>OTHER EXCLUDED ACCOUNTS</t>
  </si>
  <si>
    <t>45400CO</t>
  </si>
  <si>
    <t>45500CO</t>
  </si>
  <si>
    <t>45501CO</t>
  </si>
  <si>
    <t>45601CO</t>
  </si>
  <si>
    <t>A</t>
  </si>
  <si>
    <t>USTRALIA</t>
  </si>
  <si>
    <t>Date: 15-A</t>
  </si>
  <si>
    <t>UG-08 11:16:13</t>
  </si>
  <si>
    <t>AUD-MTH BY</t>
  </si>
  <si>
    <t>MTH BUDGET</t>
  </si>
  <si>
    <t>P&amp;L SUM</t>
  </si>
  <si>
    <t>Page:   1</t>
  </si>
  <si>
    <t>Current</t>
  </si>
  <si>
    <t>Period: JA</t>
  </si>
  <si>
    <t>N-08</t>
  </si>
  <si>
    <t>Currency: AUD</t>
  </si>
  <si>
    <t>No specific Company requested</t>
  </si>
  <si>
    <t>PTD-Actual</t>
  </si>
  <si>
    <t>MTD</t>
  </si>
  <si>
    <t>------------</t>
  </si>
  <si>
    <t>---------</t>
  </si>
  <si>
    <t>----------</t>
  </si>
  <si>
    <t>-----------</t>
  </si>
  <si>
    <t>OPERATING EXPENSES.</t>
  </si>
  <si>
    <t>OTHER REV/EXP FROM OPERATIONS</t>
  </si>
  <si>
    <t>INCOME FROM OPERATIONS</t>
  </si>
  <si>
    <t>FINANCIAL ITEMS.</t>
  </si>
  <si>
    <t>ALL P&amp;L ACCOUNTS</t>
  </si>
  <si>
    <t>CHECK</t>
  </si>
  <si>
    <t>CHECK ELIM</t>
  </si>
  <si>
    <t xml:space="preserve">_x000c_</t>
  </si>
  <si>
    <t>Glasses Pty Ltd),</t>
  </si>
  <si>
    <t>UG-08 11:12:38</t>
  </si>
  <si>
    <t>STAFF COSTS.</t>
  </si>
  <si>
    <t>Company=AU106 (TEC lenses commercial),</t>
  </si>
  <si>
    <t>PTD-Budget</t>
  </si>
  <si>
    <t>name</t>
  </si>
  <si>
    <t>AUSTRALIA</t>
  </si>
  <si>
    <t>Date: 31-J</t>
  </si>
  <si>
    <t>AN-18 06:36:29</t>
  </si>
  <si>
    <t>AUD-MT</t>
  </si>
  <si>
    <t>H BY MTH BU</t>
  </si>
  <si>
    <t>DGET P&amp;L- (</t>
  </si>
  <si>
    <t>ALL LOCATIO</t>
  </si>
  <si>
    <t>NS)</t>
  </si>
  <si>
    <t>Page:   2</t>
  </si>
  <si>
    <t>Location=NS9 (PSG),  RU (Don'</t>
  </si>
  <si>
    <t>t Update)=A</t>
  </si>
  <si>
    <t>U109_LC01 (</t>
  </si>
  <si>
    <t>Prescriptio</t>
  </si>
  <si>
    <t>n Safety Gl</t>
  </si>
  <si>
    <t>asses Pty L</t>
  </si>
  <si>
    <t>td Lenses c</t>
  </si>
  <si>
    <t>ommercial)</t>
  </si>
  <si>
    <t>Page:   3</t>
  </si>
  <si>
    <t>N-18</t>
  </si>
  <si>
    <t>Page:   4</t>
  </si>
  <si>
    <t>UD-MTH BY M</t>
  </si>
  <si>
    <t>TH BUDGET O</t>
  </si>
  <si>
    <t>PEX SMRY</t>
  </si>
  <si>
    <t>Date: 15-AU</t>
  </si>
  <si>
    <t>G-08 11:08:35</t>
  </si>
  <si>
    <t>AU</t>
  </si>
  <si>
    <t>D-MTH BY MT</t>
  </si>
  <si>
    <t>H BUDGET OP</t>
  </si>
  <si>
    <t>EX DETAIL</t>
  </si>
  <si>
    <t>UG-08 11:08:35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</si>
  <si>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</si>
  <si>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</si>
  <si>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</si>
  <si>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</si>
  <si>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</si>
  <si>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</si>
  <si>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</si>
  <si>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</si>
  <si>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</si>
  <si>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</si>
  <si>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</si>
  <si>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</si>
  <si>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PRIOR</t>
  </si>
  <si>
    <t>% Manufacturing Costs</t>
  </si>
  <si>
    <t>% Cost of Material</t>
  </si>
  <si>
    <t>% Margin</t>
  </si>
  <si>
    <t>PLAN</t>
  </si>
  <si>
    <t xml:space="preserve">FIGURES CODE </t>
  </si>
  <si>
    <t>DESCRIPTION</t>
  </si>
  <si>
    <t>%</t>
  </si>
  <si>
    <t>OPE_GROSSSALES_OG</t>
  </si>
  <si>
    <t>Gr. sales manuf. prod. exc. freight OG</t>
  </si>
  <si>
    <t>OPE_DISCOUNTS_OG</t>
  </si>
  <si>
    <t>less Trade Discounts on sales OG</t>
  </si>
  <si>
    <t>OPE_CASHDISC_OG</t>
  </si>
  <si>
    <t>less Cash Discounts on sales OG</t>
  </si>
  <si>
    <t>OPE_COMMIS_OG</t>
  </si>
  <si>
    <t>less Commissions on sales OG</t>
  </si>
  <si>
    <t>OPE_NETSALES_OG</t>
  </si>
  <si>
    <t>Net sales of manuf. prod. and goods OG</t>
  </si>
  <si>
    <t>OPE_FREIGHT_OG</t>
  </si>
  <si>
    <t>Freight - out of group</t>
  </si>
  <si>
    <t>OPE_SERVICES_OG</t>
  </si>
  <si>
    <t>CODE</t>
  </si>
  <si>
    <t>Sale of services - out of group</t>
  </si>
  <si>
    <t>DEPT</t>
  </si>
  <si>
    <t>AC</t>
  </si>
  <si>
    <t>GP</t>
  </si>
  <si>
    <t>NAME</t>
  </si>
  <si>
    <t>OPE_TOTSALES_OG</t>
  </si>
  <si>
    <t>31100CS</t>
  </si>
  <si>
    <t>Total net sales - out of group</t>
  </si>
  <si>
    <t>OPE_GROSSSALES_IG</t>
  </si>
  <si>
    <t>Gr. sales manuf. prod. exc. freight IG</t>
  </si>
  <si>
    <t>Lab</t>
  </si>
  <si>
    <t>SALES - GP</t>
  </si>
  <si>
    <t>OPE_DISCOUNTS_IG</t>
  </si>
  <si>
    <t>less Discounts on sales - in group</t>
  </si>
  <si>
    <t>OPE_NETSALES_IG</t>
  </si>
  <si>
    <t>Net sales of manuf. prod. and goods IG</t>
  </si>
  <si>
    <t>31100CSO</t>
  </si>
  <si>
    <t>SALES - OG</t>
  </si>
  <si>
    <t>OPE_FREIGHT_IG</t>
  </si>
  <si>
    <t>Freight - in group</t>
  </si>
  <si>
    <t>OPE_ROY_REV_IG</t>
  </si>
  <si>
    <t>Royalties Revenues IG</t>
  </si>
  <si>
    <t>31100DR</t>
  </si>
  <si>
    <t>SALES - OG OPSM</t>
  </si>
  <si>
    <t>OPE_TOTSALES_IG</t>
  </si>
  <si>
    <t>Total net sales - in group</t>
  </si>
  <si>
    <t>33101CSO</t>
  </si>
  <si>
    <t>33101DR</t>
  </si>
  <si>
    <t>DR</t>
  </si>
  <si>
    <t>35100AD</t>
  </si>
  <si>
    <t>AD</t>
  </si>
  <si>
    <t>Lens</t>
  </si>
  <si>
    <t>41100CS</t>
  </si>
  <si>
    <t>41100DR</t>
  </si>
  <si>
    <t>OPE_NETSALES</t>
  </si>
  <si>
    <t>42200AD</t>
  </si>
  <si>
    <t>42200AH</t>
  </si>
  <si>
    <t>AH</t>
  </si>
  <si>
    <t>42200CD</t>
  </si>
  <si>
    <t>42200CS</t>
  </si>
  <si>
    <t>42200MF</t>
  </si>
  <si>
    <t>MF</t>
  </si>
  <si>
    <t>42200MK</t>
  </si>
  <si>
    <t>MK</t>
  </si>
  <si>
    <t>OPE_MAT_CONS</t>
  </si>
  <si>
    <t>Consumption of materials</t>
  </si>
  <si>
    <t>42200NS</t>
  </si>
  <si>
    <t>NS</t>
  </si>
  <si>
    <t>45103AD</t>
  </si>
  <si>
    <t>OPE_MANUF</t>
  </si>
  <si>
    <t>Manufacturing costs</t>
  </si>
  <si>
    <t>45300AD</t>
  </si>
  <si>
    <t>OPE_CASHDISC_REV</t>
  </si>
  <si>
    <t>Cash discounts Revenues</t>
  </si>
  <si>
    <t>OPE_ROY_EXP</t>
  </si>
  <si>
    <t>Royalties Expenses in COGS</t>
  </si>
  <si>
    <t>OPE_PPA_COST</t>
  </si>
  <si>
    <t>COGS related PPA costs</t>
  </si>
  <si>
    <t>OPE_COST_BF_RES</t>
  </si>
  <si>
    <t>Cost of sales before reserves</t>
  </si>
  <si>
    <t>45300CD</t>
  </si>
  <si>
    <t>OPE_RES_INV</t>
  </si>
  <si>
    <t>Net reserves on inventories</t>
  </si>
  <si>
    <t>45300CS</t>
  </si>
  <si>
    <t>OPE_DESTRUCT</t>
  </si>
  <si>
    <t>Destruction on inventories</t>
  </si>
  <si>
    <t>OPE_RES_GOODS</t>
  </si>
  <si>
    <t>Net reserves for return gds &amp; warranty</t>
  </si>
  <si>
    <t>45300CW</t>
  </si>
  <si>
    <t>OPE_COST_RES</t>
  </si>
  <si>
    <t>Reserves on inv return gds &amp; warranty</t>
  </si>
  <si>
    <t>45400AD</t>
  </si>
  <si>
    <t>OPE_MAT_UNREAL</t>
  </si>
  <si>
    <t>Unrealized profit on inventories</t>
  </si>
  <si>
    <t>OPE_COSTSALES</t>
  </si>
  <si>
    <t>COST OF SALES</t>
  </si>
  <si>
    <t>45400CD</t>
  </si>
  <si>
    <t>45400CS</t>
  </si>
  <si>
    <t>OPE_MARGIN0</t>
  </si>
  <si>
    <t xml:space="preserve">MARGIN "0" </t>
  </si>
  <si>
    <t>45400CW</t>
  </si>
  <si>
    <t>45400MF</t>
  </si>
  <si>
    <t>45400MK</t>
  </si>
  <si>
    <t>OPE_DIS_SAL</t>
  </si>
  <si>
    <t>Distribution costs invoiced to group</t>
  </si>
  <si>
    <t>ACCOMODATION</t>
  </si>
  <si>
    <t>45402CW</t>
  </si>
  <si>
    <t>45402AD</t>
  </si>
  <si>
    <t>OPE_DIS_INT</t>
  </si>
  <si>
    <t>Distribution costs invoiced by group</t>
  </si>
  <si>
    <t>OPE_DIS_FREIGHT</t>
  </si>
  <si>
    <t>Freight expenses</t>
  </si>
  <si>
    <t>45600AD</t>
  </si>
  <si>
    <t>OPE_DIS_OTH</t>
  </si>
  <si>
    <t>Other distribution costs</t>
  </si>
  <si>
    <t>OPE_DISTRIB</t>
  </si>
  <si>
    <t xml:space="preserve">Distribution costs </t>
  </si>
  <si>
    <t>45600CD</t>
  </si>
  <si>
    <t>OPE_DISTR_MARGIN</t>
  </si>
  <si>
    <t>DISTRIBUTION MARGIN</t>
  </si>
  <si>
    <t>45600CS</t>
  </si>
  <si>
    <t>45600CW</t>
  </si>
  <si>
    <t>OPE_IND_SAL</t>
  </si>
  <si>
    <t>Industrial costs invoiced to group</t>
  </si>
  <si>
    <t>OPE_IND_INT</t>
  </si>
  <si>
    <t>Industrial costs invoiced by group</t>
  </si>
  <si>
    <t>45702AD</t>
  </si>
  <si>
    <t>OPE_IND_OTH</t>
  </si>
  <si>
    <t>Other industrial costs</t>
  </si>
  <si>
    <t>OPE_INDUSTRIAL</t>
  </si>
  <si>
    <t xml:space="preserve">Industrial costs </t>
  </si>
  <si>
    <t>45702AH</t>
  </si>
  <si>
    <t>45702CD</t>
  </si>
  <si>
    <t>OPE_ENG_SAL</t>
  </si>
  <si>
    <t>45702CS</t>
  </si>
  <si>
    <t>Engineering costs invoiced to group</t>
  </si>
  <si>
    <t>OPE_ENG_INT</t>
  </si>
  <si>
    <t>Engineering costs invoiced by group</t>
  </si>
  <si>
    <t>OPE_ENG_OTH</t>
  </si>
  <si>
    <t>Other Engineering costs</t>
  </si>
  <si>
    <t>45702MF</t>
  </si>
  <si>
    <t>OPE_ENGIN</t>
  </si>
  <si>
    <t>Engineering costs</t>
  </si>
  <si>
    <t>45702MK</t>
  </si>
  <si>
    <t>45702NS</t>
  </si>
  <si>
    <t>OPE_RD_SAL</t>
  </si>
  <si>
    <t>R&amp;D costs invoiced to group</t>
  </si>
  <si>
    <t>45703AD</t>
  </si>
  <si>
    <t>OPE_RD_INT</t>
  </si>
  <si>
    <t>R&amp;D costs invoiced by group</t>
  </si>
  <si>
    <t>OPE_RD_ROY_REV</t>
  </si>
  <si>
    <t>R&amp;D royalties revenues</t>
  </si>
  <si>
    <t>OPE_RD_ROY_EXP</t>
  </si>
  <si>
    <t>R&amp;D royalties expenses</t>
  </si>
  <si>
    <t>45703AH</t>
  </si>
  <si>
    <t>OPE_RD_OTH</t>
  </si>
  <si>
    <t>Other R&amp;D costs</t>
  </si>
  <si>
    <t>45703CD</t>
  </si>
  <si>
    <t>OPE_RD_PPA</t>
  </si>
  <si>
    <t>R&amp;D related PPA costs</t>
  </si>
  <si>
    <t>OPE_RESDEV</t>
  </si>
  <si>
    <t>Research and development costs</t>
  </si>
  <si>
    <t>45703CS</t>
  </si>
  <si>
    <t>OPE_SAL_SAL</t>
  </si>
  <si>
    <t>Sales force costs invoiced to group</t>
  </si>
  <si>
    <t>45703MF</t>
  </si>
  <si>
    <t>OPE_SAL_INT</t>
  </si>
  <si>
    <t>Sales force costs invoiced by group</t>
  </si>
  <si>
    <t>OPE_SAL_OTH</t>
  </si>
  <si>
    <t>Other sales force costs</t>
  </si>
  <si>
    <t>45703MK</t>
  </si>
  <si>
    <t>OPE_SALESFORCE</t>
  </si>
  <si>
    <t>Sales force</t>
  </si>
  <si>
    <t>45703NS</t>
  </si>
  <si>
    <t>OPE_MKG_SAL</t>
  </si>
  <si>
    <t>Marketing costs invoiced to group</t>
  </si>
  <si>
    <t>45704AD</t>
  </si>
  <si>
    <t>OPE_MKG_INT</t>
  </si>
  <si>
    <t>Marketing costs invoiced by group</t>
  </si>
  <si>
    <t>45704AH</t>
  </si>
  <si>
    <t>OPE_MKG_ADV</t>
  </si>
  <si>
    <t>Advertising expenses</t>
  </si>
  <si>
    <t>45704CD</t>
  </si>
  <si>
    <t>OPE_MKG_TRD_REV</t>
  </si>
  <si>
    <t>Trademark royalties revenues</t>
  </si>
  <si>
    <t>OPE_MKG_TRD_EXP</t>
  </si>
  <si>
    <t>Trademark royalties expenses</t>
  </si>
  <si>
    <t>OPE_MKG_OTH</t>
  </si>
  <si>
    <t>Other marketing costs</t>
  </si>
  <si>
    <t>OPE_MKG_PPA</t>
  </si>
  <si>
    <t>Marketing related PPA costs</t>
  </si>
  <si>
    <t>45704CS</t>
  </si>
  <si>
    <t>OPE_MARKETING</t>
  </si>
  <si>
    <t>Marketing</t>
  </si>
  <si>
    <t>OPE_SAD_SAL</t>
  </si>
  <si>
    <t>Sales adm. costs invoiced to group</t>
  </si>
  <si>
    <t>45704MF</t>
  </si>
  <si>
    <t>OPE_SAD_INT</t>
  </si>
  <si>
    <t>Sales adm. costs invoiced by group</t>
  </si>
  <si>
    <t>45704MK</t>
  </si>
  <si>
    <t>OPE_SAD_RES_BDDT</t>
  </si>
  <si>
    <t>Net reserve for bad debts</t>
  </si>
  <si>
    <t>45704NS</t>
  </si>
  <si>
    <t>OPE_SAD_IRRECOV</t>
  </si>
  <si>
    <t>Loss on irrecoverable debts</t>
  </si>
  <si>
    <t>45705AD</t>
  </si>
  <si>
    <t>OPE_SAD_OTH</t>
  </si>
  <si>
    <t>Other sales administration costs</t>
  </si>
  <si>
    <t>45705AH</t>
  </si>
  <si>
    <t>OPE_SALES_ADM</t>
  </si>
  <si>
    <t>Sales administration</t>
  </si>
  <si>
    <t>45705CD</t>
  </si>
  <si>
    <t>OPE_ST_SAL</t>
  </si>
  <si>
    <t>Structure costs invoiced to group</t>
  </si>
  <si>
    <t>45705CS</t>
  </si>
  <si>
    <t>OPE_ST_INT</t>
  </si>
  <si>
    <t>Structure costs invoiced by group</t>
  </si>
  <si>
    <t>OPE_ST_MGT_REV</t>
  </si>
  <si>
    <t>Management fees revenues</t>
  </si>
  <si>
    <t>OPE_ST_MGT_EXP</t>
  </si>
  <si>
    <t>Management fees expenses</t>
  </si>
  <si>
    <t>45705MF</t>
  </si>
  <si>
    <t>OPE_ST_OTH</t>
  </si>
  <si>
    <t>Other structure costs</t>
  </si>
  <si>
    <t>45705MK</t>
  </si>
  <si>
    <t>OPE_ST_PPA</t>
  </si>
  <si>
    <t>Structure related PPA costs</t>
  </si>
  <si>
    <t>45705NS</t>
  </si>
  <si>
    <t>OPE_ST_DIR</t>
  </si>
  <si>
    <t>Direct structure costs</t>
  </si>
  <si>
    <t>45710AD</t>
  </si>
  <si>
    <t>OPE_ST_SERV</t>
  </si>
  <si>
    <t>Shared service structure costs</t>
  </si>
  <si>
    <t>OPE_ST_ACQ</t>
  </si>
  <si>
    <t>45710AH</t>
  </si>
  <si>
    <t>45710CD</t>
  </si>
  <si>
    <t>Acquisition costs</t>
  </si>
  <si>
    <t>45710CS</t>
  </si>
  <si>
    <t>OPE_STRUCT</t>
  </si>
  <si>
    <t xml:space="preserve">Structure costs </t>
  </si>
  <si>
    <t>45710MF</t>
  </si>
  <si>
    <t>45710MK</t>
  </si>
  <si>
    <t>45710NS</t>
  </si>
  <si>
    <t>45718CD</t>
  </si>
  <si>
    <t>TAXES</t>
  </si>
  <si>
    <t>45718CS</t>
  </si>
  <si>
    <t>45718CW</t>
  </si>
  <si>
    <t>45718AD</t>
  </si>
  <si>
    <t>OPE_EXP</t>
  </si>
  <si>
    <t>TOTAL OPERATING EXPENSES WO DISTR COSTS</t>
  </si>
  <si>
    <t>45723AD</t>
  </si>
  <si>
    <t>45723AH</t>
  </si>
  <si>
    <t>45723CD</t>
  </si>
  <si>
    <t>45723CS</t>
  </si>
  <si>
    <t>OPE_NET_MARGIN</t>
  </si>
  <si>
    <t>45723MF</t>
  </si>
  <si>
    <t>45723MK</t>
  </si>
  <si>
    <t>45723NS</t>
  </si>
  <si>
    <t>45800AD</t>
  </si>
  <si>
    <t>45800AH</t>
  </si>
  <si>
    <t>45800CD</t>
  </si>
  <si>
    <t>45800CS</t>
  </si>
  <si>
    <t>45800MF</t>
  </si>
  <si>
    <t>45800MK</t>
  </si>
  <si>
    <t>45800NS</t>
  </si>
  <si>
    <t>46200AD</t>
  </si>
  <si>
    <t>46201AD</t>
  </si>
  <si>
    <t>46202AD</t>
  </si>
  <si>
    <t>47304AD</t>
  </si>
  <si>
    <t>47304AH</t>
  </si>
  <si>
    <t>47304CD</t>
  </si>
  <si>
    <t>47304CS</t>
  </si>
  <si>
    <t>47304MF</t>
  </si>
  <si>
    <t>47304MK</t>
  </si>
  <si>
    <t>47304NS</t>
  </si>
  <si>
    <t>47305AD</t>
  </si>
  <si>
    <t>47305AH</t>
  </si>
  <si>
    <t>47305CD</t>
  </si>
  <si>
    <t>47305CS</t>
  </si>
  <si>
    <t>47305MF</t>
  </si>
  <si>
    <t>47305MK</t>
  </si>
  <si>
    <t>47305NS</t>
  </si>
  <si>
    <t>47306AD</t>
  </si>
  <si>
    <t>47306AH</t>
  </si>
  <si>
    <t>47306CD</t>
  </si>
  <si>
    <t>47306CS</t>
  </si>
  <si>
    <t>47306MF</t>
  </si>
  <si>
    <t>47306MK</t>
  </si>
  <si>
    <t>47306NS</t>
  </si>
  <si>
    <t>47307AD</t>
  </si>
  <si>
    <t>47307AH</t>
  </si>
  <si>
    <t>47307CD</t>
  </si>
  <si>
    <t>47307CS</t>
  </si>
  <si>
    <t>47307MF</t>
  </si>
  <si>
    <t>47307MK</t>
  </si>
  <si>
    <t>47307NS</t>
  </si>
  <si>
    <t>47314AD</t>
  </si>
  <si>
    <t>47314AH</t>
  </si>
  <si>
    <t>47314MF</t>
  </si>
  <si>
    <t>47314MK</t>
  </si>
  <si>
    <t>47314NS</t>
  </si>
  <si>
    <t>47315AD</t>
  </si>
  <si>
    <t>47316AD</t>
  </si>
  <si>
    <t>LEAVE LIABILITY ON COSTS</t>
  </si>
  <si>
    <t>47316AH</t>
  </si>
  <si>
    <t>47316CD</t>
  </si>
  <si>
    <t>47316CS</t>
  </si>
  <si>
    <t>47316MF</t>
  </si>
  <si>
    <t>47316MK</t>
  </si>
  <si>
    <t>47316NS</t>
  </si>
  <si>
    <t>47354AD</t>
  </si>
  <si>
    <t>47354AH</t>
  </si>
  <si>
    <t>47354CD</t>
  </si>
  <si>
    <t>47354CS</t>
  </si>
  <si>
    <t>47354MF</t>
  </si>
  <si>
    <t>47354MK</t>
  </si>
  <si>
    <t>47354NS</t>
  </si>
  <si>
    <t>47401AD</t>
  </si>
  <si>
    <t>ANNUAL LEAVE</t>
  </si>
  <si>
    <t>47401AH</t>
  </si>
  <si>
    <t>47401CD</t>
  </si>
  <si>
    <t xml:space="preserve">ANNUAL LEAVE </t>
  </si>
  <si>
    <t>47401CS</t>
  </si>
  <si>
    <t>47401MF</t>
  </si>
  <si>
    <t>47401MK</t>
  </si>
  <si>
    <t>47401NS</t>
  </si>
  <si>
    <t>47403AD</t>
  </si>
  <si>
    <t>LONG SERVICE LEAVE</t>
  </si>
  <si>
    <t>47403AH</t>
  </si>
  <si>
    <t>47403CD</t>
  </si>
  <si>
    <t xml:space="preserve">LONG SERVICE LEAVE </t>
  </si>
  <si>
    <t>47403CS</t>
  </si>
  <si>
    <t>47403MF</t>
  </si>
  <si>
    <t>47403MK</t>
  </si>
  <si>
    <t>47403NS</t>
  </si>
  <si>
    <t>47404AD</t>
  </si>
  <si>
    <t>47404AH</t>
  </si>
  <si>
    <t>47404MF</t>
  </si>
  <si>
    <t>47404MK</t>
  </si>
  <si>
    <t>47404NS</t>
  </si>
  <si>
    <t>47405AD</t>
  </si>
  <si>
    <t>RECHARGE EAPL/NZ</t>
  </si>
  <si>
    <t>47405AH</t>
  </si>
  <si>
    <t>47405CD</t>
  </si>
  <si>
    <t>Recharge to EAPL</t>
  </si>
  <si>
    <t>47405CS</t>
  </si>
  <si>
    <t>47405MF</t>
  </si>
  <si>
    <t>47405MK</t>
  </si>
  <si>
    <t>47405NS</t>
  </si>
  <si>
    <t>47500AD</t>
  </si>
  <si>
    <t>47500AH</t>
  </si>
  <si>
    <t>47500CD</t>
  </si>
  <si>
    <t>47500CS</t>
  </si>
  <si>
    <t>47500MF</t>
  </si>
  <si>
    <t>47500MK</t>
  </si>
  <si>
    <t>47500NS</t>
  </si>
  <si>
    <t>47501AD</t>
  </si>
  <si>
    <t>47501AH</t>
  </si>
  <si>
    <t>47501CD</t>
  </si>
  <si>
    <t>47501CS</t>
  </si>
  <si>
    <t>47501MF</t>
  </si>
  <si>
    <t>47501MK</t>
  </si>
  <si>
    <t>47501NS</t>
  </si>
  <si>
    <t>47502AD</t>
  </si>
  <si>
    <t>M.V Insurance</t>
  </si>
  <si>
    <t>47502AH</t>
  </si>
  <si>
    <t>47502CD</t>
  </si>
  <si>
    <t>47502CS</t>
  </si>
  <si>
    <t>47502MF</t>
  </si>
  <si>
    <t>47502MK</t>
  </si>
  <si>
    <t>47502NS</t>
  </si>
  <si>
    <t>48300AD</t>
  </si>
  <si>
    <t>48300CD</t>
  </si>
  <si>
    <t>48300CS</t>
  </si>
  <si>
    <t>STOCK PROVISION</t>
  </si>
  <si>
    <t>48300CW</t>
  </si>
  <si>
    <t>49100CD</t>
  </si>
  <si>
    <t>49100CS</t>
  </si>
  <si>
    <t>49100CW</t>
  </si>
  <si>
    <t>49100AD</t>
  </si>
  <si>
    <t>49101CS</t>
  </si>
  <si>
    <t>49104CS</t>
  </si>
  <si>
    <t>M.FEE (INTERNAL)</t>
  </si>
  <si>
    <t>49400CS</t>
  </si>
  <si>
    <t>51100AD</t>
  </si>
  <si>
    <t>61100AD</t>
  </si>
  <si>
    <t>INTEREST PAID</t>
  </si>
  <si>
    <t>61101AD</t>
  </si>
  <si>
    <t>61200AD</t>
  </si>
  <si>
    <t>91100AD</t>
  </si>
  <si>
    <t>91100CS</t>
  </si>
  <si>
    <t>43500AD</t>
  </si>
  <si>
    <t>43500</t>
  </si>
  <si>
    <t>43500AH</t>
  </si>
  <si>
    <t>43500CD</t>
  </si>
  <si>
    <t>43500CS</t>
  </si>
  <si>
    <t>43500MF</t>
  </si>
  <si>
    <t>43500MK</t>
  </si>
  <si>
    <t>43500NS</t>
  </si>
  <si>
    <t>45100MK</t>
  </si>
  <si>
    <t>45100</t>
  </si>
  <si>
    <t>45101AD</t>
  </si>
  <si>
    <t>45101</t>
  </si>
  <si>
    <t>45101AH</t>
  </si>
  <si>
    <t>45101CD</t>
  </si>
  <si>
    <t>45101CS</t>
  </si>
  <si>
    <t>45101MF</t>
  </si>
  <si>
    <t>45101MK</t>
  </si>
  <si>
    <t>45101NS</t>
  </si>
  <si>
    <t>45102AD</t>
  </si>
  <si>
    <t>45102</t>
  </si>
  <si>
    <t>45102AH</t>
  </si>
  <si>
    <t>45102CD</t>
  </si>
  <si>
    <t>45102CS</t>
  </si>
  <si>
    <t>45102MF</t>
  </si>
  <si>
    <t>45102MK</t>
  </si>
  <si>
    <t>45102NS</t>
  </si>
  <si>
    <t>45103</t>
  </si>
  <si>
    <t>45103AH</t>
  </si>
  <si>
    <t>45103CD</t>
  </si>
  <si>
    <t>45103CS</t>
  </si>
  <si>
    <t>45103MF</t>
  </si>
  <si>
    <t>45103MK</t>
  </si>
  <si>
    <t>45103NS</t>
  </si>
  <si>
    <t>45303AD</t>
  </si>
  <si>
    <t>45303</t>
  </si>
  <si>
    <t>45303AH</t>
  </si>
  <si>
    <t>45303CD</t>
  </si>
  <si>
    <t>45303CS</t>
  </si>
  <si>
    <t>45303MF</t>
  </si>
  <si>
    <t>45303MK</t>
  </si>
  <si>
    <t>45303NS</t>
  </si>
  <si>
    <t>45403AD</t>
  </si>
  <si>
    <t>45403</t>
  </si>
  <si>
    <t>45403AH</t>
  </si>
  <si>
    <t>45403CD</t>
  </si>
  <si>
    <t>45403CS</t>
  </si>
  <si>
    <t>45403MF</t>
  </si>
  <si>
    <t>45403MK</t>
  </si>
  <si>
    <t>45403NS</t>
  </si>
  <si>
    <t>45500AD</t>
  </si>
  <si>
    <t>45500</t>
  </si>
  <si>
    <t>45500CD</t>
  </si>
  <si>
    <t>45500CS</t>
  </si>
  <si>
    <t>45500CW</t>
  </si>
  <si>
    <t>45500MF</t>
  </si>
  <si>
    <t>45500MK</t>
  </si>
  <si>
    <t>45700AD</t>
  </si>
  <si>
    <t>45700</t>
  </si>
  <si>
    <t>45700AH</t>
  </si>
  <si>
    <t>45700CD</t>
  </si>
  <si>
    <t>45700CS</t>
  </si>
  <si>
    <t>45700MF</t>
  </si>
  <si>
    <t>45700MK</t>
  </si>
  <si>
    <t>45700NS</t>
  </si>
  <si>
    <t>45701AD</t>
  </si>
  <si>
    <t>45701</t>
  </si>
  <si>
    <t>45701AH</t>
  </si>
  <si>
    <t>45701CD</t>
  </si>
  <si>
    <t>45701CS</t>
  </si>
  <si>
    <t>45701MF</t>
  </si>
  <si>
    <t>45701MK</t>
  </si>
  <si>
    <t>45701NS</t>
  </si>
  <si>
    <t>45711AD</t>
  </si>
  <si>
    <t>45711</t>
  </si>
  <si>
    <t>45711AH</t>
  </si>
  <si>
    <t>45711CD</t>
  </si>
  <si>
    <t>45711CS</t>
  </si>
  <si>
    <t>45711MF</t>
  </si>
  <si>
    <t>45711MK</t>
  </si>
  <si>
    <t>45711NS</t>
  </si>
  <si>
    <t>45712AD</t>
  </si>
  <si>
    <t>45712</t>
  </si>
  <si>
    <t>45712AH</t>
  </si>
  <si>
    <t>45712CD</t>
  </si>
  <si>
    <t>45712CS</t>
  </si>
  <si>
    <t>45712MF</t>
  </si>
  <si>
    <t>45712MK</t>
  </si>
  <si>
    <t>45712NS</t>
  </si>
  <si>
    <t>45713AD</t>
  </si>
  <si>
    <t>45713</t>
  </si>
  <si>
    <t>45713AH</t>
  </si>
  <si>
    <t>45713CD</t>
  </si>
  <si>
    <t>45713CS</t>
  </si>
  <si>
    <t>45713MF</t>
  </si>
  <si>
    <t>45713MK</t>
  </si>
  <si>
    <t>45713NS</t>
  </si>
  <si>
    <t>45715AD</t>
  </si>
  <si>
    <t>45715</t>
  </si>
  <si>
    <t>45715AH</t>
  </si>
  <si>
    <t>45715CD</t>
  </si>
  <si>
    <t>45715CS</t>
  </si>
  <si>
    <t>45715MF</t>
  </si>
  <si>
    <t>45715MK</t>
  </si>
  <si>
    <t>45715NS</t>
  </si>
  <si>
    <t>45716AD</t>
  </si>
  <si>
    <t>45716</t>
  </si>
  <si>
    <t>45716AH</t>
  </si>
  <si>
    <t>45716CD</t>
  </si>
  <si>
    <t>45716CS</t>
  </si>
  <si>
    <t>45716MF</t>
  </si>
  <si>
    <t>45716MK</t>
  </si>
  <si>
    <t>45716NS</t>
  </si>
  <si>
    <t>45717AD</t>
  </si>
  <si>
    <t>45717</t>
  </si>
  <si>
    <t>45717AH</t>
  </si>
  <si>
    <t>45717CD</t>
  </si>
  <si>
    <t>45717CS</t>
  </si>
  <si>
    <t>45717MF</t>
  </si>
  <si>
    <t>45717MK</t>
  </si>
  <si>
    <t>45717NS</t>
  </si>
  <si>
    <t>45718</t>
  </si>
  <si>
    <t>45718AH</t>
  </si>
  <si>
    <t>45718MF</t>
  </si>
  <si>
    <t>45718MK</t>
  </si>
  <si>
    <t>45718NS</t>
  </si>
  <si>
    <t>45719AD</t>
  </si>
  <si>
    <t>45719</t>
  </si>
  <si>
    <t>45719AH</t>
  </si>
  <si>
    <t>45719CD</t>
  </si>
  <si>
    <t>45719CS</t>
  </si>
  <si>
    <t>45719MF</t>
  </si>
  <si>
    <t>45719MK</t>
  </si>
  <si>
    <t>45719NS</t>
  </si>
  <si>
    <t>45720AD</t>
  </si>
  <si>
    <t>45720</t>
  </si>
  <si>
    <t>45720AH</t>
  </si>
  <si>
    <t>45720CD</t>
  </si>
  <si>
    <t>45720CS</t>
  </si>
  <si>
    <t>45720MF</t>
  </si>
  <si>
    <t>45720MK</t>
  </si>
  <si>
    <t>45720NS</t>
  </si>
  <si>
    <t>45721AD</t>
  </si>
  <si>
    <t>45721</t>
  </si>
  <si>
    <t>45721AH</t>
  </si>
  <si>
    <t>45721CD</t>
  </si>
  <si>
    <t>45721CS</t>
  </si>
  <si>
    <t>45721MF</t>
  </si>
  <si>
    <t>45721MK</t>
  </si>
  <si>
    <t>45721NS</t>
  </si>
  <si>
    <t>45722AD</t>
  </si>
  <si>
    <t>45722</t>
  </si>
  <si>
    <t>45722AH</t>
  </si>
  <si>
    <t>45722CD</t>
  </si>
  <si>
    <t>45722CS</t>
  </si>
  <si>
    <t>45722MF</t>
  </si>
  <si>
    <t>45722MK</t>
  </si>
  <si>
    <t>45722NS</t>
  </si>
  <si>
    <t>45724AD</t>
  </si>
  <si>
    <t>45724</t>
  </si>
  <si>
    <t>45724AH</t>
  </si>
  <si>
    <t>45724CD</t>
  </si>
  <si>
    <t>45724CS</t>
  </si>
  <si>
    <t>45724MF</t>
  </si>
  <si>
    <t>45724MK</t>
  </si>
  <si>
    <t>45724NS</t>
  </si>
  <si>
    <t>45725AD</t>
  </si>
  <si>
    <t>45725</t>
  </si>
  <si>
    <t>45725AH</t>
  </si>
  <si>
    <t>45725CD</t>
  </si>
  <si>
    <t>45725CS</t>
  </si>
  <si>
    <t>45725MF</t>
  </si>
  <si>
    <t>45725MK</t>
  </si>
  <si>
    <t>45725NS</t>
  </si>
  <si>
    <t>46200</t>
  </si>
  <si>
    <t>46200AH</t>
  </si>
  <si>
    <t>46200CD</t>
  </si>
  <si>
    <t>46200CS</t>
  </si>
  <si>
    <t>46200MF</t>
  </si>
  <si>
    <t>46200MK</t>
  </si>
  <si>
    <t>46200NS</t>
  </si>
  <si>
    <t>46201</t>
  </si>
  <si>
    <t>46201AH</t>
  </si>
  <si>
    <t>46201CD</t>
  </si>
  <si>
    <t>46201CS</t>
  </si>
  <si>
    <t>46201MF</t>
  </si>
  <si>
    <t>46201MK</t>
  </si>
  <si>
    <t>46201NS</t>
  </si>
  <si>
    <t>46202</t>
  </si>
  <si>
    <t>46202AH</t>
  </si>
  <si>
    <t>46202CD</t>
  </si>
  <si>
    <t>46202CS</t>
  </si>
  <si>
    <t>46202MF</t>
  </si>
  <si>
    <t>46202MK</t>
  </si>
  <si>
    <t>46202NS</t>
  </si>
  <si>
    <t>47314CD</t>
  </si>
  <si>
    <t>47314</t>
  </si>
  <si>
    <t>47314CS</t>
  </si>
  <si>
    <t>47315</t>
  </si>
  <si>
    <t>47315AH</t>
  </si>
  <si>
    <t>47315CD</t>
  </si>
  <si>
    <t>47315CS</t>
  </si>
  <si>
    <t>47315MF</t>
  </si>
  <si>
    <t>47315MK</t>
  </si>
  <si>
    <t>47315NS</t>
  </si>
  <si>
    <t>47600AD</t>
  </si>
  <si>
    <t>47600</t>
  </si>
  <si>
    <t>47600CD</t>
  </si>
  <si>
    <t>47600CS</t>
  </si>
  <si>
    <t>47600CW</t>
  </si>
  <si>
    <t>48101AD</t>
  </si>
  <si>
    <t>48101</t>
  </si>
  <si>
    <t>48101CD</t>
  </si>
  <si>
    <t>48101CS</t>
  </si>
  <si>
    <t>48101CW</t>
  </si>
  <si>
    <t>48200AD</t>
  </si>
  <si>
    <t>48200</t>
  </si>
  <si>
    <t>48200CD</t>
  </si>
  <si>
    <t>48200CS</t>
  </si>
  <si>
    <t>48200CW</t>
  </si>
  <si>
    <t>XXXXXCS</t>
  </si>
  <si>
    <t>FE</t>
  </si>
  <si>
    <t>FS</t>
  </si>
  <si>
    <t>FT</t>
  </si>
  <si>
    <t>LU</t>
  </si>
  <si>
    <t>RF</t>
  </si>
  <si>
    <t>RX</t>
  </si>
  <si>
    <t>SU</t>
  </si>
  <si>
    <t>TI</t>
  </si>
  <si>
    <t>TS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</si>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</sst>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$&quot;* #,##0.00_-;\-&quot;$&quot;* #,##0.00_-;_-&quot;$&quot;* &quot;-&quot;??_-;_-@"/>
    <numFmt numFmtId="165" formatCode="0.0%"/>
    <numFmt numFmtId="166" formatCode="_-* #,##0_-;\-* #,##0_-;_-* &quot;-&quot;??_-;_-@"/>
    <numFmt numFmtId="167" formatCode="[$-409]mmmm\-yy"/>
    <numFmt numFmtId="168" formatCode="_-* #,##0.00_-;\-* #,##0.00_-;_-* &quot;-&quot;??_-;_-@"/>
  </numFmts>
  <fonts count="35">
    <font>
      <sz val="10.0"/>
      <color rgb="FF000000"/>
      <name val="Arial"/>
    </font>
    <font>
      <b/>
      <sz val="10.0"/>
      <name val="Tahoma"/>
    </font>
    <font>
      <sz val="10.0"/>
      <name val="Arial"/>
    </font>
    <font>
      <b/>
      <sz val="10.0"/>
      <color rgb="FFFF0000"/>
      <name val="Tahoma"/>
    </font>
    <font>
      <b/>
      <sz val="10.0"/>
      <color rgb="FFFF0000"/>
      <name val="Arial"/>
    </font>
    <font>
      <sz val="10.0"/>
      <name val="Tahoma"/>
    </font>
    <font/>
    <font>
      <b/>
      <i/>
      <sz val="10.0"/>
      <name val="Tahoma"/>
    </font>
    <font>
      <i/>
      <sz val="10.0"/>
      <name val="Tahoma"/>
    </font>
    <font>
      <b/>
      <sz val="10.0"/>
      <name val="Arial"/>
    </font>
    <font>
      <sz val="10.0"/>
      <color rgb="FFFF0000"/>
      <name val="Tahoma"/>
    </font>
    <font>
      <sz val="10.0"/>
      <color rgb="FFFF0000"/>
      <name val="Arial"/>
    </font>
    <font>
      <sz val="10.0"/>
      <color rgb="FFFFFFFF"/>
      <name val="Arial"/>
    </font>
    <font>
      <b/>
      <sz val="12.0"/>
      <color rgb="FFFF0000"/>
      <name val="Comic Sans MS"/>
    </font>
    <font>
      <b/>
      <u/>
      <sz val="10.0"/>
      <color rgb="FF808080"/>
      <name val="Arial"/>
    </font>
    <font>
      <b/>
      <u/>
      <sz val="10.0"/>
      <color rgb="FF333399"/>
      <name val="Arial"/>
    </font>
    <font>
      <b/>
      <u/>
      <sz val="10.0"/>
      <color rgb="FFFF0000"/>
      <name val="Arial"/>
    </font>
    <font>
      <b/>
      <u/>
      <sz val="10.0"/>
      <name val="Arial"/>
    </font>
    <font>
      <b/>
      <u/>
      <sz val="8.0"/>
      <name val="Arial"/>
    </font>
    <font>
      <b/>
      <u/>
      <sz val="8.0"/>
      <name val="Arial"/>
    </font>
    <font>
      <sz val="10.0"/>
      <color rgb="FF808080"/>
      <name val="Arial"/>
    </font>
    <font>
      <sz val="10.0"/>
      <color rgb="FF333399"/>
      <name val="Arial"/>
    </font>
    <font>
      <sz val="8.0"/>
      <name val="Arial"/>
    </font>
    <font>
      <b/>
      <sz val="10.0"/>
      <color rgb="FF808080"/>
      <name val="Arial"/>
    </font>
    <font>
      <b/>
      <sz val="10.0"/>
      <color rgb="FF333399"/>
      <name val="Arial"/>
    </font>
    <font>
      <b/>
      <sz val="8.0"/>
      <name val="Arial"/>
    </font>
    <font>
      <b/>
      <i/>
      <sz val="10.0"/>
      <name val="Arial"/>
    </font>
    <font>
      <i/>
      <sz val="10.0"/>
      <name val="Arial"/>
    </font>
    <font>
      <i/>
      <sz val="10.0"/>
      <color rgb="FFFF0000"/>
      <name val="Arial"/>
    </font>
    <font>
      <sz val="10.0"/>
      <name val="Arimo"/>
    </font>
    <font>
      <b/>
      <sz val="9.0"/>
      <name val="Arial Narrow"/>
    </font>
    <font>
      <sz val="9.0"/>
      <name val="Arial Narrow"/>
    </font>
    <font>
      <b/>
      <sz val="9.0"/>
      <color rgb="FF000000"/>
      <name val="Arial Narrow"/>
    </font>
    <font>
      <sz val="9.0"/>
      <color rgb="FF000000"/>
      <name val="Arial Narrow"/>
    </font>
    <font>
      <b/>
      <sz val="9.0"/>
      <name val="Comic Sans M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DBE5F1"/>
        <bgColor rgb="FFDBE5F1"/>
      </patternFill>
    </fill>
    <fill>
      <patternFill patternType="solid">
        <fgColor rgb="FFFFCC00"/>
        <bgColor rgb="FFFFCC0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CC99FF"/>
        <bgColor rgb="FFCC99FF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</fills>
  <borders count="62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right/>
      <top/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/>
      <right style="thin">
        <color rgb="FF000000"/>
      </right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5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17" xfId="0" applyAlignment="1" applyFont="1" applyNumberFormat="1">
      <alignment horizontal="center"/>
    </xf>
    <xf borderId="0" fillId="0" fontId="2" numFmtId="1" xfId="0" applyFont="1" applyNumberFormat="1"/>
    <xf borderId="0" fillId="0" fontId="4" numFmtId="0" xfId="0" applyFont="1"/>
    <xf borderId="0" fillId="0" fontId="5" numFmtId="0" xfId="0" applyFont="1"/>
    <xf borderId="1" fillId="0" fontId="1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1" fillId="0" fontId="1" numFmtId="0" xfId="0" applyAlignment="1" applyBorder="1" applyFont="1">
      <alignment horizontal="center" vertical="center"/>
    </xf>
    <xf borderId="0" fillId="0" fontId="5" numFmtId="17" xfId="0" applyFont="1" applyNumberFormat="1"/>
    <xf borderId="4" fillId="0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4" fillId="0" fontId="5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1" numFmtId="0" xfId="0" applyFont="1"/>
    <xf borderId="4" fillId="0" fontId="5" numFmtId="0" xfId="0" applyBorder="1" applyFont="1"/>
    <xf borderId="5" fillId="0" fontId="5" numFmtId="0" xfId="0" applyAlignment="1" applyBorder="1" applyFont="1">
      <alignment horizontal="center"/>
    </xf>
    <xf borderId="0" fillId="0" fontId="5" numFmtId="165" xfId="0" applyFont="1" applyNumberFormat="1"/>
    <xf borderId="0" fillId="0" fontId="8" numFmtId="0" xfId="0" applyFont="1"/>
    <xf borderId="0" fillId="0" fontId="8" numFmtId="165" xfId="0" applyFont="1" applyNumberFormat="1"/>
    <xf borderId="5" fillId="0" fontId="5" numFmtId="0" xfId="0" applyBorder="1" applyFont="1"/>
    <xf borderId="5" fillId="0" fontId="5" numFmtId="165" xfId="0" applyBorder="1" applyFont="1" applyNumberFormat="1"/>
    <xf borderId="0" fillId="0" fontId="5" numFmtId="0" xfId="0" applyAlignment="1" applyFont="1">
      <alignment horizontal="left"/>
    </xf>
    <xf borderId="6" fillId="2" fontId="5" numFmtId="3" xfId="0" applyBorder="1" applyFill="1" applyFont="1" applyNumberFormat="1"/>
    <xf borderId="4" fillId="0" fontId="5" numFmtId="38" xfId="0" applyBorder="1" applyFont="1" applyNumberFormat="1"/>
    <xf borderId="0" fillId="0" fontId="5" numFmtId="3" xfId="0" applyFont="1" applyNumberFormat="1"/>
    <xf borderId="0" fillId="0" fontId="5" numFmtId="38" xfId="0" applyFont="1" applyNumberFormat="1"/>
    <xf borderId="0" fillId="0" fontId="8" numFmtId="9" xfId="0" applyFont="1" applyNumberFormat="1"/>
    <xf borderId="4" fillId="0" fontId="5" numFmtId="166" xfId="0" applyBorder="1" applyFont="1" applyNumberFormat="1"/>
    <xf borderId="4" fillId="0" fontId="5" numFmtId="3" xfId="0" applyBorder="1" applyFont="1" applyNumberFormat="1"/>
    <xf borderId="0" fillId="0" fontId="1" numFmtId="0" xfId="0" applyAlignment="1" applyFont="1">
      <alignment horizontal="left"/>
    </xf>
    <xf borderId="4" fillId="0" fontId="1" numFmtId="38" xfId="0" applyBorder="1" applyFont="1" applyNumberFormat="1"/>
    <xf borderId="0" fillId="0" fontId="7" numFmtId="0" xfId="0" applyFont="1"/>
    <xf borderId="0" fillId="0" fontId="1" numFmtId="38" xfId="0" applyFont="1" applyNumberFormat="1"/>
    <xf borderId="0" fillId="0" fontId="1" numFmtId="165" xfId="0" applyFont="1" applyNumberFormat="1"/>
    <xf borderId="0" fillId="0" fontId="7" numFmtId="165" xfId="0" applyFont="1" applyNumberFormat="1"/>
    <xf borderId="5" fillId="0" fontId="1" numFmtId="165" xfId="0" applyBorder="1" applyFont="1" applyNumberFormat="1"/>
    <xf borderId="0" fillId="0" fontId="9" numFmtId="0" xfId="0" applyFont="1"/>
    <xf borderId="7" fillId="0" fontId="1" numFmtId="38" xfId="0" applyBorder="1" applyFont="1" applyNumberFormat="1"/>
    <xf borderId="8" fillId="0" fontId="7" numFmtId="165" xfId="0" applyBorder="1" applyFont="1" applyNumberFormat="1"/>
    <xf borderId="8" fillId="0" fontId="1" numFmtId="38" xfId="0" applyBorder="1" applyFont="1" applyNumberFormat="1"/>
    <xf borderId="8" fillId="0" fontId="1" numFmtId="165" xfId="0" applyBorder="1" applyFont="1" applyNumberFormat="1"/>
    <xf borderId="9" fillId="0" fontId="1" numFmtId="165" xfId="0" applyBorder="1" applyFont="1" applyNumberFormat="1"/>
    <xf borderId="10" fillId="0" fontId="1" numFmtId="3" xfId="0" applyBorder="1" applyFont="1" applyNumberFormat="1"/>
    <xf borderId="11" fillId="0" fontId="1" numFmtId="165" xfId="0" applyBorder="1" applyFont="1" applyNumberFormat="1"/>
    <xf borderId="11" fillId="0" fontId="7" numFmtId="165" xfId="0" applyBorder="1" applyFont="1" applyNumberFormat="1"/>
    <xf borderId="11" fillId="0" fontId="1" numFmtId="3" xfId="0" applyBorder="1" applyFont="1" applyNumberFormat="1"/>
    <xf borderId="11" fillId="0" fontId="7" numFmtId="9" xfId="0" applyBorder="1" applyFont="1" applyNumberFormat="1"/>
    <xf borderId="11" fillId="0" fontId="1" numFmtId="9" xfId="0" applyBorder="1" applyFont="1" applyNumberFormat="1"/>
    <xf borderId="12" fillId="0" fontId="1" numFmtId="165" xfId="0" applyBorder="1" applyFont="1" applyNumberFormat="1"/>
    <xf borderId="2" fillId="0" fontId="5" numFmtId="3" xfId="0" applyBorder="1" applyFont="1" applyNumberFormat="1"/>
    <xf borderId="7" fillId="0" fontId="5" numFmtId="38" xfId="0" applyBorder="1" applyFont="1" applyNumberFormat="1"/>
    <xf borderId="8" fillId="0" fontId="5" numFmtId="165" xfId="0" applyBorder="1" applyFont="1" applyNumberFormat="1"/>
    <xf borderId="8" fillId="0" fontId="8" numFmtId="165" xfId="0" applyBorder="1" applyFont="1" applyNumberFormat="1"/>
    <xf borderId="8" fillId="0" fontId="5" numFmtId="38" xfId="0" applyBorder="1" applyFont="1" applyNumberFormat="1"/>
    <xf borderId="9" fillId="0" fontId="5" numFmtId="165" xfId="0" applyBorder="1" applyFont="1" applyNumberFormat="1"/>
    <xf borderId="13" fillId="0" fontId="1" numFmtId="0" xfId="0" applyBorder="1" applyFont="1"/>
    <xf borderId="14" fillId="0" fontId="5" numFmtId="165" xfId="0" applyBorder="1" applyFont="1" applyNumberFormat="1"/>
    <xf borderId="14" fillId="0" fontId="8" numFmtId="165" xfId="0" applyBorder="1" applyFont="1" applyNumberFormat="1"/>
    <xf borderId="10" fillId="0" fontId="1" numFmtId="38" xfId="0" applyBorder="1" applyFont="1" applyNumberFormat="1"/>
    <xf borderId="11" fillId="0" fontId="1" numFmtId="38" xfId="0" applyBorder="1" applyFont="1" applyNumberFormat="1"/>
    <xf borderId="0" fillId="0" fontId="10" numFmtId="0" xfId="0" applyFont="1"/>
    <xf borderId="0" fillId="0" fontId="10" numFmtId="38" xfId="0" applyFont="1" applyNumberFormat="1"/>
    <xf borderId="0" fillId="0" fontId="11" numFmtId="0" xfId="0" applyFont="1"/>
    <xf borderId="0" fillId="0" fontId="2" numFmtId="3" xfId="0" applyFont="1" applyNumberFormat="1"/>
    <xf borderId="0" fillId="0" fontId="12" numFmtId="38" xfId="0" applyFont="1" applyNumberFormat="1"/>
    <xf borderId="13" fillId="0" fontId="9" numFmtId="0" xfId="0" applyBorder="1" applyFont="1"/>
    <xf borderId="0" fillId="0" fontId="9" numFmtId="0" xfId="0" applyAlignment="1" applyFont="1">
      <alignment horizontal="center"/>
    </xf>
    <xf borderId="0" fillId="0" fontId="13" numFmtId="167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15" fillId="3" fontId="9" numFmtId="0" xfId="0" applyAlignment="1" applyBorder="1" applyFill="1" applyFont="1">
      <alignment horizontal="center" vertical="center"/>
    </xf>
    <xf borderId="16" fillId="0" fontId="14" numFmtId="0" xfId="0" applyAlignment="1" applyBorder="1" applyFont="1">
      <alignment horizontal="center" shrinkToFit="0" wrapText="1"/>
    </xf>
    <xf borderId="17" fillId="0" fontId="15" numFmtId="0" xfId="0" applyAlignment="1" applyBorder="1" applyFont="1">
      <alignment horizontal="center" shrinkToFit="0" wrapText="1"/>
    </xf>
    <xf borderId="17" fillId="0" fontId="16" numFmtId="0" xfId="0" applyAlignment="1" applyBorder="1" applyFont="1">
      <alignment horizontal="center" shrinkToFit="0" wrapText="1"/>
    </xf>
    <xf borderId="17" fillId="0" fontId="17" numFmtId="0" xfId="0" applyAlignment="1" applyBorder="1" applyFont="1">
      <alignment horizontal="center" shrinkToFit="0" wrapText="1"/>
    </xf>
    <xf borderId="17" fillId="0" fontId="18" numFmtId="165" xfId="0" applyAlignment="1" applyBorder="1" applyFont="1" applyNumberFormat="1">
      <alignment horizontal="center" shrinkToFit="0" wrapText="1"/>
    </xf>
    <xf borderId="18" fillId="0" fontId="19" numFmtId="165" xfId="0" applyAlignment="1" applyBorder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19" fillId="0" fontId="20" numFmtId="3" xfId="0" applyBorder="1" applyFont="1" applyNumberFormat="1"/>
    <xf borderId="0" fillId="0" fontId="21" numFmtId="3" xfId="0" applyFont="1" applyNumberFormat="1"/>
    <xf borderId="0" fillId="0" fontId="11" numFmtId="3" xfId="0" applyFont="1" applyNumberFormat="1"/>
    <xf borderId="0" fillId="0" fontId="22" numFmtId="165" xfId="0" applyFont="1" applyNumberFormat="1"/>
    <xf borderId="20" fillId="0" fontId="22" numFmtId="165" xfId="0" applyBorder="1" applyFont="1" applyNumberFormat="1"/>
    <xf borderId="19" fillId="0" fontId="23" numFmtId="3" xfId="0" applyBorder="1" applyFont="1" applyNumberFormat="1"/>
    <xf borderId="0" fillId="0" fontId="24" numFmtId="3" xfId="0" applyFont="1" applyNumberFormat="1"/>
    <xf borderId="0" fillId="0" fontId="4" numFmtId="3" xfId="0" applyFont="1" applyNumberFormat="1"/>
    <xf borderId="0" fillId="0" fontId="25" numFmtId="165" xfId="0" applyFont="1" applyNumberFormat="1"/>
    <xf borderId="20" fillId="0" fontId="25" numFmtId="165" xfId="0" applyBorder="1" applyFont="1" applyNumberFormat="1"/>
    <xf borderId="0" fillId="0" fontId="22" numFmtId="0" xfId="0" applyFont="1"/>
    <xf borderId="20" fillId="0" fontId="22" numFmtId="0" xfId="0" applyBorder="1" applyFont="1"/>
    <xf borderId="19" fillId="0" fontId="20" numFmtId="165" xfId="0" applyBorder="1" applyFont="1" applyNumberFormat="1"/>
    <xf borderId="0" fillId="0" fontId="21" numFmtId="165" xfId="0" applyFont="1" applyNumberFormat="1"/>
    <xf borderId="0" fillId="0" fontId="11" numFmtId="165" xfId="0" applyFont="1" applyNumberFormat="1"/>
    <xf borderId="21" fillId="0" fontId="20" numFmtId="165" xfId="0" applyBorder="1" applyFont="1" applyNumberFormat="1"/>
    <xf borderId="22" fillId="0" fontId="21" numFmtId="165" xfId="0" applyBorder="1" applyFont="1" applyNumberFormat="1"/>
    <xf borderId="22" fillId="0" fontId="11" numFmtId="165" xfId="0" applyBorder="1" applyFont="1" applyNumberFormat="1"/>
    <xf borderId="22" fillId="0" fontId="2" numFmtId="0" xfId="0" applyBorder="1" applyFont="1"/>
    <xf borderId="22" fillId="0" fontId="22" numFmtId="0" xfId="0" applyBorder="1" applyFont="1"/>
    <xf borderId="23" fillId="0" fontId="22" numFmtId="0" xfId="0" applyBorder="1" applyFont="1"/>
    <xf borderId="4" fillId="0" fontId="2" numFmtId="0" xfId="0" applyAlignment="1" applyBorder="1" applyFont="1">
      <alignment horizontal="center"/>
    </xf>
    <xf borderId="0" fillId="0" fontId="26" numFmtId="0" xfId="0" applyAlignment="1" applyFont="1">
      <alignment horizontal="center"/>
    </xf>
    <xf borderId="0" fillId="0" fontId="2" numFmtId="0" xfId="0" applyAlignment="1" applyFont="1">
      <alignment horizontal="center"/>
    </xf>
    <xf borderId="5" fillId="0" fontId="7" numFmtId="164" xfId="0" applyAlignment="1" applyBorder="1" applyFont="1" applyNumberFormat="1">
      <alignment horizontal="center"/>
    </xf>
    <xf borderId="4" fillId="0" fontId="2" numFmtId="0" xfId="0" applyBorder="1" applyFont="1"/>
    <xf borderId="0" fillId="0" fontId="27" numFmtId="165" xfId="0" applyFont="1" applyNumberFormat="1"/>
    <xf borderId="0" fillId="0" fontId="2" numFmtId="165" xfId="0" applyFont="1" applyNumberFormat="1"/>
    <xf borderId="5" fillId="0" fontId="27" numFmtId="165" xfId="0" applyBorder="1" applyFont="1" applyNumberFormat="1"/>
    <xf borderId="4" fillId="0" fontId="2" numFmtId="166" xfId="0" applyBorder="1" applyFont="1" applyNumberFormat="1"/>
    <xf borderId="0" fillId="0" fontId="2" numFmtId="166" xfId="0" applyFont="1" applyNumberFormat="1"/>
    <xf borderId="0" fillId="0" fontId="2" numFmtId="17" xfId="0" applyFont="1" applyNumberFormat="1"/>
    <xf borderId="1" fillId="0" fontId="1" numFmtId="164" xfId="0" applyAlignment="1" applyBorder="1" applyFont="1" applyNumberFormat="1">
      <alignment horizontal="center"/>
    </xf>
    <xf borderId="1" fillId="0" fontId="9" numFmtId="0" xfId="0" applyAlignment="1" applyBorder="1" applyFont="1">
      <alignment horizontal="center"/>
    </xf>
    <xf borderId="5" fillId="0" fontId="6" numFmtId="0" xfId="0" applyBorder="1" applyFont="1"/>
    <xf borderId="0" fillId="0" fontId="9" numFmtId="49" xfId="0" applyFont="1" applyNumberFormat="1"/>
    <xf borderId="0" fillId="0" fontId="2" numFmtId="0" xfId="0" applyAlignment="1" applyFont="1">
      <alignment horizontal="left"/>
    </xf>
    <xf borderId="4" fillId="0" fontId="2" numFmtId="3" xfId="0" applyBorder="1" applyFont="1" applyNumberFormat="1"/>
    <xf borderId="0" fillId="0" fontId="10" numFmtId="3" xfId="0" applyFont="1" applyNumberFormat="1"/>
    <xf borderId="10" fillId="0" fontId="9" numFmtId="166" xfId="0" applyBorder="1" applyFont="1" applyNumberFormat="1"/>
    <xf borderId="11" fillId="0" fontId="26" numFmtId="165" xfId="0" applyBorder="1" applyFont="1" applyNumberFormat="1"/>
    <xf borderId="11" fillId="0" fontId="9" numFmtId="166" xfId="0" applyBorder="1" applyFont="1" applyNumberFormat="1"/>
    <xf borderId="12" fillId="0" fontId="26" numFmtId="165" xfId="0" applyBorder="1" applyFont="1" applyNumberFormat="1"/>
    <xf borderId="24" fillId="0" fontId="9" numFmtId="165" xfId="0" applyBorder="1" applyFont="1" applyNumberFormat="1"/>
    <xf borderId="1" fillId="0" fontId="11" numFmtId="166" xfId="0" applyBorder="1" applyFont="1" applyNumberFormat="1"/>
    <xf borderId="2" fillId="0" fontId="28" numFmtId="165" xfId="0" applyBorder="1" applyFont="1" applyNumberFormat="1"/>
    <xf borderId="2" fillId="0" fontId="11" numFmtId="166" xfId="0" applyBorder="1" applyFont="1" applyNumberFormat="1"/>
    <xf borderId="2" fillId="0" fontId="28" numFmtId="0" xfId="0" applyBorder="1" applyFont="1"/>
    <xf borderId="3" fillId="0" fontId="28" numFmtId="165" xfId="0" applyBorder="1" applyFont="1" applyNumberFormat="1"/>
    <xf borderId="0" fillId="0" fontId="27" numFmtId="0" xfId="0" applyFont="1"/>
    <xf borderId="5" fillId="0" fontId="27" numFmtId="0" xfId="0" applyBorder="1" applyFont="1"/>
    <xf borderId="4" fillId="0" fontId="9" numFmtId="166" xfId="0" applyBorder="1" applyFont="1" applyNumberFormat="1"/>
    <xf borderId="0" fillId="0" fontId="26" numFmtId="165" xfId="0" applyFont="1" applyNumberFormat="1"/>
    <xf borderId="0" fillId="0" fontId="9" numFmtId="166" xfId="0" applyFont="1" applyNumberFormat="1"/>
    <xf borderId="5" fillId="0" fontId="26" numFmtId="165" xfId="0" applyBorder="1" applyFont="1" applyNumberFormat="1"/>
    <xf borderId="0" fillId="0" fontId="9" numFmtId="165" xfId="0" applyFont="1" applyNumberFormat="1"/>
    <xf borderId="10" fillId="0" fontId="2" numFmtId="3" xfId="0" applyBorder="1" applyFont="1" applyNumberFormat="1"/>
    <xf borderId="11" fillId="0" fontId="27" numFmtId="165" xfId="0" applyBorder="1" applyFont="1" applyNumberFormat="1"/>
    <xf borderId="11" fillId="0" fontId="2" numFmtId="3" xfId="0" applyBorder="1" applyFont="1" applyNumberFormat="1"/>
    <xf borderId="11" fillId="0" fontId="2" numFmtId="166" xfId="0" applyBorder="1" applyFont="1" applyNumberFormat="1"/>
    <xf borderId="12" fillId="0" fontId="27" numFmtId="165" xfId="0" applyBorder="1" applyFont="1" applyNumberFormat="1"/>
    <xf borderId="24" fillId="0" fontId="2" numFmtId="165" xfId="0" applyBorder="1" applyFont="1" applyNumberFormat="1"/>
    <xf borderId="0" fillId="0" fontId="2" numFmtId="168" xfId="0" applyFont="1" applyNumberFormat="1"/>
    <xf borderId="15" fillId="4" fontId="2" numFmtId="3" xfId="0" applyBorder="1" applyFill="1" applyFont="1" applyNumberFormat="1"/>
    <xf quotePrefix="1" borderId="0" fillId="0" fontId="5" numFmtId="0" xfId="0" applyFont="1"/>
    <xf borderId="0" fillId="0" fontId="3" numFmtId="3" xfId="0" applyFont="1" applyNumberFormat="1"/>
    <xf borderId="13" fillId="0" fontId="3" numFmtId="3" xfId="0" applyBorder="1" applyFont="1" applyNumberFormat="1"/>
    <xf borderId="15" fillId="5" fontId="2" numFmtId="0" xfId="0" applyBorder="1" applyFill="1" applyFont="1"/>
    <xf borderId="15" fillId="5" fontId="5" numFmtId="3" xfId="0" applyBorder="1" applyFont="1" applyNumberFormat="1"/>
    <xf borderId="15" fillId="5" fontId="8" numFmtId="165" xfId="0" applyBorder="1" applyFont="1" applyNumberFormat="1"/>
    <xf borderId="15" fillId="5" fontId="8" numFmtId="9" xfId="0" applyBorder="1" applyFont="1" applyNumberFormat="1"/>
    <xf borderId="15" fillId="5" fontId="5" numFmtId="0" xfId="0" applyBorder="1" applyFont="1"/>
    <xf borderId="15" fillId="4" fontId="2" numFmtId="0" xfId="0" applyBorder="1" applyFont="1"/>
    <xf borderId="25" fillId="4" fontId="2" numFmtId="0" xfId="0" applyBorder="1" applyFont="1"/>
    <xf borderId="26" fillId="4" fontId="2" numFmtId="0" xfId="0" applyBorder="1" applyFont="1"/>
    <xf borderId="26" fillId="4" fontId="5" numFmtId="3" xfId="0" applyBorder="1" applyFont="1" applyNumberFormat="1"/>
    <xf borderId="26" fillId="4" fontId="8" numFmtId="165" xfId="0" applyBorder="1" applyFont="1" applyNumberFormat="1"/>
    <xf borderId="26" fillId="4" fontId="8" numFmtId="9" xfId="0" applyBorder="1" applyFont="1" applyNumberFormat="1"/>
    <xf borderId="27" fillId="4" fontId="5" numFmtId="0" xfId="0" applyBorder="1" applyFont="1"/>
    <xf borderId="28" fillId="4" fontId="2" numFmtId="0" xfId="0" applyBorder="1" applyFont="1"/>
    <xf borderId="15" fillId="4" fontId="5" numFmtId="3" xfId="0" applyBorder="1" applyFont="1" applyNumberFormat="1"/>
    <xf borderId="15" fillId="4" fontId="8" numFmtId="165" xfId="0" applyBorder="1" applyFont="1" applyNumberFormat="1"/>
    <xf borderId="15" fillId="4" fontId="8" numFmtId="9" xfId="0" applyBorder="1" applyFont="1" applyNumberFormat="1"/>
    <xf borderId="29" fillId="4" fontId="5" numFmtId="0" xfId="0" applyBorder="1" applyFont="1"/>
    <xf borderId="30" fillId="4" fontId="2" numFmtId="0" xfId="0" applyBorder="1" applyFont="1"/>
    <xf borderId="31" fillId="4" fontId="2" numFmtId="0" xfId="0" applyBorder="1" applyFont="1"/>
    <xf borderId="31" fillId="4" fontId="5" numFmtId="3" xfId="0" applyBorder="1" applyFont="1" applyNumberFormat="1"/>
    <xf borderId="31" fillId="4" fontId="8" numFmtId="165" xfId="0" applyBorder="1" applyFont="1" applyNumberFormat="1"/>
    <xf borderId="31" fillId="4" fontId="8" numFmtId="9" xfId="0" applyBorder="1" applyFont="1" applyNumberFormat="1"/>
    <xf borderId="32" fillId="4" fontId="5" numFmtId="0" xfId="0" applyBorder="1" applyFont="1"/>
    <xf borderId="0" fillId="0" fontId="9" numFmtId="3" xfId="0" applyFont="1" applyNumberFormat="1"/>
    <xf borderId="10" fillId="0" fontId="2" numFmtId="166" xfId="0" applyBorder="1" applyFont="1" applyNumberFormat="1"/>
    <xf borderId="0" fillId="0" fontId="29" numFmtId="0" xfId="0" applyFont="1"/>
    <xf borderId="0" fillId="0" fontId="2" numFmtId="10" xfId="0" applyFont="1" applyNumberFormat="1"/>
    <xf borderId="15" fillId="2" fontId="5" numFmtId="0" xfId="0" applyAlignment="1" applyBorder="1" applyFont="1">
      <alignment horizontal="center"/>
    </xf>
    <xf borderId="0" fillId="0" fontId="2" numFmtId="4" xfId="0" applyFont="1" applyNumberFormat="1"/>
    <xf borderId="15" fillId="6" fontId="2" numFmtId="3" xfId="0" applyBorder="1" applyFill="1" applyFont="1" applyNumberFormat="1"/>
    <xf borderId="0" fillId="0" fontId="6" numFmtId="3" xfId="0" applyFont="1" applyNumberFormat="1"/>
    <xf borderId="15" fillId="7" fontId="2" numFmtId="0" xfId="0" applyBorder="1" applyFill="1" applyFont="1"/>
    <xf borderId="0" fillId="0" fontId="6" numFmtId="4" xfId="0" applyFont="1" applyNumberFormat="1"/>
    <xf borderId="0" fillId="0" fontId="6" numFmtId="168" xfId="0" applyFont="1" applyNumberFormat="1"/>
    <xf borderId="15" fillId="8" fontId="29" numFmtId="0" xfId="0" applyBorder="1" applyFill="1" applyFont="1"/>
    <xf borderId="15" fillId="8" fontId="2" numFmtId="3" xfId="0" applyBorder="1" applyFont="1" applyNumberFormat="1"/>
    <xf borderId="15" fillId="8" fontId="2" numFmtId="168" xfId="0" applyBorder="1" applyFont="1" applyNumberFormat="1"/>
    <xf borderId="15" fillId="7" fontId="2" numFmtId="3" xfId="0" applyBorder="1" applyFont="1" applyNumberFormat="1"/>
    <xf borderId="15" fillId="9" fontId="11" numFmtId="3" xfId="0" applyBorder="1" applyFill="1" applyFont="1" applyNumberFormat="1"/>
    <xf borderId="15" fillId="2" fontId="5" numFmtId="3" xfId="0" applyAlignment="1" applyBorder="1" applyFont="1" applyNumberFormat="1">
      <alignment horizontal="center"/>
    </xf>
    <xf borderId="0" fillId="0" fontId="6" numFmtId="0" xfId="0" applyAlignment="1" applyFont="1">
      <alignment readingOrder="0"/>
    </xf>
    <xf borderId="0" fillId="0" fontId="29" numFmtId="0" xfId="0" applyAlignment="1" applyFont="1">
      <alignment readingOrder="0"/>
    </xf>
    <xf borderId="15" fillId="2" fontId="2" numFmtId="0" xfId="0" applyBorder="1" applyFont="1"/>
    <xf borderId="15" fillId="2" fontId="2" numFmtId="3" xfId="0" applyBorder="1" applyFont="1" applyNumberFormat="1"/>
    <xf borderId="15" fillId="7" fontId="29" numFmtId="0" xfId="0" applyBorder="1" applyFont="1"/>
    <xf borderId="0" fillId="0" fontId="2" numFmtId="22" xfId="0" applyFont="1" applyNumberFormat="1"/>
    <xf borderId="0" fillId="0" fontId="2" numFmtId="0" xfId="0" applyAlignment="1" applyFont="1">
      <alignment horizontal="left" vertical="center"/>
    </xf>
    <xf borderId="0" fillId="0" fontId="2" numFmtId="17" xfId="0" applyAlignment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shrinkToFit="0" vertical="center" wrapText="1"/>
    </xf>
    <xf borderId="34" fillId="0" fontId="6" numFmtId="0" xfId="0" applyBorder="1" applyFont="1"/>
    <xf borderId="35" fillId="0" fontId="6" numFmtId="0" xfId="0" applyBorder="1" applyFont="1"/>
    <xf borderId="0" fillId="0" fontId="5" numFmtId="0" xfId="0" applyAlignment="1" applyFont="1">
      <alignment horizontal="left" vertical="center"/>
    </xf>
    <xf borderId="33" fillId="0" fontId="1" numFmtId="164" xfId="0" applyAlignment="1" applyBorder="1" applyFont="1" applyNumberFormat="1">
      <alignment horizontal="center" vertical="center"/>
    </xf>
    <xf borderId="36" fillId="10" fontId="30" numFmtId="0" xfId="0" applyAlignment="1" applyBorder="1" applyFill="1" applyFont="1">
      <alignment horizontal="center" shrinkToFit="0" vertical="center" wrapText="1"/>
    </xf>
    <xf borderId="37" fillId="2" fontId="30" numFmtId="0" xfId="0" applyAlignment="1" applyBorder="1" applyFont="1">
      <alignment horizontal="center" vertical="center"/>
    </xf>
    <xf borderId="38" fillId="0" fontId="30" numFmtId="0" xfId="0" applyAlignment="1" applyBorder="1" applyFont="1">
      <alignment horizontal="center" shrinkToFit="0" vertical="center" wrapText="1"/>
    </xf>
    <xf borderId="39" fillId="0" fontId="30" numFmtId="0" xfId="0" applyAlignment="1" applyBorder="1" applyFont="1">
      <alignment horizontal="center" shrinkToFit="0" vertical="center" wrapText="1"/>
    </xf>
    <xf borderId="20" fillId="0" fontId="3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40" fillId="0" fontId="31" numFmtId="0" xfId="0" applyAlignment="1" applyBorder="1" applyFont="1">
      <alignment vertical="center"/>
    </xf>
    <xf borderId="0" fillId="0" fontId="31" numFmtId="0" xfId="0" applyAlignment="1" applyFont="1">
      <alignment vertical="center"/>
    </xf>
    <xf borderId="38" fillId="0" fontId="31" numFmtId="166" xfId="0" applyAlignment="1" applyBorder="1" applyFont="1" applyNumberFormat="1">
      <alignment vertical="center"/>
    </xf>
    <xf borderId="39" fillId="0" fontId="31" numFmtId="166" xfId="0" applyAlignment="1" applyBorder="1" applyFont="1" applyNumberFormat="1">
      <alignment vertical="center"/>
    </xf>
    <xf borderId="39" fillId="0" fontId="31" numFmtId="165" xfId="0" applyAlignment="1" applyBorder="1" applyFont="1" applyNumberFormat="1">
      <alignment vertical="center"/>
    </xf>
    <xf borderId="20" fillId="0" fontId="31" numFmtId="165" xfId="0" applyAlignment="1" applyBorder="1" applyFont="1" applyNumberFormat="1">
      <alignment vertical="center"/>
    </xf>
    <xf borderId="40" fillId="0" fontId="31" numFmtId="166" xfId="0" applyAlignment="1" applyBorder="1" applyFont="1" applyNumberFormat="1">
      <alignment vertical="center"/>
    </xf>
    <xf borderId="0" fillId="0" fontId="31" numFmtId="165" xfId="0" applyAlignment="1" applyFont="1" applyNumberFormat="1">
      <alignment vertical="center"/>
    </xf>
    <xf borderId="19" fillId="0" fontId="31" numFmtId="166" xfId="0" applyAlignment="1" applyBorder="1" applyFont="1" applyNumberFormat="1">
      <alignment vertical="center"/>
    </xf>
    <xf borderId="41" fillId="3" fontId="30" numFmtId="0" xfId="0" applyAlignment="1" applyBorder="1" applyFont="1">
      <alignment vertical="center"/>
    </xf>
    <xf borderId="42" fillId="6" fontId="32" numFmtId="0" xfId="0" applyAlignment="1" applyBorder="1" applyFont="1">
      <alignment vertical="center"/>
    </xf>
    <xf borderId="43" fillId="6" fontId="32" numFmtId="166" xfId="0" applyAlignment="1" applyBorder="1" applyFont="1" applyNumberFormat="1">
      <alignment vertical="center"/>
    </xf>
    <xf borderId="44" fillId="6" fontId="32" numFmtId="166" xfId="0" applyAlignment="1" applyBorder="1" applyFont="1" applyNumberFormat="1">
      <alignment vertical="center"/>
    </xf>
    <xf borderId="42" fillId="6" fontId="32" numFmtId="165" xfId="0" applyAlignment="1" applyBorder="1" applyFont="1" applyNumberFormat="1">
      <alignment vertical="center"/>
    </xf>
    <xf borderId="45" fillId="6" fontId="32" numFmtId="165" xfId="0" applyAlignment="1" applyBorder="1" applyFont="1" applyNumberFormat="1">
      <alignment vertical="center"/>
    </xf>
    <xf borderId="41" fillId="2" fontId="31" numFmtId="0" xfId="0" applyAlignment="1" applyBorder="1" applyFont="1">
      <alignment vertical="center"/>
    </xf>
    <xf borderId="15" fillId="2" fontId="33" numFmtId="0" xfId="0" applyAlignment="1" applyBorder="1" applyFont="1">
      <alignment vertical="center"/>
    </xf>
    <xf borderId="41" fillId="2" fontId="33" numFmtId="166" xfId="0" applyAlignment="1" applyBorder="1" applyFont="1" applyNumberFormat="1">
      <alignment vertical="center"/>
    </xf>
    <xf borderId="15" fillId="2" fontId="33" numFmtId="165" xfId="0" applyAlignment="1" applyBorder="1" applyFont="1" applyNumberFormat="1">
      <alignment vertical="center"/>
    </xf>
    <xf borderId="29" fillId="2" fontId="33" numFmtId="165" xfId="0" applyAlignment="1" applyBorder="1" applyFont="1" applyNumberFormat="1">
      <alignment vertical="center"/>
    </xf>
    <xf borderId="15" fillId="2" fontId="2" numFmtId="0" xfId="0" applyAlignment="1" applyBorder="1" applyFont="1">
      <alignment horizontal="left" vertical="center"/>
    </xf>
    <xf borderId="28" fillId="2" fontId="33" numFmtId="166" xfId="0" applyAlignment="1" applyBorder="1" applyFont="1" applyNumberFormat="1">
      <alignment vertical="center"/>
    </xf>
    <xf borderId="0" fillId="0" fontId="2" numFmtId="0" xfId="0" applyAlignment="1" applyFont="1">
      <alignment horizontal="right"/>
    </xf>
    <xf borderId="44" fillId="3" fontId="30" numFmtId="0" xfId="0" applyAlignment="1" applyBorder="1" applyFont="1">
      <alignment vertical="center"/>
    </xf>
    <xf borderId="15" fillId="11" fontId="5" numFmtId="0" xfId="0" applyBorder="1" applyFill="1" applyFont="1"/>
    <xf borderId="15" fillId="4" fontId="5" numFmtId="0" xfId="0" applyBorder="1" applyFont="1"/>
    <xf borderId="15" fillId="4" fontId="2" numFmtId="0" xfId="0" applyAlignment="1" applyBorder="1" applyFont="1">
      <alignment horizontal="right"/>
    </xf>
    <xf borderId="0" fillId="0" fontId="5" numFmtId="0" xfId="0" applyAlignment="1" applyFont="1">
      <alignment horizontal="right"/>
    </xf>
    <xf borderId="15" fillId="12" fontId="5" numFmtId="3" xfId="0" applyBorder="1" applyFill="1" applyFont="1" applyNumberFormat="1"/>
    <xf borderId="0" fillId="0" fontId="5" numFmtId="166" xfId="0" applyFont="1" applyNumberFormat="1"/>
    <xf borderId="15" fillId="4" fontId="5" numFmtId="0" xfId="0" applyAlignment="1" applyBorder="1" applyFont="1">
      <alignment horizontal="right"/>
    </xf>
    <xf borderId="44" fillId="2" fontId="30" numFmtId="0" xfId="0" applyAlignment="1" applyBorder="1" applyFont="1">
      <alignment vertical="center"/>
    </xf>
    <xf borderId="15" fillId="13" fontId="5" numFmtId="3" xfId="0" applyBorder="1" applyFill="1" applyFont="1" applyNumberFormat="1"/>
    <xf borderId="42" fillId="2" fontId="30" numFmtId="0" xfId="0" applyAlignment="1" applyBorder="1" applyFont="1">
      <alignment vertical="center"/>
    </xf>
    <xf borderId="43" fillId="2" fontId="30" numFmtId="0" xfId="0" applyAlignment="1" applyBorder="1" applyFont="1">
      <alignment vertical="center"/>
    </xf>
    <xf borderId="0" fillId="0" fontId="5" numFmtId="3" xfId="0" applyAlignment="1" applyFont="1" applyNumberFormat="1">
      <alignment horizontal="center"/>
    </xf>
    <xf borderId="44" fillId="2" fontId="30" numFmtId="166" xfId="0" applyAlignment="1" applyBorder="1" applyFont="1" applyNumberFormat="1">
      <alignment vertical="center"/>
    </xf>
    <xf borderId="45" fillId="2" fontId="30" numFmtId="0" xfId="0" applyAlignment="1" applyBorder="1" applyFont="1">
      <alignment vertical="center"/>
    </xf>
    <xf borderId="43" fillId="2" fontId="30" numFmtId="166" xfId="0" applyAlignment="1" applyBorder="1" applyFont="1" applyNumberFormat="1">
      <alignment vertical="center"/>
    </xf>
    <xf borderId="46" fillId="13" fontId="5" numFmtId="3" xfId="0" applyBorder="1" applyFont="1" applyNumberFormat="1"/>
    <xf borderId="42" fillId="2" fontId="30" numFmtId="165" xfId="0" applyAlignment="1" applyBorder="1" applyFont="1" applyNumberFormat="1">
      <alignment vertical="center"/>
    </xf>
    <xf borderId="47" fillId="3" fontId="30" numFmtId="0" xfId="0" applyAlignment="1" applyBorder="1" applyFont="1">
      <alignment vertical="center"/>
    </xf>
    <xf borderId="48" fillId="6" fontId="32" numFmtId="0" xfId="0" applyAlignment="1" applyBorder="1" applyFont="1">
      <alignment vertical="center"/>
    </xf>
    <xf borderId="49" fillId="6" fontId="32" numFmtId="166" xfId="0" applyAlignment="1" applyBorder="1" applyFont="1" applyNumberFormat="1">
      <alignment vertical="center"/>
    </xf>
    <xf borderId="47" fillId="6" fontId="32" numFmtId="166" xfId="0" applyAlignment="1" applyBorder="1" applyFont="1" applyNumberFormat="1">
      <alignment vertical="center"/>
    </xf>
    <xf borderId="15" fillId="13" fontId="2" numFmtId="3" xfId="0" applyBorder="1" applyFont="1" applyNumberFormat="1"/>
    <xf borderId="48" fillId="6" fontId="32" numFmtId="165" xfId="0" applyAlignment="1" applyBorder="1" applyFont="1" applyNumberFormat="1">
      <alignment vertical="center"/>
    </xf>
    <xf borderId="50" fillId="6" fontId="32" numFmtId="165" xfId="0" applyAlignment="1" applyBorder="1" applyFont="1" applyNumberFormat="1">
      <alignment vertical="center"/>
    </xf>
    <xf borderId="40" fillId="0" fontId="34" numFmtId="0" xfId="0" applyAlignment="1" applyBorder="1" applyFont="1">
      <alignment horizontal="left" vertical="center"/>
    </xf>
    <xf borderId="0" fillId="0" fontId="34" numFmtId="0" xfId="0" applyAlignment="1" applyFont="1">
      <alignment horizontal="left" vertical="center"/>
    </xf>
    <xf borderId="19" fillId="0" fontId="34" numFmtId="0" xfId="0" applyAlignment="1" applyBorder="1" applyFont="1">
      <alignment horizontal="left" vertical="center"/>
    </xf>
    <xf borderId="40" fillId="0" fontId="34" numFmtId="166" xfId="0" applyAlignment="1" applyBorder="1" applyFont="1" applyNumberFormat="1">
      <alignment horizontal="left" vertical="center"/>
    </xf>
    <xf borderId="20" fillId="0" fontId="34" numFmtId="0" xfId="0" applyAlignment="1" applyBorder="1" applyFont="1">
      <alignment horizontal="left" vertical="center"/>
    </xf>
    <xf borderId="19" fillId="0" fontId="34" numFmtId="166" xfId="0" applyAlignment="1" applyBorder="1" applyFont="1" applyNumberFormat="1">
      <alignment horizontal="left" vertical="center"/>
    </xf>
    <xf borderId="51" fillId="0" fontId="31" numFmtId="0" xfId="0" applyAlignment="1" applyBorder="1" applyFont="1">
      <alignment vertical="center"/>
    </xf>
    <xf borderId="8" fillId="0" fontId="31" numFmtId="0" xfId="0" applyAlignment="1" applyBorder="1" applyFont="1">
      <alignment vertical="center"/>
    </xf>
    <xf borderId="51" fillId="0" fontId="31" numFmtId="166" xfId="0" applyAlignment="1" applyBorder="1" applyFont="1" applyNumberFormat="1">
      <alignment vertical="center"/>
    </xf>
    <xf borderId="8" fillId="0" fontId="31" numFmtId="165" xfId="0" applyAlignment="1" applyBorder="1" applyFont="1" applyNumberFormat="1">
      <alignment vertical="center"/>
    </xf>
    <xf borderId="52" fillId="0" fontId="31" numFmtId="165" xfId="0" applyAlignment="1" applyBorder="1" applyFont="1" applyNumberFormat="1">
      <alignment vertical="center"/>
    </xf>
    <xf borderId="53" fillId="0" fontId="31" numFmtId="166" xfId="0" applyAlignment="1" applyBorder="1" applyFont="1" applyNumberFormat="1">
      <alignment vertical="center"/>
    </xf>
    <xf borderId="54" fillId="2" fontId="31" numFmtId="3" xfId="0" applyAlignment="1" applyBorder="1" applyFont="1" applyNumberFormat="1">
      <alignment vertical="center"/>
    </xf>
    <xf borderId="15" fillId="2" fontId="33" numFmtId="3" xfId="0" applyAlignment="1" applyBorder="1" applyFont="1" applyNumberFormat="1">
      <alignment vertical="center"/>
    </xf>
    <xf borderId="44" fillId="2" fontId="31" numFmtId="0" xfId="0" applyAlignment="1" applyBorder="1" applyFont="1">
      <alignment vertical="center"/>
    </xf>
    <xf borderId="42" fillId="2" fontId="33" numFmtId="0" xfId="0" applyAlignment="1" applyBorder="1" applyFont="1">
      <alignment vertical="center"/>
    </xf>
    <xf borderId="44" fillId="2" fontId="33" numFmtId="166" xfId="0" applyAlignment="1" applyBorder="1" applyFont="1" applyNumberFormat="1">
      <alignment vertical="center"/>
    </xf>
    <xf borderId="42" fillId="2" fontId="33" numFmtId="165" xfId="0" applyAlignment="1" applyBorder="1" applyFont="1" applyNumberFormat="1">
      <alignment vertical="center"/>
    </xf>
    <xf borderId="45" fillId="2" fontId="33" numFmtId="165" xfId="0" applyAlignment="1" applyBorder="1" applyFont="1" applyNumberFormat="1">
      <alignment vertical="center"/>
    </xf>
    <xf borderId="43" fillId="2" fontId="33" numFmtId="166" xfId="0" applyAlignment="1" applyBorder="1" applyFont="1" applyNumberFormat="1">
      <alignment vertical="center"/>
    </xf>
    <xf borderId="36" fillId="2" fontId="30" numFmtId="0" xfId="0" applyAlignment="1" applyBorder="1" applyFont="1">
      <alignment vertical="center"/>
    </xf>
    <xf borderId="37" fillId="2" fontId="30" numFmtId="0" xfId="0" applyAlignment="1" applyBorder="1" applyFont="1">
      <alignment vertical="center"/>
    </xf>
    <xf borderId="55" fillId="2" fontId="30" numFmtId="0" xfId="0" applyAlignment="1" applyBorder="1" applyFont="1">
      <alignment vertical="center"/>
    </xf>
    <xf borderId="36" fillId="2" fontId="30" numFmtId="166" xfId="0" applyAlignment="1" applyBorder="1" applyFont="1" applyNumberFormat="1">
      <alignment vertical="center"/>
    </xf>
    <xf borderId="56" fillId="2" fontId="30" numFmtId="0" xfId="0" applyAlignment="1" applyBorder="1" applyFont="1">
      <alignment vertical="center"/>
    </xf>
    <xf borderId="55" fillId="2" fontId="30" numFmtId="166" xfId="0" applyAlignment="1" applyBorder="1" applyFont="1" applyNumberFormat="1">
      <alignment vertical="center"/>
    </xf>
    <xf borderId="56" fillId="2" fontId="30" numFmtId="165" xfId="0" applyAlignment="1" applyBorder="1" applyFont="1" applyNumberFormat="1">
      <alignment vertical="center"/>
    </xf>
    <xf borderId="36" fillId="3" fontId="30" numFmtId="0" xfId="0" applyAlignment="1" applyBorder="1" applyFont="1">
      <alignment vertical="center"/>
    </xf>
    <xf borderId="37" fillId="6" fontId="32" numFmtId="0" xfId="0" applyAlignment="1" applyBorder="1" applyFont="1">
      <alignment vertical="center"/>
    </xf>
    <xf borderId="55" fillId="6" fontId="32" numFmtId="166" xfId="0" applyAlignment="1" applyBorder="1" applyFont="1" applyNumberFormat="1">
      <alignment vertical="center"/>
    </xf>
    <xf borderId="36" fillId="6" fontId="32" numFmtId="166" xfId="0" applyAlignment="1" applyBorder="1" applyFont="1" applyNumberFormat="1">
      <alignment vertical="center"/>
    </xf>
    <xf borderId="37" fillId="6" fontId="32" numFmtId="165" xfId="0" applyAlignment="1" applyBorder="1" applyFont="1" applyNumberFormat="1">
      <alignment vertical="center"/>
    </xf>
    <xf borderId="56" fillId="6" fontId="32" numFmtId="165" xfId="0" applyAlignment="1" applyBorder="1" applyFont="1" applyNumberFormat="1">
      <alignment vertical="center"/>
    </xf>
    <xf borderId="57" fillId="6" fontId="32" numFmtId="166" xfId="0" applyAlignment="1" applyBorder="1" applyFont="1" applyNumberFormat="1">
      <alignment vertical="center"/>
    </xf>
    <xf borderId="58" fillId="6" fontId="32" numFmtId="166" xfId="0" applyAlignment="1" applyBorder="1" applyFont="1" applyNumberFormat="1">
      <alignment vertical="center"/>
    </xf>
    <xf borderId="59" fillId="6" fontId="32" numFmtId="165" xfId="0" applyAlignment="1" applyBorder="1" applyFont="1" applyNumberFormat="1">
      <alignment vertical="center"/>
    </xf>
    <xf borderId="60" fillId="6" fontId="32" numFmtId="165" xfId="0" applyAlignment="1" applyBorder="1" applyFont="1" applyNumberFormat="1">
      <alignment vertical="center"/>
    </xf>
    <xf borderId="0" fillId="0" fontId="2" numFmtId="166" xfId="0" applyAlignment="1" applyFont="1" applyNumberFormat="1">
      <alignment horizontal="left" vertical="center"/>
    </xf>
    <xf borderId="15" fillId="12" fontId="2" numFmtId="3" xfId="0" applyBorder="1" applyFont="1" applyNumberFormat="1"/>
    <xf borderId="0" fillId="0" fontId="9" numFmtId="0" xfId="0" applyAlignment="1" applyFont="1">
      <alignment horizontal="right"/>
    </xf>
    <xf borderId="15" fillId="4" fontId="2" numFmtId="166" xfId="0" applyBorder="1" applyFont="1" applyNumberFormat="1"/>
    <xf borderId="15" fillId="14" fontId="2" numFmtId="0" xfId="0" applyBorder="1" applyFill="1" applyFont="1"/>
    <xf borderId="15" fillId="14" fontId="2" numFmtId="166" xfId="0" applyBorder="1" applyFont="1" applyNumberFormat="1"/>
    <xf borderId="15" fillId="3" fontId="2" numFmtId="0" xfId="0" applyBorder="1" applyFont="1"/>
    <xf borderId="15" fillId="3" fontId="2" numFmtId="166" xfId="0" applyBorder="1" applyFont="1" applyNumberFormat="1"/>
    <xf borderId="15" fillId="12" fontId="2" numFmtId="0" xfId="0" applyBorder="1" applyFont="1"/>
    <xf borderId="15" fillId="12" fontId="2" numFmtId="166" xfId="0" applyBorder="1" applyFont="1" applyNumberFormat="1"/>
    <xf borderId="61" fillId="0" fontId="9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t>OG Net Sales</a:t>
            </a:r>
          </a:p>
        </c:rich>
      </c:tx>
      <c:overlay val="0"/>
    </c:title>
    <c:plotArea>
      <c:layout>
        <c:manualLayout>
          <c:xMode val="edge"/>
          <c:yMode val="edge"/>
          <c:x val="0.10591145742507098"/>
          <c:y val="0.21456018977561594"/>
          <c:w val="0.8596069451476686"/>
          <c:h val="0.4827604269951321"/>
        </c:manualLayout>
      </c:layout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 cmpd="sng">
                <a:solidFill>
                  <a:srgbClr val="969696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Data!$B$4:$M$4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3399"/>
              </a:solidFill>
              <a:ln cmpd="sng">
                <a:solidFill>
                  <a:srgbClr val="333399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Data!$B$12:$M$12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Data!$B$20:$M$20</c:f>
            </c:numRef>
          </c:val>
          <c:smooth val="0"/>
        </c:ser>
        <c:axId val="838237491"/>
        <c:axId val="509689259"/>
      </c:lineChart>
      <c:catAx>
        <c:axId val="838237491"/>
        <c:scaling>
          <c:orientation val="minMax"/>
        </c:scaling>
        <c:delete val="0"/>
        <c:axPos val="b"/>
        <c:txPr>
          <a:bodyPr rot="-2700000"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</a:p>
        </c:txPr>
        <c:crossAx val="509689259"/>
      </c:catAx>
      <c:valAx>
        <c:axId val="50968925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Arial"/>
              </a:defRPr>
            </a:pPr>
          </a:p>
        </c:txPr>
        <c:crossAx val="83823749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t>% Manufacturing Costs</a:t>
            </a:r>
          </a:p>
        </c:rich>
      </c:tx>
      <c:overlay val="0"/>
    </c:title>
    <c:plotArea>
      <c:layout>
        <c:manualLayout>
          <c:xMode val="edge"/>
          <c:yMode val="edge"/>
          <c:x val="0.11538461538461538"/>
          <c:y val="0.20306589389477792"/>
          <c:w val="0.8509615384615427"/>
          <c:h val="0.6053662497240382"/>
        </c:manualLayout>
      </c:layout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 cmpd="sng">
                <a:solidFill>
                  <a:srgbClr val="969696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Data!$B$5:$M$5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3399"/>
              </a:solidFill>
              <a:ln cmpd="sng">
                <a:solidFill>
                  <a:srgbClr val="333399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Data!$B$13:$M$13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Data!$B$21:$M$21</c:f>
            </c:numRef>
          </c:val>
          <c:smooth val="0"/>
        </c:ser>
        <c:axId val="1741768433"/>
        <c:axId val="1877940598"/>
      </c:lineChart>
      <c:catAx>
        <c:axId val="1741768433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1" i="0" sz="500">
                <a:solidFill>
                  <a:srgbClr val="000000"/>
                </a:solidFill>
                <a:latin typeface="Arial"/>
              </a:defRPr>
            </a:pPr>
          </a:p>
        </c:txPr>
        <c:crossAx val="1877940598"/>
      </c:catAx>
      <c:valAx>
        <c:axId val="187794059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74176843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t>% Cost of Material</a:t>
            </a:r>
          </a:p>
        </c:rich>
      </c:tx>
      <c:overlay val="0"/>
    </c:title>
    <c:plotArea>
      <c:layout>
        <c:manualLayout>
          <c:xMode val="edge"/>
          <c:yMode val="edge"/>
          <c:x val="0.12000014648455638"/>
          <c:y val="0.20306589389477792"/>
          <c:w val="0.8450010314954186"/>
          <c:h val="0.6053662497240382"/>
        </c:manualLayout>
      </c:layout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 cmpd="sng">
                <a:solidFill>
                  <a:srgbClr val="969696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Data!$B$6:$M$6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3399"/>
              </a:solidFill>
              <a:ln cmpd="sng">
                <a:solidFill>
                  <a:srgbClr val="333399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Data!$B$14:$M$14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Data!$B$22:$M$22</c:f>
            </c:numRef>
          </c:val>
          <c:smooth val="0"/>
        </c:ser>
        <c:axId val="1690329525"/>
        <c:axId val="938583082"/>
      </c:lineChart>
      <c:catAx>
        <c:axId val="1690329525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1" i="0" sz="500">
                <a:solidFill>
                  <a:srgbClr val="000000"/>
                </a:solidFill>
                <a:latin typeface="Arial"/>
              </a:defRPr>
            </a:pPr>
          </a:p>
        </c:txPr>
        <c:crossAx val="938583082"/>
      </c:catAx>
      <c:valAx>
        <c:axId val="938583082"/>
        <c:scaling>
          <c:orientation val="minMax"/>
          <c:min val="0.3000000000000003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69032952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t>% Margin</a:t>
            </a:r>
          </a:p>
        </c:rich>
      </c:tx>
      <c:overlay val="0"/>
    </c:title>
    <c:plotArea>
      <c:layout>
        <c:manualLayout>
          <c:xMode val="edge"/>
          <c:yMode val="edge"/>
          <c:x val="0.11330062887333175"/>
          <c:y val="0.20306589389477792"/>
          <c:w val="0.8522177736994087"/>
          <c:h val="0.6513434332474197"/>
        </c:manualLayout>
      </c:layout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 cmpd="sng">
                <a:solidFill>
                  <a:srgbClr val="969696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Data!$B$7:$M$7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3399"/>
              </a:solidFill>
              <a:ln cmpd="sng">
                <a:solidFill>
                  <a:srgbClr val="333399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Data!$B$15:$M$15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Data!$B$23:$M$23</c:f>
            </c:numRef>
          </c:val>
          <c:smooth val="0"/>
        </c:ser>
        <c:axId val="1201271160"/>
        <c:axId val="1486085044"/>
      </c:lineChart>
      <c:catAx>
        <c:axId val="1201271160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1" i="0" sz="500">
                <a:solidFill>
                  <a:srgbClr val="000000"/>
                </a:solidFill>
                <a:latin typeface="Arial"/>
              </a:defRPr>
            </a:pPr>
          </a:p>
        </c:txPr>
        <c:crossAx val="1486085044"/>
      </c:catAx>
      <c:valAx>
        <c:axId val="148608504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20127116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t>OPEX</a:t>
            </a:r>
          </a:p>
        </c:rich>
      </c:tx>
      <c:overlay val="0"/>
    </c:title>
    <c:plotArea>
      <c:layout>
        <c:manualLayout>
          <c:xMode val="edge"/>
          <c:yMode val="edge"/>
          <c:x val="0.08653846153846509"/>
          <c:y val="0.20306589389477792"/>
          <c:w val="0.879807692307711"/>
          <c:h val="0.6513434332474197"/>
        </c:manualLayout>
      </c:layout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 cmpd="sng">
                <a:solidFill>
                  <a:srgbClr val="969696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Data!$B$8:$M$8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3399"/>
              </a:solidFill>
              <a:ln cmpd="sng">
                <a:solidFill>
                  <a:srgbClr val="333399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Data!$B$16:$M$16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Data!$B$24:$M$24</c:f>
            </c:numRef>
          </c:val>
          <c:smooth val="0"/>
        </c:ser>
        <c:axId val="1068682413"/>
        <c:axId val="718103598"/>
      </c:lineChart>
      <c:catAx>
        <c:axId val="1068682413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1" i="0" sz="500">
                <a:solidFill>
                  <a:srgbClr val="000000"/>
                </a:solidFill>
                <a:latin typeface="Arial"/>
              </a:defRPr>
            </a:pPr>
          </a:p>
        </c:txPr>
        <c:crossAx val="718103598"/>
      </c:catAx>
      <c:valAx>
        <c:axId val="71810359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06868241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t>Net Margin</a:t>
            </a:r>
          </a:p>
        </c:rich>
      </c:tx>
      <c:overlay val="0"/>
    </c:title>
    <c:plotArea>
      <c:layout>
        <c:manualLayout>
          <c:xMode val="edge"/>
          <c:yMode val="edge"/>
          <c:x val="0.08000009765636924"/>
          <c:y val="0.20306589389477792"/>
          <c:w val="0.8850010803236"/>
          <c:h val="0.6513434332474197"/>
        </c:manualLayout>
      </c:layout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 cmpd="sng">
                <a:solidFill>
                  <a:srgbClr val="969696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Data!$B$9:$M$9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3399"/>
              </a:solidFill>
              <a:ln cmpd="sng">
                <a:solidFill>
                  <a:srgbClr val="333399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Data!$B$17:$M$17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Data!$B$1:$M$1</c:f>
            </c:strRef>
          </c:cat>
          <c:val>
            <c:numRef>
              <c:f>Data!$B$25:$M$25</c:f>
            </c:numRef>
          </c:val>
          <c:smooth val="0"/>
        </c:ser>
        <c:axId val="200190317"/>
        <c:axId val="1874028177"/>
      </c:lineChart>
      <c:catAx>
        <c:axId val="200190317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1" i="0" sz="500">
                <a:solidFill>
                  <a:srgbClr val="000000"/>
                </a:solidFill>
                <a:latin typeface="Arial"/>
              </a:defRPr>
            </a:pPr>
          </a:p>
        </c:txPr>
        <c:crossAx val="1874028177"/>
      </c:catAx>
      <c:valAx>
        <c:axId val="187402817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0019031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</xdr:colOff>
      <xdr:row>17</xdr:row>
      <xdr:rowOff>9525</xdr:rowOff>
    </xdr:from>
    <xdr:ext cx="5191125" cy="24860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238125</xdr:colOff>
      <xdr:row>17</xdr:row>
      <xdr:rowOff>19050</xdr:rowOff>
    </xdr:from>
    <xdr:ext cx="5124450" cy="24860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85725</xdr:colOff>
      <xdr:row>17</xdr:row>
      <xdr:rowOff>19050</xdr:rowOff>
    </xdr:from>
    <xdr:ext cx="3667125" cy="24860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38100</xdr:colOff>
      <xdr:row>32</xdr:row>
      <xdr:rowOff>104775</xdr:rowOff>
    </xdr:from>
    <xdr:ext cx="5191125" cy="24860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228600</xdr:colOff>
      <xdr:row>32</xdr:row>
      <xdr:rowOff>114300</xdr:rowOff>
    </xdr:from>
    <xdr:ext cx="5124450" cy="24860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76200</xdr:colOff>
      <xdr:row>32</xdr:row>
      <xdr:rowOff>123825</xdr:rowOff>
    </xdr:from>
    <xdr:ext cx="3667125" cy="24860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-19050</xdr:colOff>
      <xdr:row>241</xdr:row>
      <xdr:rowOff>142875</xdr:rowOff>
    </xdr:from>
    <xdr:ext cx="38100" cy="1866900"/>
    <xdr:sp>
      <xdr:nvSpPr>
        <xdr:cNvPr id="3" name="Shape 3"/>
        <xdr:cNvSpPr txBox="1"/>
      </xdr:nvSpPr>
      <xdr:spPr>
        <a:xfrm>
          <a:off x="5346000" y="2846550"/>
          <a:ext cx="0" cy="1866900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ahoma"/>
              <a:ea typeface="Tahoma"/>
              <a:cs typeface="Tahoma"/>
              <a:sym typeface="Tahoma"/>
            </a:rPr>
            <a:t>$66k Added t o Consukting Cost in Holding Admi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241</xdr:row>
      <xdr:rowOff>142875</xdr:rowOff>
    </xdr:from>
    <xdr:ext cx="38100" cy="1866900"/>
    <xdr:sp>
      <xdr:nvSpPr>
        <xdr:cNvPr id="4" name="Shape 4"/>
        <xdr:cNvSpPr txBox="1"/>
      </xdr:nvSpPr>
      <xdr:spPr>
        <a:xfrm>
          <a:off x="5346000" y="2846550"/>
          <a:ext cx="0" cy="1866900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ahoma"/>
              <a:ea typeface="Tahoma"/>
              <a:cs typeface="Tahoma"/>
              <a:sym typeface="Tahoma"/>
            </a:rPr>
            <a:t>$66k Added t o Consukting Cost in Holding Admi</a:t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99FF"/>
    <pageSetUpPr fitToPage="1"/>
  </sheetPr>
  <sheetViews>
    <sheetView showGridLines="0" workbookViewId="0"/>
  </sheetViews>
  <sheetFormatPr customHeight="1" defaultColWidth="14.43" defaultRowHeight="15.0"/>
  <cols>
    <col customWidth="1" min="1" max="1" width="23.0"/>
    <col customWidth="1" min="2" max="2" width="9.29"/>
    <col customWidth="1" min="3" max="3" width="9.71"/>
    <col customWidth="1" min="4" max="4" width="11.0"/>
    <col customWidth="1" min="5" max="5" width="2.71"/>
    <col customWidth="1" hidden="1" min="6" max="6" width="2.43"/>
    <col customWidth="1" hidden="1" min="7" max="8" width="8.71"/>
    <col customWidth="1" min="9" max="10" width="9.29"/>
    <col customWidth="1" min="11" max="11" width="2.71"/>
    <col customWidth="1" min="12" max="13" width="9.86"/>
    <col customWidth="1" min="14" max="14" width="9.29"/>
    <col customWidth="1" min="15" max="15" width="2.71"/>
    <col customWidth="1" hidden="1" min="16" max="17" width="8.71"/>
    <col customWidth="1" min="18" max="19" width="9.29"/>
    <col customWidth="1" min="20" max="24" width="8.71"/>
    <col customWidth="1" min="25" max="25" width="4.57"/>
    <col customWidth="1" min="26" max="26" width="8.71"/>
  </cols>
  <sheetData>
    <row r="1" ht="12.75" customHeight="1">
      <c r="A1" s="77" t="str">
        <f>'P&amp;L Summary'!A2</f>
        <v>PRESCRIPTION SAFETY GLASSES</v>
      </c>
    </row>
    <row r="2" ht="12.75" customHeight="1"/>
    <row r="3" ht="12.75" customHeight="1">
      <c r="A3" s="78">
        <f>+'P&amp;L Summary'!A5</f>
        <v>43221</v>
      </c>
      <c r="B3" s="79" t="s">
        <v>60</v>
      </c>
      <c r="K3" s="2"/>
      <c r="L3" s="77" t="s">
        <v>4</v>
      </c>
    </row>
    <row r="4" ht="12.75" customHeight="1">
      <c r="A4" s="80" t="s">
        <v>61</v>
      </c>
      <c r="B4" s="81" t="s">
        <v>62</v>
      </c>
      <c r="C4" s="82" t="s">
        <v>63</v>
      </c>
      <c r="D4" s="83" t="s">
        <v>10</v>
      </c>
      <c r="E4" s="84"/>
      <c r="F4" s="84"/>
      <c r="G4" s="84"/>
      <c r="H4" s="84"/>
      <c r="I4" s="85" t="s">
        <v>64</v>
      </c>
      <c r="J4" s="86" t="s">
        <v>65</v>
      </c>
      <c r="K4" s="87"/>
      <c r="L4" s="81" t="s">
        <v>62</v>
      </c>
      <c r="M4" s="82" t="s">
        <v>63</v>
      </c>
      <c r="N4" s="83" t="s">
        <v>10</v>
      </c>
      <c r="O4" s="84"/>
      <c r="P4" s="84"/>
      <c r="Q4" s="84"/>
      <c r="R4" s="85" t="s">
        <v>64</v>
      </c>
      <c r="S4" s="86" t="s">
        <v>65</v>
      </c>
    </row>
    <row r="5" ht="12.75" hidden="1" customHeight="1">
      <c r="A5" s="47" t="s">
        <v>66</v>
      </c>
      <c r="B5" s="88"/>
      <c r="C5" s="89"/>
      <c r="D5" s="90"/>
      <c r="E5" s="2"/>
      <c r="F5" s="2"/>
      <c r="G5" s="2"/>
      <c r="H5" s="2"/>
      <c r="I5" s="91" t="str">
        <f t="shared" ref="I5:I10" si="1">D5/B5-1</f>
        <v>#DIV/0!</v>
      </c>
      <c r="J5" s="92" t="str">
        <f t="shared" ref="J5:J10" si="2">D5/C5-1</f>
        <v>#DIV/0!</v>
      </c>
      <c r="L5" s="88"/>
      <c r="M5" s="89"/>
      <c r="N5" s="90"/>
      <c r="O5" s="2"/>
      <c r="P5" s="2"/>
      <c r="Q5" s="2"/>
      <c r="R5" s="91" t="str">
        <f t="shared" ref="R5:R10" si="3">N5/L5-1</f>
        <v>#DIV/0!</v>
      </c>
      <c r="S5" s="92" t="str">
        <f t="shared" ref="S5:S10" si="4">N5/M5-1</f>
        <v>#DIV/0!</v>
      </c>
    </row>
    <row r="6" ht="12.75" hidden="1" customHeight="1">
      <c r="A6" s="47" t="s">
        <v>67</v>
      </c>
      <c r="B6" s="88"/>
      <c r="C6" s="89"/>
      <c r="D6" s="90"/>
      <c r="E6" s="2"/>
      <c r="F6" s="2"/>
      <c r="G6" s="2"/>
      <c r="H6" s="2"/>
      <c r="I6" s="91" t="str">
        <f t="shared" si="1"/>
        <v>#DIV/0!</v>
      </c>
      <c r="J6" s="92" t="str">
        <f t="shared" si="2"/>
        <v>#DIV/0!</v>
      </c>
      <c r="L6" s="88"/>
      <c r="M6" s="89"/>
      <c r="N6" s="90"/>
      <c r="O6" s="2"/>
      <c r="P6" s="2"/>
      <c r="Q6" s="2"/>
      <c r="R6" s="91" t="str">
        <f t="shared" si="3"/>
        <v>#DIV/0!</v>
      </c>
      <c r="S6" s="92" t="str">
        <f t="shared" si="4"/>
        <v>#DIV/0!</v>
      </c>
    </row>
    <row r="7" ht="12.75" hidden="1" customHeight="1">
      <c r="A7" s="47" t="s">
        <v>68</v>
      </c>
      <c r="B7" s="93">
        <f t="shared" ref="B7:D7" si="5">B5+B6</f>
        <v>0</v>
      </c>
      <c r="C7" s="94">
        <f t="shared" si="5"/>
        <v>0</v>
      </c>
      <c r="D7" s="95">
        <f t="shared" si="5"/>
        <v>0</v>
      </c>
      <c r="E7" s="47"/>
      <c r="F7" s="47"/>
      <c r="G7" s="47"/>
      <c r="H7" s="47"/>
      <c r="I7" s="96" t="str">
        <f t="shared" si="1"/>
        <v>#DIV/0!</v>
      </c>
      <c r="J7" s="97" t="str">
        <f t="shared" si="2"/>
        <v>#DIV/0!</v>
      </c>
      <c r="K7" s="47"/>
      <c r="L7" s="93">
        <f t="shared" ref="L7:N7" si="6">L5+L6</f>
        <v>0</v>
      </c>
      <c r="M7" s="94">
        <f t="shared" si="6"/>
        <v>0</v>
      </c>
      <c r="N7" s="95">
        <f t="shared" si="6"/>
        <v>0</v>
      </c>
      <c r="O7" s="47"/>
      <c r="P7" s="47"/>
      <c r="Q7" s="47"/>
      <c r="R7" s="96" t="str">
        <f t="shared" si="3"/>
        <v>#DIV/0!</v>
      </c>
      <c r="S7" s="97" t="str">
        <f t="shared" si="4"/>
        <v>#DIV/0!</v>
      </c>
    </row>
    <row r="8" ht="12.75" customHeight="1">
      <c r="A8" s="47" t="s">
        <v>69</v>
      </c>
      <c r="B8" s="93">
        <f>'P&amp;L Summary'!$I$15/1000</f>
        <v>390.48268</v>
      </c>
      <c r="C8" s="94">
        <f>'P&amp;L Summary'!$E$15/1000</f>
        <v>430</v>
      </c>
      <c r="D8" s="95">
        <f>'P&amp;L Summary'!$B$15/1000</f>
        <v>417.83426</v>
      </c>
      <c r="E8" s="47"/>
      <c r="F8" s="47"/>
      <c r="G8" s="47"/>
      <c r="H8" s="47"/>
      <c r="I8" s="96">
        <f t="shared" si="1"/>
        <v>0.07004556515</v>
      </c>
      <c r="J8" s="97">
        <f t="shared" si="2"/>
        <v>-0.0282924186</v>
      </c>
      <c r="K8" s="47"/>
      <c r="L8" s="93">
        <f>'P&amp;L Summary'!$T$15/1000</f>
        <v>1860.69749</v>
      </c>
      <c r="M8" s="94">
        <f>'P&amp;L Summary'!$P$15/1000</f>
        <v>2015</v>
      </c>
      <c r="N8" s="95">
        <f>'P&amp;L Summary'!$M$15/1000</f>
        <v>1929.36033</v>
      </c>
      <c r="O8" s="47"/>
      <c r="P8" s="47"/>
      <c r="Q8" s="47"/>
      <c r="R8" s="96">
        <f t="shared" si="3"/>
        <v>0.03690166745</v>
      </c>
      <c r="S8" s="97">
        <f t="shared" si="4"/>
        <v>-0.04250107692</v>
      </c>
      <c r="T8" s="47"/>
      <c r="U8" s="47"/>
      <c r="V8" s="47"/>
      <c r="W8" s="47"/>
      <c r="X8" s="47"/>
      <c r="Y8" s="47"/>
      <c r="Z8" s="47"/>
    </row>
    <row r="9" ht="12.75" customHeight="1">
      <c r="A9" s="47" t="s">
        <v>70</v>
      </c>
      <c r="B9" s="88">
        <f>'P&amp;L Summary'!$I$20/1000</f>
        <v>17.03719</v>
      </c>
      <c r="C9" s="89">
        <f>'P&amp;L Summary'!$E$20/1000</f>
        <v>20.445</v>
      </c>
      <c r="D9" s="90">
        <f>'P&amp;L Summary'!$B$20/1000</f>
        <v>10.159</v>
      </c>
      <c r="E9" s="2"/>
      <c r="F9" s="2"/>
      <c r="G9" s="2"/>
      <c r="H9" s="2"/>
      <c r="I9" s="91">
        <f t="shared" si="1"/>
        <v>-0.4037162232</v>
      </c>
      <c r="J9" s="92">
        <f t="shared" si="2"/>
        <v>-0.5031058939</v>
      </c>
      <c r="L9" s="88">
        <f>'P&amp;L Summary'!$T$20/1000</f>
        <v>85.63188</v>
      </c>
      <c r="M9" s="89">
        <f>'P&amp;L Summary'!$P$20/1000</f>
        <v>102.758</v>
      </c>
      <c r="N9" s="90">
        <f>'P&amp;L Summary'!$M$20/1000</f>
        <v>36.465</v>
      </c>
      <c r="O9" s="2"/>
      <c r="P9" s="2"/>
      <c r="Q9" s="2"/>
      <c r="R9" s="91">
        <f t="shared" si="3"/>
        <v>-0.5741656028</v>
      </c>
      <c r="S9" s="92">
        <f t="shared" si="4"/>
        <v>-0.6451371183</v>
      </c>
    </row>
    <row r="10" ht="12.75" customHeight="1">
      <c r="A10" s="47" t="s">
        <v>71</v>
      </c>
      <c r="B10" s="93">
        <f t="shared" ref="B10:D10" si="7">B8+B9</f>
        <v>407.51987</v>
      </c>
      <c r="C10" s="94">
        <f t="shared" si="7"/>
        <v>450.445</v>
      </c>
      <c r="D10" s="95">
        <f t="shared" si="7"/>
        <v>427.99326</v>
      </c>
      <c r="E10" s="47"/>
      <c r="F10" s="47"/>
      <c r="G10" s="47"/>
      <c r="H10" s="47"/>
      <c r="I10" s="96">
        <f t="shared" si="1"/>
        <v>0.05023899816</v>
      </c>
      <c r="J10" s="97">
        <f t="shared" si="2"/>
        <v>-0.04984346591</v>
      </c>
      <c r="K10" s="47"/>
      <c r="L10" s="93">
        <f t="shared" ref="L10:N10" si="8">L8+L9</f>
        <v>1946.32937</v>
      </c>
      <c r="M10" s="94">
        <f t="shared" si="8"/>
        <v>2117.758</v>
      </c>
      <c r="N10" s="95">
        <f t="shared" si="8"/>
        <v>1965.82533</v>
      </c>
      <c r="O10" s="47"/>
      <c r="P10" s="47"/>
      <c r="Q10" s="47"/>
      <c r="R10" s="96">
        <f t="shared" si="3"/>
        <v>0.01001678354</v>
      </c>
      <c r="S10" s="97">
        <f t="shared" si="4"/>
        <v>-0.07174222456</v>
      </c>
    </row>
    <row r="11" ht="3.75" customHeight="1">
      <c r="A11" s="47"/>
      <c r="B11" s="88"/>
      <c r="C11" s="89"/>
      <c r="D11" s="90"/>
      <c r="E11" s="2"/>
      <c r="F11" s="2"/>
      <c r="G11" s="2"/>
      <c r="H11" s="2"/>
      <c r="I11" s="98"/>
      <c r="J11" s="99"/>
      <c r="L11" s="88"/>
      <c r="M11" s="89"/>
      <c r="N11" s="90"/>
      <c r="O11" s="2"/>
      <c r="P11" s="2"/>
      <c r="Q11" s="2"/>
      <c r="R11" s="98"/>
      <c r="S11" s="99"/>
    </row>
    <row r="12" ht="12.75" customHeight="1">
      <c r="A12" s="47" t="s">
        <v>72</v>
      </c>
      <c r="B12" s="88">
        <f>'P&amp;L Summary'!$I$32/1000</f>
        <v>251.81278</v>
      </c>
      <c r="C12" s="89">
        <f>'P&amp;L Summary'!$E$32/1000</f>
        <v>290.673</v>
      </c>
      <c r="D12" s="90">
        <f>'P&amp;L Summary'!$B$32/1000</f>
        <v>276.19203</v>
      </c>
      <c r="E12" s="2"/>
      <c r="F12" s="2"/>
      <c r="G12" s="2"/>
      <c r="H12" s="2"/>
      <c r="I12" s="91">
        <f>D12/B12-1</f>
        <v>0.09681498294</v>
      </c>
      <c r="J12" s="92">
        <f>D12/C12-1</f>
        <v>-0.04981876542</v>
      </c>
      <c r="L12" s="88">
        <f>'P&amp;L Summary'!$T$32/1000</f>
        <v>1249.1564</v>
      </c>
      <c r="M12" s="89">
        <f>'P&amp;L Summary'!$P$32/1000</f>
        <v>1366.591</v>
      </c>
      <c r="N12" s="90">
        <f>'P&amp;L Summary'!$M$32/1000</f>
        <v>1288.00764</v>
      </c>
      <c r="O12" s="2"/>
      <c r="P12" s="2"/>
      <c r="Q12" s="2"/>
      <c r="R12" s="91">
        <f>N12/L12-1</f>
        <v>0.03110198211</v>
      </c>
      <c r="S12" s="92">
        <f>N12/M12-1</f>
        <v>-0.05750320323</v>
      </c>
    </row>
    <row r="13" ht="12.75" customHeight="1">
      <c r="A13" s="47" t="s">
        <v>73</v>
      </c>
      <c r="B13" s="100">
        <f t="shared" ref="B13:D13" si="9">B12/B10</f>
        <v>0.6179153424</v>
      </c>
      <c r="C13" s="101">
        <f t="shared" si="9"/>
        <v>0.6453018682</v>
      </c>
      <c r="D13" s="102">
        <f t="shared" si="9"/>
        <v>0.6453186436</v>
      </c>
      <c r="E13" s="2"/>
      <c r="F13" s="2"/>
      <c r="G13" s="2"/>
      <c r="H13" s="2"/>
      <c r="I13" s="98"/>
      <c r="J13" s="99"/>
      <c r="L13" s="100">
        <f t="shared" ref="L13:N13" si="10">L12/L10</f>
        <v>0.6418011356</v>
      </c>
      <c r="M13" s="101">
        <f t="shared" si="10"/>
        <v>0.6453008323</v>
      </c>
      <c r="N13" s="102">
        <f t="shared" si="10"/>
        <v>0.6551994322</v>
      </c>
      <c r="O13" s="2"/>
      <c r="P13" s="2"/>
      <c r="Q13" s="2"/>
      <c r="R13" s="98"/>
      <c r="S13" s="99"/>
    </row>
    <row r="14" ht="12.75" customHeight="1">
      <c r="A14" s="47" t="s">
        <v>74</v>
      </c>
      <c r="B14" s="88">
        <f>('P&amp;L Summary'!$I$34+'P&amp;L Summary'!$I$35)/1000</f>
        <v>186.73078</v>
      </c>
      <c r="C14" s="89">
        <f>('P&amp;L Summary'!$E$34+'P&amp;L Summary'!$E$35)/1000</f>
        <v>199.197</v>
      </c>
      <c r="D14" s="90">
        <f>('P&amp;L Summary'!$B$34+'P&amp;L Summary'!$B$35)/1000</f>
        <v>205.20161</v>
      </c>
      <c r="E14" s="2"/>
      <c r="F14" s="2"/>
      <c r="G14" s="2"/>
      <c r="H14" s="2"/>
      <c r="I14" s="91">
        <f t="shared" ref="I14:I15" si="12">D14/B14-1</f>
        <v>0.09891690058</v>
      </c>
      <c r="J14" s="92">
        <f t="shared" ref="J14:J15" si="13">D14/C14-1</f>
        <v>0.03014407848</v>
      </c>
      <c r="L14" s="88">
        <f>('P&amp;L Summary'!$T$34+'P&amp;L Summary'!$T$35)/1000</f>
        <v>905.63597</v>
      </c>
      <c r="M14" s="89">
        <f>('P&amp;L Summary'!$P$34+'P&amp;L Summary'!$P$35)/1000</f>
        <v>934.357</v>
      </c>
      <c r="N14" s="90">
        <f>('P&amp;L Summary'!$M$34+'P&amp;L Summary'!$M$35)/1000</f>
        <v>920.73651</v>
      </c>
      <c r="O14" s="2"/>
      <c r="P14" s="2"/>
      <c r="Q14" s="2"/>
      <c r="R14" s="91">
        <f t="shared" ref="R14:R15" si="15">N14/L14-1</f>
        <v>0.01667396228</v>
      </c>
      <c r="S14" s="92">
        <f t="shared" ref="S14:S15" si="16">N14/M14-1</f>
        <v>-0.01457739387</v>
      </c>
    </row>
    <row r="15" ht="12.75" customHeight="1">
      <c r="A15" s="47" t="s">
        <v>75</v>
      </c>
      <c r="B15" s="93">
        <f t="shared" ref="B15:D15" si="11">B12-B14</f>
        <v>65.082</v>
      </c>
      <c r="C15" s="94">
        <f t="shared" si="11"/>
        <v>91.476</v>
      </c>
      <c r="D15" s="95">
        <f t="shared" si="11"/>
        <v>70.99042</v>
      </c>
      <c r="E15" s="47"/>
      <c r="F15" s="47"/>
      <c r="G15" s="47"/>
      <c r="H15" s="47"/>
      <c r="I15" s="96">
        <f t="shared" si="12"/>
        <v>0.09078424142</v>
      </c>
      <c r="J15" s="97">
        <f t="shared" si="13"/>
        <v>-0.2239448599</v>
      </c>
      <c r="K15" s="47"/>
      <c r="L15" s="93">
        <f t="shared" ref="L15:N15" si="14">L12-L14</f>
        <v>343.52043</v>
      </c>
      <c r="M15" s="94">
        <f t="shared" si="14"/>
        <v>432.234</v>
      </c>
      <c r="N15" s="95">
        <f t="shared" si="14"/>
        <v>367.27113</v>
      </c>
      <c r="O15" s="47"/>
      <c r="P15" s="47"/>
      <c r="Q15" s="47"/>
      <c r="R15" s="96">
        <f t="shared" si="15"/>
        <v>0.06913911932</v>
      </c>
      <c r="S15" s="97">
        <f t="shared" si="16"/>
        <v>-0.1502956038</v>
      </c>
    </row>
    <row r="16" ht="12.75" customHeight="1">
      <c r="A16" s="47" t="s">
        <v>76</v>
      </c>
      <c r="B16" s="103">
        <f t="shared" ref="B16:D16" si="17">B15/B10</f>
        <v>0.1597026422</v>
      </c>
      <c r="C16" s="104">
        <f t="shared" si="17"/>
        <v>0.2030791773</v>
      </c>
      <c r="D16" s="105">
        <f t="shared" si="17"/>
        <v>0.1658680793</v>
      </c>
      <c r="E16" s="106"/>
      <c r="F16" s="106"/>
      <c r="G16" s="106"/>
      <c r="H16" s="106"/>
      <c r="I16" s="107"/>
      <c r="J16" s="108"/>
      <c r="L16" s="103">
        <f t="shared" ref="L16:N16" si="18">L15/L10</f>
        <v>0.1764965557</v>
      </c>
      <c r="M16" s="104">
        <f t="shared" si="18"/>
        <v>0.2040998074</v>
      </c>
      <c r="N16" s="105">
        <f t="shared" si="18"/>
        <v>0.1868279569</v>
      </c>
      <c r="O16" s="106"/>
      <c r="P16" s="106"/>
      <c r="Q16" s="106"/>
      <c r="R16" s="107"/>
      <c r="S16" s="108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Y1"/>
    <mergeCell ref="B3:J3"/>
    <mergeCell ref="L3:S3"/>
  </mergeCells>
  <dataValidations>
    <dataValidation type="custom" allowBlank="1" sqref="S36 S67 G64:G144 G147:G280">
      <formula1>AND(GTE(LEN(G36),MIN((0),(10000))),LTE(LEN(G36),MAX((0),(10000))))</formula1>
    </dataValidation>
  </dataValidations>
  <printOptions/>
  <pageMargins bottom="0.5905511811023623" footer="0.0" header="0.0" left="0.35433070866141736" right="0.35433070866141736" top="0.590551181102362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pageSetUpPr fitToPage="1"/>
  </sheetPr>
  <sheetViews>
    <sheetView showGridLines="0"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35.29"/>
    <col customWidth="1" min="2" max="2" width="12.14"/>
    <col customWidth="1" min="3" max="3" width="11.43"/>
    <col customWidth="1" min="4" max="4" width="1.43"/>
    <col customWidth="1" min="5" max="5" width="14.57"/>
    <col customWidth="1" min="6" max="6" width="9.57"/>
    <col customWidth="1" min="7" max="7" width="11.29"/>
    <col customWidth="1" min="8" max="8" width="1.43"/>
    <col customWidth="1" min="9" max="9" width="11.14"/>
    <col customWidth="1" min="10" max="10" width="9.57"/>
    <col customWidth="1" min="11" max="11" width="12.57"/>
    <col customWidth="1" min="12" max="12" width="4.86"/>
    <col customWidth="1" min="13" max="13" width="13.86"/>
    <col customWidth="1" min="14" max="14" width="11.14"/>
    <col customWidth="1" min="15" max="15" width="1.43"/>
    <col customWidth="1" min="16" max="16" width="12.57"/>
    <col customWidth="1" min="17" max="17" width="9.57"/>
    <col customWidth="1" min="18" max="18" width="10.86"/>
    <col customWidth="1" min="19" max="19" width="1.43"/>
    <col customWidth="1" min="20" max="20" width="13.86"/>
    <col customWidth="1" min="21" max="21" width="9.29"/>
    <col customWidth="1" min="22" max="22" width="10.57"/>
    <col customWidth="1" min="23" max="23" width="3.57"/>
    <col customWidth="1" min="24" max="26" width="9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ht="12.75" customHeight="1">
      <c r="A2" s="1" t="s">
        <v>0</v>
      </c>
      <c r="W2" s="2"/>
      <c r="X2" s="2"/>
      <c r="Y2" s="2"/>
      <c r="Z2" s="2"/>
    </row>
    <row r="3" ht="12.0" customHeight="1">
      <c r="A3" s="1" t="s">
        <v>1</v>
      </c>
      <c r="W3" s="2"/>
      <c r="X3" s="2"/>
      <c r="Y3" s="2"/>
      <c r="Z3" s="2"/>
    </row>
    <row r="4" ht="12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  <c r="Z4" s="2"/>
    </row>
    <row r="5" ht="12.75" customHeight="1">
      <c r="A5" s="5">
        <v>43221.0</v>
      </c>
      <c r="B5" s="7"/>
      <c r="C5" s="2"/>
      <c r="D5" s="2"/>
      <c r="E5" s="2"/>
      <c r="F5" s="2"/>
      <c r="G5" s="2"/>
      <c r="H5" s="2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8"/>
      <c r="W5" s="8"/>
      <c r="X5" s="2"/>
      <c r="Y5" s="2"/>
      <c r="Z5" s="2"/>
    </row>
    <row r="6" ht="12.75" customHeight="1">
      <c r="A6" s="10">
        <f>MONTH(A5)</f>
        <v>5</v>
      </c>
      <c r="B6" s="9" t="s">
        <v>3</v>
      </c>
      <c r="C6" s="11"/>
      <c r="D6" s="11"/>
      <c r="E6" s="11"/>
      <c r="F6" s="11"/>
      <c r="G6" s="11"/>
      <c r="H6" s="11"/>
      <c r="I6" s="11"/>
      <c r="J6" s="11"/>
      <c r="K6" s="12"/>
      <c r="L6" s="10"/>
      <c r="M6" s="9" t="s">
        <v>4</v>
      </c>
      <c r="N6" s="11"/>
      <c r="O6" s="11"/>
      <c r="P6" s="11"/>
      <c r="Q6" s="11"/>
      <c r="R6" s="11"/>
      <c r="S6" s="11"/>
      <c r="T6" s="11"/>
      <c r="U6" s="11"/>
      <c r="V6" s="12"/>
      <c r="W6" s="8"/>
      <c r="X6" s="2"/>
      <c r="Y6" s="2"/>
      <c r="Z6" s="2"/>
    </row>
    <row r="7" ht="12.75" customHeight="1">
      <c r="A7" s="14"/>
      <c r="B7" s="15" t="s">
        <v>5</v>
      </c>
      <c r="D7" s="16"/>
      <c r="E7" s="17" t="s">
        <v>6</v>
      </c>
      <c r="G7" s="16"/>
      <c r="H7" s="16"/>
      <c r="I7" s="17" t="s">
        <v>7</v>
      </c>
      <c r="K7" s="18"/>
      <c r="L7" s="10"/>
      <c r="M7" s="15" t="s">
        <v>5</v>
      </c>
      <c r="O7" s="16"/>
      <c r="P7" s="17" t="s">
        <v>6</v>
      </c>
      <c r="R7" s="16"/>
      <c r="S7" s="16"/>
      <c r="T7" s="17" t="s">
        <v>7</v>
      </c>
      <c r="V7" s="18"/>
      <c r="W7" s="8"/>
      <c r="X7" s="2"/>
      <c r="Y7" s="2"/>
      <c r="Z7" s="2"/>
    </row>
    <row r="8" ht="12.75" customHeight="1">
      <c r="A8" s="4"/>
      <c r="B8" s="19" t="s">
        <v>8</v>
      </c>
      <c r="C8" s="20" t="s">
        <v>9</v>
      </c>
      <c r="D8" s="20"/>
      <c r="E8" s="16" t="s">
        <v>8</v>
      </c>
      <c r="F8" s="16" t="s">
        <v>9</v>
      </c>
      <c r="G8" s="16" t="s">
        <v>10</v>
      </c>
      <c r="H8" s="20"/>
      <c r="I8" s="16" t="s">
        <v>8</v>
      </c>
      <c r="J8" s="16" t="s">
        <v>9</v>
      </c>
      <c r="K8" s="18" t="s">
        <v>11</v>
      </c>
      <c r="L8" s="10"/>
      <c r="M8" s="19" t="s">
        <v>8</v>
      </c>
      <c r="N8" s="20" t="s">
        <v>9</v>
      </c>
      <c r="O8" s="20"/>
      <c r="P8" s="16" t="s">
        <v>8</v>
      </c>
      <c r="Q8" s="16" t="s">
        <v>9</v>
      </c>
      <c r="R8" s="16" t="s">
        <v>10</v>
      </c>
      <c r="S8" s="20"/>
      <c r="T8" s="16" t="s">
        <v>8</v>
      </c>
      <c r="U8" s="16" t="s">
        <v>9</v>
      </c>
      <c r="V8" s="18" t="s">
        <v>11</v>
      </c>
      <c r="W8" s="8"/>
      <c r="X8" s="2"/>
      <c r="Y8" s="2"/>
      <c r="Z8" s="2"/>
    </row>
    <row r="9" ht="12.75" customHeight="1">
      <c r="A9" s="8"/>
      <c r="B9" s="21"/>
      <c r="C9" s="22" t="s">
        <v>12</v>
      </c>
      <c r="D9" s="22"/>
      <c r="E9" s="10"/>
      <c r="F9" s="4" t="s">
        <v>12</v>
      </c>
      <c r="G9" s="4" t="s">
        <v>13</v>
      </c>
      <c r="H9" s="22"/>
      <c r="I9" s="10"/>
      <c r="J9" s="4" t="s">
        <v>12</v>
      </c>
      <c r="K9" s="18" t="s">
        <v>14</v>
      </c>
      <c r="L9" s="10"/>
      <c r="M9" s="21"/>
      <c r="N9" s="22" t="s">
        <v>12</v>
      </c>
      <c r="O9" s="22"/>
      <c r="P9" s="10"/>
      <c r="Q9" s="4" t="s">
        <v>12</v>
      </c>
      <c r="R9" s="4" t="s">
        <v>13</v>
      </c>
      <c r="S9" s="22"/>
      <c r="T9" s="10"/>
      <c r="U9" s="4" t="s">
        <v>12</v>
      </c>
      <c r="V9" s="18" t="s">
        <v>14</v>
      </c>
      <c r="W9" s="8"/>
      <c r="X9" s="2"/>
      <c r="Y9" s="2"/>
      <c r="Z9" s="2"/>
    </row>
    <row r="10" ht="12.75" customHeight="1">
      <c r="A10" s="8"/>
      <c r="B10" s="21"/>
      <c r="C10" s="23"/>
      <c r="D10" s="23"/>
      <c r="E10" s="10"/>
      <c r="F10" s="10"/>
      <c r="G10" s="10"/>
      <c r="H10" s="23"/>
      <c r="I10" s="10"/>
      <c r="J10" s="10"/>
      <c r="K10" s="26"/>
      <c r="L10" s="10"/>
      <c r="M10" s="21"/>
      <c r="N10" s="23"/>
      <c r="O10" s="23"/>
      <c r="P10" s="10"/>
      <c r="Q10" s="10"/>
      <c r="R10" s="10"/>
      <c r="S10" s="23"/>
      <c r="T10" s="10"/>
      <c r="U10" s="10"/>
      <c r="V10" s="26"/>
      <c r="W10" s="8"/>
      <c r="X10" s="2"/>
      <c r="Y10" s="2"/>
      <c r="Z10" s="2"/>
    </row>
    <row r="11" ht="12.75" customHeight="1">
      <c r="A11" s="8"/>
      <c r="B11" s="25"/>
      <c r="C11" s="28"/>
      <c r="D11" s="28"/>
      <c r="E11" s="8"/>
      <c r="F11" s="8"/>
      <c r="G11" s="8"/>
      <c r="H11" s="28"/>
      <c r="I11" s="8"/>
      <c r="J11" s="8"/>
      <c r="K11" s="30"/>
      <c r="L11" s="8"/>
      <c r="M11" s="25"/>
      <c r="N11" s="28"/>
      <c r="O11" s="28"/>
      <c r="P11" s="8"/>
      <c r="Q11" s="8"/>
      <c r="R11" s="8"/>
      <c r="S11" s="28"/>
      <c r="T11" s="8"/>
      <c r="U11" s="8"/>
      <c r="V11" s="30"/>
      <c r="W11" s="8"/>
      <c r="X11" s="2"/>
      <c r="Y11" s="2"/>
      <c r="Z11" s="2"/>
    </row>
    <row r="12" ht="12.75" customHeight="1">
      <c r="A12" s="32" t="s">
        <v>15</v>
      </c>
      <c r="B12" s="34">
        <f>SUMIF(ACTUAL!$A:$A,$A12,ACTUAL!$O:$O)</f>
        <v>411184.76</v>
      </c>
      <c r="C12" s="28"/>
      <c r="D12" s="28"/>
      <c r="E12" s="36">
        <f>SUMIF(BUDGET!$A:$A,$A12,BUDGET!$O:$O)</f>
        <v>430000</v>
      </c>
      <c r="F12" s="8"/>
      <c r="G12" s="27">
        <f t="shared" ref="G12:G21" si="1">IF(E12=0,0,+(B12-E12)/E12)</f>
        <v>-0.04375637209</v>
      </c>
      <c r="H12" s="29"/>
      <c r="I12" s="36">
        <f>SUMIF(PRIOR!$A:$A,$A12,PRIOR!$O:$O)</f>
        <v>382563.17</v>
      </c>
      <c r="J12" s="8"/>
      <c r="K12" s="31">
        <f t="shared" ref="K12:K21" si="2">+(B12-I12)/I12</f>
        <v>0.0748153305</v>
      </c>
      <c r="L12" s="8"/>
      <c r="M12" s="34">
        <f>SUMIF(ACTUAL!$A:$A,$A12,ACTUAL!$P:$P)</f>
        <v>1901286.83</v>
      </c>
      <c r="N12" s="28"/>
      <c r="O12" s="28"/>
      <c r="P12" s="36">
        <f>SUMIF(BUDGET!$A:$A,$A12,BUDGET!$P:$P)</f>
        <v>2015000</v>
      </c>
      <c r="Q12" s="8"/>
      <c r="R12" s="27">
        <f t="shared" ref="R12:R21" si="3">IF(P12=0,0,+(M12-P12)/P12)</f>
        <v>-0.05643333499</v>
      </c>
      <c r="S12" s="29"/>
      <c r="T12" s="36">
        <f>SUMIF(PRIOR!$A:$A,$A12,PRIOR!$P:$P)</f>
        <v>1820311.6</v>
      </c>
      <c r="U12" s="8"/>
      <c r="V12" s="31">
        <f t="shared" ref="V12:V21" si="4">IF(T12=0,0,(+M12-T12)/T12)</f>
        <v>0.04448426852</v>
      </c>
      <c r="W12" s="8"/>
      <c r="X12" s="2"/>
      <c r="Y12" s="2"/>
      <c r="Z12" s="2"/>
    </row>
    <row r="13" ht="12.75" customHeight="1">
      <c r="A13" s="32" t="s">
        <v>17</v>
      </c>
      <c r="B13" s="34">
        <f>SUMIF(ACTUAL!$A:$A,$A13,ACTUAL!$O:$O)</f>
        <v>6649.5</v>
      </c>
      <c r="C13" s="28"/>
      <c r="D13" s="28"/>
      <c r="E13" s="36">
        <f>SUMIF(BUDGET!$A:$A,$A13,BUDGET!$O:$O)</f>
        <v>0</v>
      </c>
      <c r="F13" s="8"/>
      <c r="G13" s="27">
        <f t="shared" si="1"/>
        <v>0</v>
      </c>
      <c r="H13" s="29"/>
      <c r="I13" s="36">
        <f>SUMIF(PRIOR!$A:$A,$A13,PRIOR!$O:$O)</f>
        <v>8051.21</v>
      </c>
      <c r="J13" s="8"/>
      <c r="K13" s="31">
        <f t="shared" si="2"/>
        <v>-0.1740992969</v>
      </c>
      <c r="L13" s="8"/>
      <c r="M13" s="34">
        <f>SUMIF(ACTUAL!$A:$A,$A13,ACTUAL!$P:$P)</f>
        <v>28073.5</v>
      </c>
      <c r="N13" s="28"/>
      <c r="O13" s="28"/>
      <c r="P13" s="36">
        <f>SUMIF(BUDGET!$A:$A,$A13,BUDGET!$P:$P)</f>
        <v>0</v>
      </c>
      <c r="Q13" s="8"/>
      <c r="R13" s="27">
        <f t="shared" si="3"/>
        <v>0</v>
      </c>
      <c r="S13" s="29"/>
      <c r="T13" s="36">
        <f>SUMIF(PRIOR!$A:$A,$A13,PRIOR!$P:$P)</f>
        <v>40843.65</v>
      </c>
      <c r="U13" s="8"/>
      <c r="V13" s="31">
        <f t="shared" si="4"/>
        <v>-0.312659373</v>
      </c>
      <c r="W13" s="8"/>
      <c r="X13" s="2"/>
      <c r="Y13" s="2"/>
      <c r="Z13" s="2"/>
    </row>
    <row r="14" ht="12.75" customHeight="1">
      <c r="A14" s="32" t="s">
        <v>19</v>
      </c>
      <c r="B14" s="34">
        <f>SUMIF(ACTUAL!$A:$A,$A14,ACTUAL!$O:$O)</f>
        <v>0</v>
      </c>
      <c r="C14" s="28"/>
      <c r="D14" s="28"/>
      <c r="E14" s="36">
        <f>SUMIF(BUDGET!$A:$A,$A14,BUDGET!$O:$O)</f>
        <v>0</v>
      </c>
      <c r="F14" s="8"/>
      <c r="G14" s="27">
        <f t="shared" si="1"/>
        <v>0</v>
      </c>
      <c r="H14" s="29"/>
      <c r="I14" s="36">
        <f>SUMIF(PRIOR!$A:$A,$A14,PRIOR!$O:$O)</f>
        <v>131.7</v>
      </c>
      <c r="J14" s="8"/>
      <c r="K14" s="31">
        <f t="shared" si="2"/>
        <v>-1</v>
      </c>
      <c r="L14" s="8"/>
      <c r="M14" s="34">
        <f>SUMIF(ACTUAL!$A:$A,$A14,ACTUAL!$P:$P)</f>
        <v>0</v>
      </c>
      <c r="N14" s="28"/>
      <c r="O14" s="28"/>
      <c r="P14" s="36">
        <f>SUMIF(BUDGET!$A:$A,$A14,BUDGET!$P:$P)</f>
        <v>0</v>
      </c>
      <c r="Q14" s="8"/>
      <c r="R14" s="27">
        <f t="shared" si="3"/>
        <v>0</v>
      </c>
      <c r="S14" s="29"/>
      <c r="T14" s="36">
        <f>SUMIF(PRIOR!$A:$A,$A14,PRIOR!$P:$P)</f>
        <v>457.76</v>
      </c>
      <c r="U14" s="8"/>
      <c r="V14" s="31">
        <f t="shared" si="4"/>
        <v>-1</v>
      </c>
      <c r="W14" s="8"/>
      <c r="X14" s="2"/>
      <c r="Y14" s="2"/>
      <c r="Z14" s="2"/>
    </row>
    <row r="15" ht="12.75" customHeight="1">
      <c r="A15" s="40" t="s">
        <v>20</v>
      </c>
      <c r="B15" s="41">
        <f>B12+B13-B14</f>
        <v>417834.26</v>
      </c>
      <c r="C15" s="42"/>
      <c r="D15" s="42"/>
      <c r="E15" s="43">
        <f>E12+E13-E14</f>
        <v>430000</v>
      </c>
      <c r="F15" s="24"/>
      <c r="G15" s="44">
        <f t="shared" si="1"/>
        <v>-0.0282924186</v>
      </c>
      <c r="H15" s="45"/>
      <c r="I15" s="43">
        <f>I12+I13-I14</f>
        <v>390482.68</v>
      </c>
      <c r="J15" s="24"/>
      <c r="K15" s="46">
        <f t="shared" si="2"/>
        <v>0.07004556515</v>
      </c>
      <c r="L15" s="24"/>
      <c r="M15" s="41">
        <f>M12+M13-M14</f>
        <v>1929360.33</v>
      </c>
      <c r="N15" s="42"/>
      <c r="O15" s="42"/>
      <c r="P15" s="43">
        <f>P12+P13-P14</f>
        <v>2015000</v>
      </c>
      <c r="Q15" s="24"/>
      <c r="R15" s="44">
        <f t="shared" si="3"/>
        <v>-0.04250107692</v>
      </c>
      <c r="S15" s="45"/>
      <c r="T15" s="43">
        <f>T12+T13-T14</f>
        <v>1860697.49</v>
      </c>
      <c r="U15" s="24"/>
      <c r="V15" s="46">
        <f t="shared" si="4"/>
        <v>0.03690166745</v>
      </c>
      <c r="W15" s="24"/>
      <c r="X15" s="47"/>
      <c r="Y15" s="47"/>
      <c r="Z15" s="47"/>
    </row>
    <row r="16" ht="12.75" customHeight="1">
      <c r="A16" s="32" t="s">
        <v>23</v>
      </c>
      <c r="B16" s="34">
        <f>SUMIF(ACTUAL!$A:$A,$A16,ACTUAL!$O:$O)</f>
        <v>10159</v>
      </c>
      <c r="C16" s="28"/>
      <c r="D16" s="28"/>
      <c r="E16" s="36">
        <f>SUMIF(BUDGET!$A:$A,$A16,BUDGET!$O:$O)</f>
        <v>20445</v>
      </c>
      <c r="F16" s="8"/>
      <c r="G16" s="27">
        <f t="shared" si="1"/>
        <v>-0.5031058939</v>
      </c>
      <c r="H16" s="29"/>
      <c r="I16" s="36">
        <f>SUMIF(PRIOR!$A:$A,$A16,PRIOR!$O:$O)</f>
        <v>17037.19</v>
      </c>
      <c r="J16" s="8"/>
      <c r="K16" s="31">
        <f t="shared" si="2"/>
        <v>-0.4037162232</v>
      </c>
      <c r="L16" s="8"/>
      <c r="M16" s="34">
        <f>SUMIF(ACTUAL!$A:$A,$A16,ACTUAL!$P:$P)</f>
        <v>36465</v>
      </c>
      <c r="N16" s="28"/>
      <c r="O16" s="28"/>
      <c r="P16" s="36">
        <f>SUMIF(BUDGET!$A:$A,$A16,BUDGET!$P:$P)</f>
        <v>102758</v>
      </c>
      <c r="Q16" s="8"/>
      <c r="R16" s="27">
        <f t="shared" si="3"/>
        <v>-0.6451371183</v>
      </c>
      <c r="S16" s="29"/>
      <c r="T16" s="36">
        <f>SUMIF(PRIOR!$A:$A,$A16,PRIOR!$P:$P)</f>
        <v>85631.88</v>
      </c>
      <c r="U16" s="8"/>
      <c r="V16" s="31">
        <f t="shared" si="4"/>
        <v>-0.5741656028</v>
      </c>
      <c r="W16" s="8"/>
      <c r="X16" s="2"/>
      <c r="Y16" s="2"/>
      <c r="Z16" s="2"/>
    </row>
    <row r="17" ht="12.75" customHeight="1">
      <c r="A17" s="32" t="s">
        <v>25</v>
      </c>
      <c r="B17" s="34">
        <f>SUMIF(ACTUAL!$A:$A,$A17,ACTUAL!$O:$O)</f>
        <v>0</v>
      </c>
      <c r="C17" s="28"/>
      <c r="D17" s="28"/>
      <c r="E17" s="36">
        <f>SUMIF(BUDGET!$A:$A,$A17,BUDGET!$O:$O)</f>
        <v>0</v>
      </c>
      <c r="F17" s="8"/>
      <c r="G17" s="27">
        <f t="shared" si="1"/>
        <v>0</v>
      </c>
      <c r="H17" s="29"/>
      <c r="I17" s="36">
        <f>SUMIF(PRIOR!$A:$A,$A17,PRIOR!$O:$O)</f>
        <v>0</v>
      </c>
      <c r="J17" s="8"/>
      <c r="K17" s="31" t="str">
        <f t="shared" si="2"/>
        <v>#DIV/0!</v>
      </c>
      <c r="L17" s="8"/>
      <c r="M17" s="34">
        <f>SUMIF(ACTUAL!$A:$A,$A17,ACTUAL!$P:$P)</f>
        <v>0</v>
      </c>
      <c r="N17" s="28"/>
      <c r="O17" s="28"/>
      <c r="P17" s="36">
        <f>SUMIF(BUDGET!$A:$A,$A17,BUDGET!$P:$P)</f>
        <v>0</v>
      </c>
      <c r="Q17" s="8"/>
      <c r="R17" s="27">
        <f t="shared" si="3"/>
        <v>0</v>
      </c>
      <c r="S17" s="29"/>
      <c r="T17" s="36">
        <f>SUMIF(PRIOR!$A:$A,$A17,PRIOR!$P:$P)</f>
        <v>0</v>
      </c>
      <c r="U17" s="8"/>
      <c r="V17" s="31">
        <f t="shared" si="4"/>
        <v>0</v>
      </c>
      <c r="W17" s="8"/>
      <c r="X17" s="2"/>
      <c r="Y17" s="2"/>
      <c r="Z17" s="2"/>
    </row>
    <row r="18" ht="12.75" customHeight="1">
      <c r="A18" s="32" t="s">
        <v>27</v>
      </c>
      <c r="B18" s="34">
        <f>SUMIF(ACTUAL!$A:$A,$A18,ACTUAL!$O:$O)</f>
        <v>0</v>
      </c>
      <c r="C18" s="28"/>
      <c r="D18" s="28"/>
      <c r="E18" s="36">
        <f>SUMIF(BUDGET!$A:$A,$A18,BUDGET!$O:$O)</f>
        <v>0</v>
      </c>
      <c r="F18" s="8"/>
      <c r="G18" s="27">
        <f t="shared" si="1"/>
        <v>0</v>
      </c>
      <c r="H18" s="29"/>
      <c r="I18" s="36">
        <f>SUMIF(PRIOR!$A:$A,$A18,PRIOR!$O:$O)</f>
        <v>0</v>
      </c>
      <c r="J18" s="8"/>
      <c r="K18" s="31" t="str">
        <f t="shared" si="2"/>
        <v>#DIV/0!</v>
      </c>
      <c r="L18" s="8"/>
      <c r="M18" s="34">
        <f>SUMIF(ACTUAL!$A:$A,$A18,ACTUAL!$P:$P)</f>
        <v>0</v>
      </c>
      <c r="N18" s="28"/>
      <c r="O18" s="28"/>
      <c r="P18" s="36">
        <f>SUMIF(BUDGET!$A:$A,$A18,BUDGET!$P:$P)</f>
        <v>0</v>
      </c>
      <c r="Q18" s="8"/>
      <c r="R18" s="27">
        <f t="shared" si="3"/>
        <v>0</v>
      </c>
      <c r="S18" s="29"/>
      <c r="T18" s="36">
        <f>SUMIF(PRIOR!$A:$A,$A18,PRIOR!$P:$P)</f>
        <v>0</v>
      </c>
      <c r="U18" s="8"/>
      <c r="V18" s="31">
        <f t="shared" si="4"/>
        <v>0</v>
      </c>
      <c r="W18" s="8"/>
      <c r="X18" s="2"/>
      <c r="Y18" s="2"/>
      <c r="Z18" s="2"/>
    </row>
    <row r="19" ht="12.75" customHeight="1">
      <c r="A19" s="32" t="s">
        <v>28</v>
      </c>
      <c r="B19" s="34">
        <f>SUMIF(ACTUAL!$A:$A,$A19,ACTUAL!$O:$O)</f>
        <v>0</v>
      </c>
      <c r="C19" s="28"/>
      <c r="D19" s="28"/>
      <c r="E19" s="36">
        <f>SUMIF(BUDGET!$A:$A,$A19,BUDGET!$O:$O)</f>
        <v>0</v>
      </c>
      <c r="F19" s="8"/>
      <c r="G19" s="27">
        <f t="shared" si="1"/>
        <v>0</v>
      </c>
      <c r="H19" s="29"/>
      <c r="I19" s="36">
        <f>SUMIF(PRIOR!$A:$A,$A19,PRIOR!$O:$O)</f>
        <v>0</v>
      </c>
      <c r="J19" s="8"/>
      <c r="K19" s="31" t="str">
        <f t="shared" si="2"/>
        <v>#DIV/0!</v>
      </c>
      <c r="L19" s="8"/>
      <c r="M19" s="34">
        <f>SUMIF(ACTUAL!$A:$A,$A19,ACTUAL!$P:$P)</f>
        <v>0</v>
      </c>
      <c r="N19" s="28"/>
      <c r="O19" s="28"/>
      <c r="P19" s="36">
        <f>SUMIF(BUDGET!$A:$A,$A19,BUDGET!$P:$P)</f>
        <v>0</v>
      </c>
      <c r="Q19" s="8"/>
      <c r="R19" s="27">
        <f t="shared" si="3"/>
        <v>0</v>
      </c>
      <c r="S19" s="29"/>
      <c r="T19" s="36">
        <f>SUMIF(PRIOR!$A:$A,$A19,PRIOR!$P:$P)</f>
        <v>0</v>
      </c>
      <c r="U19" s="8"/>
      <c r="V19" s="31">
        <f t="shared" si="4"/>
        <v>0</v>
      </c>
      <c r="W19" s="8"/>
      <c r="X19" s="2"/>
      <c r="Y19" s="2"/>
      <c r="Z19" s="2"/>
    </row>
    <row r="20" ht="12.75" customHeight="1">
      <c r="A20" s="40" t="s">
        <v>30</v>
      </c>
      <c r="B20" s="41">
        <f>B16+B17+B18-B19</f>
        <v>10159</v>
      </c>
      <c r="C20" s="42"/>
      <c r="D20" s="42"/>
      <c r="E20" s="43">
        <f>E16+E17+E18-E19</f>
        <v>20445</v>
      </c>
      <c r="F20" s="24"/>
      <c r="G20" s="44">
        <f t="shared" si="1"/>
        <v>-0.5031058939</v>
      </c>
      <c r="H20" s="45"/>
      <c r="I20" s="43">
        <f>I16+I17+I18-I19</f>
        <v>17037.19</v>
      </c>
      <c r="J20" s="24"/>
      <c r="K20" s="46">
        <f t="shared" si="2"/>
        <v>-0.4037162232</v>
      </c>
      <c r="L20" s="24"/>
      <c r="M20" s="41">
        <f>M16+M17+M18-M19</f>
        <v>36465</v>
      </c>
      <c r="N20" s="42"/>
      <c r="O20" s="42"/>
      <c r="P20" s="43">
        <f>P16+P17+P18-P19</f>
        <v>102758</v>
      </c>
      <c r="Q20" s="24"/>
      <c r="R20" s="44">
        <f t="shared" si="3"/>
        <v>-0.6451371183</v>
      </c>
      <c r="S20" s="45"/>
      <c r="T20" s="43">
        <f>T16+T17+T18-T19</f>
        <v>85631.88</v>
      </c>
      <c r="U20" s="24"/>
      <c r="V20" s="46">
        <f t="shared" si="4"/>
        <v>-0.5741656028</v>
      </c>
      <c r="W20" s="24"/>
      <c r="X20" s="47"/>
      <c r="Y20" s="47"/>
      <c r="Z20" s="47"/>
    </row>
    <row r="21" ht="12.75" customHeight="1">
      <c r="A21" s="24" t="s">
        <v>32</v>
      </c>
      <c r="B21" s="48">
        <f>B20+B15</f>
        <v>427993.26</v>
      </c>
      <c r="C21" s="49">
        <f>+B21/$B21</f>
        <v>1</v>
      </c>
      <c r="D21" s="49"/>
      <c r="E21" s="50">
        <f>E20+E15</f>
        <v>450445</v>
      </c>
      <c r="F21" s="51">
        <f>+E21/E$21</f>
        <v>1</v>
      </c>
      <c r="G21" s="51">
        <f t="shared" si="1"/>
        <v>-0.04984346591</v>
      </c>
      <c r="H21" s="49"/>
      <c r="I21" s="50">
        <f>I20+I15</f>
        <v>407519.87</v>
      </c>
      <c r="J21" s="51">
        <f>+I21/I$21</f>
        <v>1</v>
      </c>
      <c r="K21" s="52">
        <f t="shared" si="2"/>
        <v>0.05023899816</v>
      </c>
      <c r="L21" s="27"/>
      <c r="M21" s="48">
        <f>M20+M15</f>
        <v>1965825.33</v>
      </c>
      <c r="N21" s="49">
        <f>+M21/M$21</f>
        <v>1</v>
      </c>
      <c r="O21" s="49"/>
      <c r="P21" s="50">
        <f>P20+P15</f>
        <v>2117758</v>
      </c>
      <c r="Q21" s="51">
        <f>+P21/P$21</f>
        <v>1</v>
      </c>
      <c r="R21" s="51">
        <f t="shared" si="3"/>
        <v>-0.07174222456</v>
      </c>
      <c r="S21" s="49"/>
      <c r="T21" s="50">
        <f>T20+T15</f>
        <v>1946329.37</v>
      </c>
      <c r="U21" s="51">
        <f>+T21/T$21</f>
        <v>1</v>
      </c>
      <c r="V21" s="52">
        <f t="shared" si="4"/>
        <v>0.01001678354</v>
      </c>
      <c r="W21" s="8"/>
      <c r="X21" s="2"/>
      <c r="Y21" s="2"/>
      <c r="Z21" s="2"/>
    </row>
    <row r="22" ht="12.75" customHeight="1">
      <c r="A22" s="8"/>
      <c r="B22" s="34"/>
      <c r="C22" s="28"/>
      <c r="D22" s="28"/>
      <c r="E22" s="36"/>
      <c r="F22" s="8"/>
      <c r="G22" s="8"/>
      <c r="H22" s="28"/>
      <c r="I22" s="36"/>
      <c r="J22" s="8"/>
      <c r="K22" s="30"/>
      <c r="L22" s="8"/>
      <c r="M22" s="34"/>
      <c r="N22" s="28"/>
      <c r="O22" s="28"/>
      <c r="P22" s="36"/>
      <c r="Q22" s="8"/>
      <c r="R22" s="8"/>
      <c r="S22" s="28"/>
      <c r="T22" s="36"/>
      <c r="U22" s="8"/>
      <c r="V22" s="30"/>
      <c r="W22" s="8"/>
      <c r="X22" s="2"/>
      <c r="Y22" s="2"/>
      <c r="Z22" s="2"/>
    </row>
    <row r="23" ht="12.75" customHeight="1">
      <c r="A23" s="24" t="s">
        <v>35</v>
      </c>
      <c r="B23" s="34">
        <f>SUMIF(ACTUAL!$A:$A,$A23,ACTUAL!$O:$O)</f>
        <v>23</v>
      </c>
      <c r="C23" s="28"/>
      <c r="D23" s="28"/>
      <c r="E23" s="36">
        <f>SUMIF(BUDGET!$A:$A,$A23,BUDGET!$O:$O)</f>
        <v>23</v>
      </c>
      <c r="F23" s="8"/>
      <c r="G23" s="8"/>
      <c r="H23" s="28"/>
      <c r="I23" s="36">
        <f>SUMIF(PRIOR!$A:$A,$A23,PRIOR!$O:$O)</f>
        <v>23</v>
      </c>
      <c r="J23" s="8"/>
      <c r="K23" s="30"/>
      <c r="L23" s="8"/>
      <c r="M23" s="34">
        <f>SUMIF(ACTUAL!$A:$A,$A23,ACTUAL!$P:$P)</f>
        <v>85</v>
      </c>
      <c r="N23" s="28"/>
      <c r="O23" s="28"/>
      <c r="P23" s="36">
        <f>SUMIF(BUDGET!$A:$A,$A23,BUDGET!$P:$P)</f>
        <v>106</v>
      </c>
      <c r="Q23" s="8"/>
      <c r="R23" s="8"/>
      <c r="S23" s="28"/>
      <c r="T23" s="36">
        <f>SUMIF(PRIOR!$A:$A,$A23,PRIOR!$P:$P)</f>
        <v>103</v>
      </c>
      <c r="U23" s="8"/>
      <c r="V23" s="30"/>
      <c r="W23" s="8"/>
      <c r="X23" s="2"/>
      <c r="Y23" s="2"/>
      <c r="Z23" s="2"/>
    </row>
    <row r="24" ht="12.75" customHeight="1">
      <c r="A24" s="24" t="s">
        <v>36</v>
      </c>
      <c r="B24" s="34">
        <f>+B15/B23</f>
        <v>18166.70696</v>
      </c>
      <c r="C24" s="28"/>
      <c r="D24" s="28"/>
      <c r="E24" s="36">
        <f>+E15/E23</f>
        <v>18695.65217</v>
      </c>
      <c r="F24" s="8"/>
      <c r="G24" s="8"/>
      <c r="H24" s="28"/>
      <c r="I24" s="36">
        <f>+I15/I23</f>
        <v>16977.50783</v>
      </c>
      <c r="J24" s="8"/>
      <c r="K24" s="30"/>
      <c r="L24" s="8"/>
      <c r="M24" s="34">
        <f>+M15/M23</f>
        <v>22698.35682</v>
      </c>
      <c r="N24" s="28"/>
      <c r="O24" s="28"/>
      <c r="P24" s="36">
        <f>+P15/P23</f>
        <v>19009.43396</v>
      </c>
      <c r="Q24" s="8"/>
      <c r="R24" s="8"/>
      <c r="S24" s="28"/>
      <c r="T24" s="36">
        <f>+T15/T23</f>
        <v>18065.02417</v>
      </c>
      <c r="U24" s="8"/>
      <c r="V24" s="30"/>
      <c r="W24" s="8"/>
      <c r="X24" s="2"/>
      <c r="Y24" s="2"/>
      <c r="Z24" s="2"/>
    </row>
    <row r="25" ht="12.75" customHeight="1">
      <c r="A25" s="8"/>
      <c r="B25" s="34"/>
      <c r="C25" s="28"/>
      <c r="D25" s="28"/>
      <c r="E25" s="36"/>
      <c r="F25" s="8"/>
      <c r="G25" s="8"/>
      <c r="H25" s="28"/>
      <c r="I25" s="36"/>
      <c r="J25" s="8"/>
      <c r="K25" s="30"/>
      <c r="L25" s="8"/>
      <c r="M25" s="34"/>
      <c r="N25" s="28"/>
      <c r="O25" s="28"/>
      <c r="P25" s="36"/>
      <c r="Q25" s="8"/>
      <c r="R25" s="8"/>
      <c r="S25" s="28"/>
      <c r="T25" s="36"/>
      <c r="U25" s="8"/>
      <c r="V25" s="30"/>
      <c r="W25" s="8"/>
      <c r="X25" s="2"/>
      <c r="Y25" s="2"/>
      <c r="Z25" s="2"/>
    </row>
    <row r="26" ht="12.75" customHeight="1">
      <c r="A26" s="8" t="s">
        <v>38</v>
      </c>
      <c r="B26" s="34">
        <f>SUMIF(ACTUAL!$A:$A,$A26,ACTUAL!$O:$O)</f>
        <v>208.43</v>
      </c>
      <c r="C26" s="27">
        <f t="shared" ref="C26:C28" si="5">+B26/B$21</f>
        <v>0.0004869936503</v>
      </c>
      <c r="D26" s="29"/>
      <c r="E26" s="36">
        <f>SUMIF(BUDGET!$A:$A,$A26,BUDGET!$O:$O)</f>
        <v>0</v>
      </c>
      <c r="F26" s="27">
        <f t="shared" ref="F26:F28" si="6">+E26/E$21</f>
        <v>0</v>
      </c>
      <c r="G26" s="27">
        <f t="shared" ref="G26:G28" si="7">IF(E26=0,0,+(B26-E26)/E26)</f>
        <v>0</v>
      </c>
      <c r="H26" s="29"/>
      <c r="I26" s="36">
        <f>SUMIF(PRIOR!$A:$A,$A26,PRIOR!$O:$O)</f>
        <v>259.95</v>
      </c>
      <c r="J26" s="27">
        <f t="shared" ref="J26:J28" si="8">+I26/I$21</f>
        <v>0.0006378830068</v>
      </c>
      <c r="K26" s="31">
        <f t="shared" ref="K26:K28" si="9">+(B26-I26)/I26</f>
        <v>-0.19819196</v>
      </c>
      <c r="L26" s="27"/>
      <c r="M26" s="34">
        <f>SUMIF(ACTUAL!$A:$A,$A26,ACTUAL!$P:$P)</f>
        <v>1081.75</v>
      </c>
      <c r="N26" s="27">
        <f t="shared" ref="N26:N28" si="10">+M26/M$21</f>
        <v>0.0005502777808</v>
      </c>
      <c r="O26" s="29"/>
      <c r="P26" s="36">
        <f>SUMIF(BUDGET!$A:$A,$A26,BUDGET!$P:$P)</f>
        <v>0</v>
      </c>
      <c r="Q26" s="27">
        <f t="shared" ref="Q26:Q28" si="11">+P26/P$21</f>
        <v>0</v>
      </c>
      <c r="R26" s="27">
        <f t="shared" ref="R26:R28" si="12">IF(P26=0,0,+(M26-P26)/P26)</f>
        <v>0</v>
      </c>
      <c r="S26" s="29"/>
      <c r="T26" s="36">
        <f>SUMIF(PRIOR!$A:$A,$A26,PRIOR!$P:$P)</f>
        <v>1405.75</v>
      </c>
      <c r="U26" s="27">
        <f t="shared" ref="U26:U28" si="13">+T26/T$21</f>
        <v>0.0007222569939</v>
      </c>
      <c r="V26" s="31">
        <f t="shared" ref="V26:V28" si="14">IF(T26=0,0,(+M26-T26)/T26)</f>
        <v>-0.2304819491</v>
      </c>
      <c r="W26" s="8"/>
      <c r="X26" s="2"/>
      <c r="Y26" s="2"/>
      <c r="Z26" s="2"/>
    </row>
    <row r="27" ht="12.75" customHeight="1">
      <c r="A27" s="8" t="s">
        <v>41</v>
      </c>
      <c r="B27" s="34">
        <f>SUMIF(ACTUAL!$A:$A,$A27,ACTUAL!$O:$O)</f>
        <v>151592.8</v>
      </c>
      <c r="C27" s="27">
        <f t="shared" si="5"/>
        <v>0.3541943628</v>
      </c>
      <c r="D27" s="29"/>
      <c r="E27" s="36">
        <f>SUMIF(BUDGET!$A:$A,$A27,BUDGET!$O:$O)</f>
        <v>159772</v>
      </c>
      <c r="F27" s="27">
        <f t="shared" si="6"/>
        <v>0.3546981318</v>
      </c>
      <c r="G27" s="27">
        <f t="shared" si="7"/>
        <v>-0.05119294995</v>
      </c>
      <c r="H27" s="29"/>
      <c r="I27" s="36">
        <f>SUMIF(PRIOR!$A:$A,$A27,PRIOR!$O:$O)</f>
        <v>155447.14</v>
      </c>
      <c r="J27" s="27">
        <f t="shared" si="8"/>
        <v>0.3814467746</v>
      </c>
      <c r="K27" s="31">
        <f t="shared" si="9"/>
        <v>-0.02479518118</v>
      </c>
      <c r="L27" s="27"/>
      <c r="M27" s="34">
        <f>SUMIF(ACTUAL!$A:$A,$A27,ACTUAL!$P:$P)</f>
        <v>676735.94</v>
      </c>
      <c r="N27" s="27">
        <f t="shared" si="10"/>
        <v>0.34425029</v>
      </c>
      <c r="O27" s="29"/>
      <c r="P27" s="36">
        <f>SUMIF(BUDGET!$A:$A,$A27,BUDGET!$P:$P)</f>
        <v>751167</v>
      </c>
      <c r="Q27" s="27">
        <f t="shared" si="11"/>
        <v>0.3546991677</v>
      </c>
      <c r="R27" s="27">
        <f t="shared" si="12"/>
        <v>-0.0990872336</v>
      </c>
      <c r="S27" s="29"/>
      <c r="T27" s="36">
        <f>SUMIF(PRIOR!$A:$A,$A27,PRIOR!$P:$P)</f>
        <v>695767.22</v>
      </c>
      <c r="U27" s="27">
        <f t="shared" si="13"/>
        <v>0.3574766074</v>
      </c>
      <c r="V27" s="31">
        <f t="shared" si="14"/>
        <v>-0.0273529414</v>
      </c>
      <c r="W27" s="8"/>
      <c r="X27" s="2"/>
      <c r="Y27" s="2"/>
      <c r="Z27" s="2"/>
    </row>
    <row r="28" ht="12.75" customHeight="1">
      <c r="A28" s="8" t="s">
        <v>42</v>
      </c>
      <c r="B28" s="34">
        <f>SUMIF(ACTUAL!$A:$A,$A28,ACTUAL!$O:$O)</f>
        <v>0</v>
      </c>
      <c r="C28" s="27">
        <f t="shared" si="5"/>
        <v>0</v>
      </c>
      <c r="D28" s="29"/>
      <c r="E28" s="36">
        <f>SUMIF(BUDGET!$A:$A,$A28,BUDGET!$O:$O)</f>
        <v>0</v>
      </c>
      <c r="F28" s="27">
        <f t="shared" si="6"/>
        <v>0</v>
      </c>
      <c r="G28" s="27">
        <f t="shared" si="7"/>
        <v>0</v>
      </c>
      <c r="H28" s="29"/>
      <c r="I28" s="36">
        <f>SUMIF(PRIOR!$A:$A,$A28,PRIOR!$O:$O)</f>
        <v>0</v>
      </c>
      <c r="J28" s="27">
        <f t="shared" si="8"/>
        <v>0</v>
      </c>
      <c r="K28" s="31" t="str">
        <f t="shared" si="9"/>
        <v>#DIV/0!</v>
      </c>
      <c r="L28" s="27"/>
      <c r="M28" s="34">
        <f>SUMIF(ACTUAL!$A:$A,$A28,ACTUAL!$P:$P)</f>
        <v>0</v>
      </c>
      <c r="N28" s="27">
        <f t="shared" si="10"/>
        <v>0</v>
      </c>
      <c r="O28" s="29"/>
      <c r="P28" s="36">
        <f>SUMIF(BUDGET!$A:$A,$A28,BUDGET!$P:$P)</f>
        <v>0</v>
      </c>
      <c r="Q28" s="27">
        <f t="shared" si="11"/>
        <v>0</v>
      </c>
      <c r="R28" s="27">
        <f t="shared" si="12"/>
        <v>0</v>
      </c>
      <c r="S28" s="29"/>
      <c r="T28" s="36">
        <f>SUMIF(PRIOR!$A:$A,$A28,PRIOR!$P:$P)</f>
        <v>0</v>
      </c>
      <c r="U28" s="27">
        <f t="shared" si="13"/>
        <v>0</v>
      </c>
      <c r="V28" s="31">
        <f t="shared" si="14"/>
        <v>0</v>
      </c>
      <c r="W28" s="8"/>
      <c r="X28" s="2"/>
      <c r="Y28" s="2"/>
      <c r="Z28" s="2"/>
    </row>
    <row r="29" ht="12.75" customHeight="1">
      <c r="A29" s="8" t="s">
        <v>43</v>
      </c>
      <c r="B29" s="34">
        <f>SUMIF(ACTUAL!$A:$A,$A29,ACTUAL!$O:$O)</f>
        <v>0</v>
      </c>
      <c r="C29" s="29"/>
      <c r="D29" s="29"/>
      <c r="E29" s="36">
        <f>SUMIF(BUDGET!$A:$A,$A29,BUDGET!$O:$O)</f>
        <v>0</v>
      </c>
      <c r="F29" s="27"/>
      <c r="G29" s="27"/>
      <c r="H29" s="29"/>
      <c r="I29" s="36">
        <f>SUMIF(PRIOR!$A:$A,$A29,PRIOR!$O:$O)</f>
        <v>0</v>
      </c>
      <c r="J29" s="27"/>
      <c r="K29" s="31"/>
      <c r="L29" s="27"/>
      <c r="M29" s="34">
        <f>SUMIF(ACTUAL!$A:$A,$A29,ACTUAL!$P:$P)</f>
        <v>0</v>
      </c>
      <c r="N29" s="27"/>
      <c r="O29" s="29"/>
      <c r="P29" s="36">
        <f>SUMIF(BUDGET!$A:$A,$A29,BUDGET!$P:$P)</f>
        <v>0</v>
      </c>
      <c r="Q29" s="27"/>
      <c r="R29" s="27"/>
      <c r="S29" s="29"/>
      <c r="T29" s="36">
        <f>SUMIF(PRIOR!$A:$A,$A29,PRIOR!$P:$P)</f>
        <v>0</v>
      </c>
      <c r="U29" s="27"/>
      <c r="V29" s="31"/>
      <c r="W29" s="8"/>
      <c r="X29" s="2"/>
      <c r="Y29" s="2"/>
      <c r="Z29" s="2"/>
    </row>
    <row r="30" ht="12.75" customHeight="1">
      <c r="A30" s="8" t="s">
        <v>46</v>
      </c>
      <c r="B30" s="61">
        <f>SUM(B26:B29)</f>
        <v>151801.23</v>
      </c>
      <c r="C30" s="62">
        <f>+B30/B$21</f>
        <v>0.3546813564</v>
      </c>
      <c r="D30" s="63"/>
      <c r="E30" s="64">
        <f>SUM(E26:E29)</f>
        <v>159772</v>
      </c>
      <c r="F30" s="62">
        <f>+E30/E$21</f>
        <v>0.3546981318</v>
      </c>
      <c r="G30" s="62">
        <f>IF(E30=0,0,+(B30-E30)/E30)</f>
        <v>-0.04988840347</v>
      </c>
      <c r="H30" s="63"/>
      <c r="I30" s="64">
        <f>SUM(I26:I29)</f>
        <v>155707.09</v>
      </c>
      <c r="J30" s="62">
        <f>+I30/I$21</f>
        <v>0.3820846576</v>
      </c>
      <c r="K30" s="65">
        <f>+(B30-I30)/I30</f>
        <v>-0.02508466377</v>
      </c>
      <c r="L30" s="27"/>
      <c r="M30" s="61">
        <f>SUM(M26:M29)</f>
        <v>677817.69</v>
      </c>
      <c r="N30" s="62">
        <f>+M30/M$21</f>
        <v>0.3448005678</v>
      </c>
      <c r="O30" s="63"/>
      <c r="P30" s="64">
        <f>SUM(P26:P29)</f>
        <v>751167</v>
      </c>
      <c r="Q30" s="62">
        <f>+P30/P$21</f>
        <v>0.3546991677</v>
      </c>
      <c r="R30" s="51">
        <f>IF(P30=0,0,+(M30-P30)/P30)</f>
        <v>-0.09764714105</v>
      </c>
      <c r="S30" s="63"/>
      <c r="T30" s="64">
        <f>SUM(T26:T29)</f>
        <v>697172.97</v>
      </c>
      <c r="U30" s="62">
        <f>+T30/T$21</f>
        <v>0.3581988644</v>
      </c>
      <c r="V30" s="65">
        <f>IF(T30=0,0,(+M30-T30)/T30)</f>
        <v>-0.02776252212</v>
      </c>
      <c r="W30" s="8"/>
      <c r="X30" s="2"/>
      <c r="Y30" s="2"/>
      <c r="Z30" s="2"/>
    </row>
    <row r="31" ht="12.75" customHeight="1">
      <c r="A31" s="8"/>
      <c r="B31" s="34"/>
      <c r="C31" s="28"/>
      <c r="D31" s="28"/>
      <c r="E31" s="36"/>
      <c r="F31" s="8"/>
      <c r="G31" s="8"/>
      <c r="H31" s="28"/>
      <c r="I31" s="36"/>
      <c r="J31" s="8"/>
      <c r="K31" s="30"/>
      <c r="L31" s="8"/>
      <c r="M31" s="34"/>
      <c r="N31" s="8"/>
      <c r="O31" s="28"/>
      <c r="P31" s="36"/>
      <c r="Q31" s="8"/>
      <c r="R31" s="8"/>
      <c r="S31" s="28"/>
      <c r="T31" s="36"/>
      <c r="U31" s="8"/>
      <c r="V31" s="30"/>
      <c r="W31" s="8"/>
      <c r="X31" s="2"/>
      <c r="Y31" s="2"/>
      <c r="Z31" s="2"/>
    </row>
    <row r="32" ht="12.75" customHeight="1">
      <c r="A32" s="24" t="s">
        <v>48</v>
      </c>
      <c r="B32" s="48">
        <f>+B21-B30</f>
        <v>276192.03</v>
      </c>
      <c r="C32" s="51">
        <f>+B32/B$21</f>
        <v>0.6453186436</v>
      </c>
      <c r="D32" s="49"/>
      <c r="E32" s="50">
        <f>+E21-E30</f>
        <v>290673</v>
      </c>
      <c r="F32" s="51">
        <f>+E32/E$21</f>
        <v>0.6453018682</v>
      </c>
      <c r="G32" s="51">
        <f>IF(E32=0,0,+(B32-E32)/E32)</f>
        <v>-0.04981876542</v>
      </c>
      <c r="H32" s="49"/>
      <c r="I32" s="50">
        <f>+I21-I30</f>
        <v>251812.78</v>
      </c>
      <c r="J32" s="51">
        <f>+I32/I$21</f>
        <v>0.6179153424</v>
      </c>
      <c r="K32" s="52">
        <f>+(B32-I32)/I32</f>
        <v>0.09681498294</v>
      </c>
      <c r="L32" s="27"/>
      <c r="M32" s="48">
        <f>+M21-M30</f>
        <v>1288007.64</v>
      </c>
      <c r="N32" s="51">
        <f>+M32/M$21</f>
        <v>0.6551994322</v>
      </c>
      <c r="O32" s="49"/>
      <c r="P32" s="50">
        <f>+P21-P30</f>
        <v>1366591</v>
      </c>
      <c r="Q32" s="51">
        <f>+P32/P$21</f>
        <v>0.6453008323</v>
      </c>
      <c r="R32" s="51">
        <f>IF(P32=0,0,+(M32-P32)/P32)</f>
        <v>-0.05750320323</v>
      </c>
      <c r="S32" s="49"/>
      <c r="T32" s="50">
        <f>+T21-T30</f>
        <v>1249156.4</v>
      </c>
      <c r="U32" s="51">
        <f>+T32/T$21</f>
        <v>0.6418011356</v>
      </c>
      <c r="V32" s="52">
        <f>IF(T32=0,0,(+M32-T32)/T32)</f>
        <v>0.03110198211</v>
      </c>
      <c r="W32" s="8"/>
      <c r="X32" s="2"/>
      <c r="Y32" s="2"/>
      <c r="Z32" s="2"/>
    </row>
    <row r="33" ht="12.75" customHeight="1">
      <c r="A33" s="8"/>
      <c r="B33" s="34"/>
      <c r="C33" s="28"/>
      <c r="D33" s="28"/>
      <c r="E33" s="36"/>
      <c r="F33" s="8"/>
      <c r="G33" s="8"/>
      <c r="H33" s="28"/>
      <c r="I33" s="36"/>
      <c r="J33" s="8"/>
      <c r="K33" s="30"/>
      <c r="L33" s="8"/>
      <c r="M33" s="34"/>
      <c r="N33" s="8"/>
      <c r="O33" s="28"/>
      <c r="P33" s="36"/>
      <c r="Q33" s="8"/>
      <c r="R33" s="8"/>
      <c r="S33" s="28"/>
      <c r="T33" s="36"/>
      <c r="U33" s="8"/>
      <c r="V33" s="30"/>
      <c r="W33" s="8"/>
      <c r="X33" s="2"/>
      <c r="Y33" s="2"/>
      <c r="Z33" s="2"/>
    </row>
    <row r="34" ht="12.75" customHeight="1">
      <c r="A34" s="8" t="s">
        <v>2</v>
      </c>
      <c r="B34" s="34">
        <f>SUMIF(ACTUAL!$A:$A,$A34,ACTUAL!$O:$O)</f>
        <v>205201.61</v>
      </c>
      <c r="C34" s="27">
        <f>+B34/B$15</f>
        <v>0.4911076703</v>
      </c>
      <c r="D34" s="29"/>
      <c r="E34" s="36">
        <f>SUMIF(BUDGET!$A:$A,$A34,BUDGET!$O:$O)</f>
        <v>199197</v>
      </c>
      <c r="F34" s="27">
        <f>+E34/E$15</f>
        <v>0.4632488372</v>
      </c>
      <c r="G34" s="27">
        <f>IF(E34=0,0,+(B34-E34)/E34)</f>
        <v>0.03014407848</v>
      </c>
      <c r="H34" s="29"/>
      <c r="I34" s="36">
        <f>SUMIF(PRIOR!$A:$A,$A34,PRIOR!$O:$O)</f>
        <v>186730.78</v>
      </c>
      <c r="J34" s="27">
        <f>+I34/I$21</f>
        <v>0.4582127002</v>
      </c>
      <c r="K34" s="31">
        <f>+(B34-I34)/I34</f>
        <v>0.09891690058</v>
      </c>
      <c r="L34" s="27"/>
      <c r="M34" s="34">
        <f>SUMIF(ACTUAL!$A:$A,$A34,ACTUAL!$P:$P)</f>
        <v>920736.51</v>
      </c>
      <c r="N34" s="27">
        <f t="shared" ref="N34:N35" si="15">+M34/M$21</f>
        <v>0.4683714753</v>
      </c>
      <c r="O34" s="29"/>
      <c r="P34" s="36">
        <f>SUMIF(BUDGET!$A:$A,$A34,BUDGET!$P:$P)</f>
        <v>934357</v>
      </c>
      <c r="Q34" s="27">
        <f t="shared" ref="Q34:Q35" si="16">+P34/P$21</f>
        <v>0.4412010249</v>
      </c>
      <c r="R34" s="27">
        <f>IF(P34=0,0,+(M34-P34)/P34)</f>
        <v>-0.01457739387</v>
      </c>
      <c r="S34" s="29"/>
      <c r="T34" s="36">
        <f>SUMIF(PRIOR!$A:$A,$A34,PRIOR!$P:$P)</f>
        <v>905635.97</v>
      </c>
      <c r="U34" s="27">
        <f>+T34/T$21</f>
        <v>0.46530458</v>
      </c>
      <c r="V34" s="31">
        <f>IF(T34=0,0,(+M34-T34)/T34)</f>
        <v>0.01667396228</v>
      </c>
      <c r="W34" s="8"/>
      <c r="X34" s="2"/>
      <c r="Y34" s="2"/>
      <c r="Z34" s="2"/>
    </row>
    <row r="35" ht="12.75" customHeight="1">
      <c r="A35" s="8" t="s">
        <v>50</v>
      </c>
      <c r="B35" s="34">
        <f>SUMIF(ACTUAL!$A:$A,$A35,ACTUAL!$O:$O)</f>
        <v>0</v>
      </c>
      <c r="C35" s="27">
        <f>+B35/B$21</f>
        <v>0</v>
      </c>
      <c r="D35" s="29"/>
      <c r="E35" s="36">
        <f>SUMIF(BUDGET!$A:$A,$A35,BUDGET!$O:$O)</f>
        <v>0</v>
      </c>
      <c r="F35" s="27">
        <f>+E35/E$21</f>
        <v>0</v>
      </c>
      <c r="G35" s="27"/>
      <c r="H35" s="29"/>
      <c r="I35" s="36">
        <f>SUMIF(PRIOR!$A:$A,$A35,PRIOR!$O:$O)</f>
        <v>0</v>
      </c>
      <c r="J35" s="27"/>
      <c r="K35" s="31"/>
      <c r="L35" s="27"/>
      <c r="M35" s="34">
        <f>SUMIF(ACTUAL!$A:$A,$A35,ACTUAL!$P:$P)</f>
        <v>0</v>
      </c>
      <c r="N35" s="27">
        <f t="shared" si="15"/>
        <v>0</v>
      </c>
      <c r="O35" s="29"/>
      <c r="P35" s="36">
        <f>SUMIF(BUDGET!$A:$A,$A35,BUDGET!$P:$P)</f>
        <v>0</v>
      </c>
      <c r="Q35" s="27">
        <f t="shared" si="16"/>
        <v>0</v>
      </c>
      <c r="R35" s="27"/>
      <c r="S35" s="29"/>
      <c r="T35" s="36">
        <f>SUMIF(PRIOR!$A:$A,$A35,PRIOR!$P:$P)</f>
        <v>0</v>
      </c>
      <c r="U35" s="27"/>
      <c r="V35" s="31"/>
      <c r="W35" s="8"/>
      <c r="X35" s="2"/>
      <c r="Y35" s="2"/>
      <c r="Z35" s="2"/>
    </row>
    <row r="36" ht="12.75" customHeight="1">
      <c r="A36" s="8"/>
      <c r="B36" s="34"/>
      <c r="C36" s="29"/>
      <c r="D36" s="29"/>
      <c r="E36" s="36"/>
      <c r="F36" s="27"/>
      <c r="G36" s="27"/>
      <c r="H36" s="29"/>
      <c r="I36" s="36"/>
      <c r="J36" s="27"/>
      <c r="K36" s="31"/>
      <c r="L36" s="27"/>
      <c r="M36" s="34"/>
      <c r="N36" s="27"/>
      <c r="O36" s="29"/>
      <c r="P36" s="36"/>
      <c r="Q36" s="27"/>
      <c r="R36" s="27"/>
      <c r="S36" s="29"/>
      <c r="T36" s="36"/>
      <c r="U36" s="27"/>
      <c r="V36" s="31"/>
      <c r="W36" s="8"/>
      <c r="X36" s="2"/>
      <c r="Y36" s="2"/>
      <c r="Z36" s="2"/>
    </row>
    <row r="37" ht="12.75" customHeight="1">
      <c r="A37" s="24" t="s">
        <v>51</v>
      </c>
      <c r="B37" s="48">
        <f>+B32-B34-B35</f>
        <v>70990.42</v>
      </c>
      <c r="C37" s="49">
        <f>+B37/B$21</f>
        <v>0.1658680793</v>
      </c>
      <c r="D37" s="49"/>
      <c r="E37" s="50">
        <f>+E32-E34-E35</f>
        <v>91476</v>
      </c>
      <c r="F37" s="51">
        <f>+E37/E$21</f>
        <v>0.2030791773</v>
      </c>
      <c r="G37" s="51">
        <f>IF(E37=0,0,+(B37-E37)/E37)</f>
        <v>-0.2239448599</v>
      </c>
      <c r="H37" s="49"/>
      <c r="I37" s="50">
        <f>+I32-I34-I35</f>
        <v>65082</v>
      </c>
      <c r="J37" s="51">
        <f>+I37/I$21</f>
        <v>0.1597026422</v>
      </c>
      <c r="K37" s="52">
        <f>+(B37-I37)/I37</f>
        <v>0.09078424142</v>
      </c>
      <c r="L37" s="27"/>
      <c r="M37" s="48">
        <f>+M32-M34-M35</f>
        <v>367271.13</v>
      </c>
      <c r="N37" s="51">
        <f>+M37/M$21</f>
        <v>0.1868279569</v>
      </c>
      <c r="O37" s="49"/>
      <c r="P37" s="50">
        <f>+P32-P34-P35</f>
        <v>432234</v>
      </c>
      <c r="Q37" s="51">
        <f>+P37/P$21</f>
        <v>0.2040998074</v>
      </c>
      <c r="R37" s="51">
        <f>IF(P37=0,0,+(M37-P37)/P37)</f>
        <v>-0.1502956038</v>
      </c>
      <c r="S37" s="49"/>
      <c r="T37" s="50">
        <f>+T32-T34-T35</f>
        <v>343520.43</v>
      </c>
      <c r="U37" s="51">
        <f>+T37/T$21</f>
        <v>0.1764965557</v>
      </c>
      <c r="V37" s="52">
        <f>IF(T37=0,0,(+M37-T37)/T37)</f>
        <v>0.06913911932</v>
      </c>
      <c r="W37" s="8"/>
      <c r="X37" s="2"/>
      <c r="Y37" s="2"/>
      <c r="Z37" s="2"/>
    </row>
    <row r="38" ht="12.75" customHeight="1">
      <c r="A38" s="8"/>
      <c r="B38" s="34"/>
      <c r="C38" s="29"/>
      <c r="D38" s="29"/>
      <c r="E38" s="36"/>
      <c r="F38" s="27"/>
      <c r="G38" s="27"/>
      <c r="H38" s="29"/>
      <c r="I38" s="36"/>
      <c r="J38" s="27"/>
      <c r="K38" s="31"/>
      <c r="L38" s="27"/>
      <c r="M38" s="34"/>
      <c r="N38" s="27"/>
      <c r="O38" s="29"/>
      <c r="P38" s="36"/>
      <c r="Q38" s="27"/>
      <c r="R38" s="27"/>
      <c r="S38" s="29"/>
      <c r="T38" s="36"/>
      <c r="U38" s="27"/>
      <c r="V38" s="31"/>
      <c r="W38" s="8"/>
      <c r="X38" s="2"/>
      <c r="Y38" s="2"/>
      <c r="Z38" s="2"/>
    </row>
    <row r="39" ht="12.75" customHeight="1">
      <c r="A39" s="8" t="s">
        <v>52</v>
      </c>
      <c r="B39" s="34">
        <f>SUMIF(ACTUAL!$A:$A,$A39,ACTUAL!$O:$O)</f>
        <v>0</v>
      </c>
      <c r="C39" s="29"/>
      <c r="D39" s="29"/>
      <c r="E39" s="36">
        <f>SUMIF(BUDGET!$A:$A,$A39,BUDGET!$O:$O)</f>
        <v>0</v>
      </c>
      <c r="F39" s="27"/>
      <c r="G39" s="27"/>
      <c r="H39" s="29"/>
      <c r="I39" s="36">
        <f>SUMIF(PRIOR!$A:$A,$A39,PRIOR!$O:$O)</f>
        <v>0</v>
      </c>
      <c r="J39" s="27"/>
      <c r="K39" s="31"/>
      <c r="L39" s="27"/>
      <c r="M39" s="34">
        <f>SUMIF(ACTUAL!$A:$A,$A39,ACTUAL!$P:$P)</f>
        <v>0</v>
      </c>
      <c r="N39" s="27"/>
      <c r="O39" s="29"/>
      <c r="P39" s="36">
        <f>SUMIF(BUDGET!$A:$A,$A39,BUDGET!$P:$P)</f>
        <v>0</v>
      </c>
      <c r="Q39" s="27"/>
      <c r="R39" s="27"/>
      <c r="S39" s="29"/>
      <c r="T39" s="36">
        <f>SUMIF(PRIOR!$A:$A,$A39,PRIOR!$P:$P)</f>
        <v>0</v>
      </c>
      <c r="U39" s="27"/>
      <c r="V39" s="31"/>
      <c r="W39" s="8"/>
      <c r="X39" s="2"/>
      <c r="Y39" s="2"/>
      <c r="Z39" s="2"/>
    </row>
    <row r="40" ht="12.75" customHeight="1">
      <c r="A40" s="8"/>
      <c r="B40" s="34"/>
      <c r="C40" s="29"/>
      <c r="D40" s="29"/>
      <c r="E40" s="36">
        <f>SUMIF(BUDGET!$A:$A,$A40,BUDGET!$O:$O)</f>
        <v>0</v>
      </c>
      <c r="F40" s="27"/>
      <c r="G40" s="27"/>
      <c r="H40" s="29"/>
      <c r="I40" s="36"/>
      <c r="J40" s="27"/>
      <c r="K40" s="31"/>
      <c r="L40" s="27"/>
      <c r="M40" s="34"/>
      <c r="N40" s="27"/>
      <c r="O40" s="29"/>
      <c r="P40" s="36"/>
      <c r="Q40" s="27"/>
      <c r="R40" s="27"/>
      <c r="S40" s="29"/>
      <c r="T40" s="36"/>
      <c r="U40" s="27"/>
      <c r="V40" s="31"/>
      <c r="W40" s="8"/>
      <c r="X40" s="2"/>
      <c r="Y40" s="2"/>
      <c r="Z40" s="2"/>
    </row>
    <row r="41" ht="12.75" customHeight="1">
      <c r="A41" s="24" t="s">
        <v>53</v>
      </c>
      <c r="B41" s="48">
        <f>+B37-B39</f>
        <v>70990.42</v>
      </c>
      <c r="C41" s="51">
        <f>+B41/B$21</f>
        <v>0.1658680793</v>
      </c>
      <c r="D41" s="49"/>
      <c r="E41" s="50">
        <f>+E37-E39</f>
        <v>91476</v>
      </c>
      <c r="F41" s="51">
        <f>+E41/E$21</f>
        <v>0.2030791773</v>
      </c>
      <c r="G41" s="51">
        <f>IF(E41=0,0,+(B41-E41)/E41)</f>
        <v>-0.2239448599</v>
      </c>
      <c r="H41" s="49"/>
      <c r="I41" s="50">
        <f>+I37-I39</f>
        <v>65082</v>
      </c>
      <c r="J41" s="51">
        <f>+I41/I$21</f>
        <v>0.1597026422</v>
      </c>
      <c r="K41" s="52">
        <f>+(B41-I41)/I41</f>
        <v>0.09078424142</v>
      </c>
      <c r="L41" s="27"/>
      <c r="M41" s="48">
        <f>+M37-M39</f>
        <v>367271.13</v>
      </c>
      <c r="N41" s="51">
        <f>+M41/M$21</f>
        <v>0.1868279569</v>
      </c>
      <c r="O41" s="49"/>
      <c r="P41" s="50">
        <f>+P37-P39</f>
        <v>432234</v>
      </c>
      <c r="Q41" s="51">
        <f>+P41/P$21</f>
        <v>0.2040998074</v>
      </c>
      <c r="R41" s="51">
        <f>IF(P41=0,0,+(M41-P41)/P41)</f>
        <v>-0.1502956038</v>
      </c>
      <c r="S41" s="49"/>
      <c r="T41" s="50">
        <f>+T37-T39</f>
        <v>343520.43</v>
      </c>
      <c r="U41" s="51">
        <f>+T41/T$21</f>
        <v>0.1764965557</v>
      </c>
      <c r="V41" s="52">
        <f>IF(T41=0,0,(+M41-T41)/T41)</f>
        <v>0.06913911932</v>
      </c>
      <c r="W41" s="8"/>
      <c r="X41" s="2"/>
      <c r="Y41" s="2"/>
      <c r="Z41" s="2"/>
    </row>
    <row r="42" ht="12.75" customHeight="1">
      <c r="A42" s="8"/>
      <c r="B42" s="34"/>
      <c r="C42" s="28"/>
      <c r="D42" s="28"/>
      <c r="E42" s="36"/>
      <c r="F42" s="8"/>
      <c r="G42" s="8"/>
      <c r="H42" s="28"/>
      <c r="I42" s="36"/>
      <c r="J42" s="8"/>
      <c r="K42" s="30"/>
      <c r="L42" s="8"/>
      <c r="M42" s="34"/>
      <c r="N42" s="8"/>
      <c r="O42" s="28"/>
      <c r="P42" s="36"/>
      <c r="Q42" s="8"/>
      <c r="R42" s="8"/>
      <c r="S42" s="28"/>
      <c r="T42" s="36"/>
      <c r="U42" s="8"/>
      <c r="V42" s="30"/>
      <c r="W42" s="8"/>
      <c r="X42" s="2"/>
      <c r="Y42" s="2"/>
      <c r="Z42" s="2"/>
    </row>
    <row r="43" ht="12.75" customHeight="1">
      <c r="A43" s="8" t="s">
        <v>44</v>
      </c>
      <c r="B43" s="34">
        <f>SUMIF(ACTUAL!$A:$A,$A43,ACTUAL!$O:$O)</f>
        <v>103.49</v>
      </c>
      <c r="C43" s="27">
        <f>+B43/B$21</f>
        <v>0.0002418028733</v>
      </c>
      <c r="D43" s="29"/>
      <c r="E43" s="36">
        <f>SUMIF(BUDGET!$A:$A,$A43,BUDGET!$O:$O)</f>
        <v>0</v>
      </c>
      <c r="F43" s="27">
        <f>+E43/E$21</f>
        <v>0</v>
      </c>
      <c r="G43" s="27">
        <f>IF(E43=0,0,+(B43-E43)/E43)</f>
        <v>0</v>
      </c>
      <c r="H43" s="29"/>
      <c r="I43" s="36">
        <f>SUMIF(PRIOR!$A:$A,$A43,PRIOR!$O:$O)</f>
        <v>-85.76</v>
      </c>
      <c r="J43" s="27">
        <f>+I43/I$21</f>
        <v>-0.0002104437263</v>
      </c>
      <c r="K43" s="31">
        <f>+(B43-I43)/I43</f>
        <v>-2.206739739</v>
      </c>
      <c r="L43" s="27"/>
      <c r="M43" s="34">
        <f>SUMIF(ACTUAL!$A:$A,$A43,ACTUAL!$P:$P)</f>
        <v>258.01</v>
      </c>
      <c r="N43" s="27">
        <f>+M43/M$21</f>
        <v>0.000131247673</v>
      </c>
      <c r="O43" s="29"/>
      <c r="P43" s="36">
        <f>SUMIF(BUDGET!$A:$A,$A43,BUDGET!$P:$P)</f>
        <v>0</v>
      </c>
      <c r="Q43" s="27">
        <f>+P43/P$21</f>
        <v>0</v>
      </c>
      <c r="R43" s="27">
        <f>IF(P43=0,0,+(M43-P43)/P43)</f>
        <v>0</v>
      </c>
      <c r="S43" s="29"/>
      <c r="T43" s="36">
        <f>SUMIF(PRIOR!$A:$A,$A43,PRIOR!$P:$P)</f>
        <v>137.44</v>
      </c>
      <c r="U43" s="27">
        <f>+T43/T$21</f>
        <v>0.0000706149751</v>
      </c>
      <c r="V43" s="31">
        <f>IF(T43=0,0,(+M43-T43)/T43)</f>
        <v>0.8772555297</v>
      </c>
      <c r="W43" s="8"/>
      <c r="X43" s="2"/>
      <c r="Y43" s="2"/>
      <c r="Z43" s="2"/>
    </row>
    <row r="44" ht="12.75" customHeight="1">
      <c r="A44" s="8"/>
      <c r="B44" s="34"/>
      <c r="C44" s="28"/>
      <c r="D44" s="28"/>
      <c r="E44" s="36"/>
      <c r="F44" s="8"/>
      <c r="G44" s="8"/>
      <c r="H44" s="28"/>
      <c r="I44" s="36"/>
      <c r="J44" s="8"/>
      <c r="K44" s="30"/>
      <c r="L44" s="8"/>
      <c r="M44" s="34"/>
      <c r="N44" s="8"/>
      <c r="O44" s="28"/>
      <c r="P44" s="36"/>
      <c r="Q44" s="8"/>
      <c r="R44" s="8"/>
      <c r="S44" s="28"/>
      <c r="T44" s="36"/>
      <c r="U44" s="8"/>
      <c r="V44" s="30"/>
      <c r="W44" s="8"/>
      <c r="X44" s="2"/>
      <c r="Y44" s="2"/>
      <c r="Z44" s="2"/>
    </row>
    <row r="45" ht="12.75" customHeight="1">
      <c r="A45" s="24" t="s">
        <v>54</v>
      </c>
      <c r="B45" s="48">
        <f>+B41-B43</f>
        <v>70886.93</v>
      </c>
      <c r="C45" s="51">
        <f>+B45/B$21</f>
        <v>0.1656262765</v>
      </c>
      <c r="D45" s="49"/>
      <c r="E45" s="50">
        <f>+E41-E43</f>
        <v>91476</v>
      </c>
      <c r="F45" s="51">
        <f>+E45/E$21</f>
        <v>0.2030791773</v>
      </c>
      <c r="G45" s="51">
        <f>IF(E45=0,0,+(B45-E45)/E45)</f>
        <v>-0.2250761948</v>
      </c>
      <c r="H45" s="49"/>
      <c r="I45" s="50">
        <f>+I41-I43</f>
        <v>65167.76</v>
      </c>
      <c r="J45" s="51">
        <f>+I45/I$21</f>
        <v>0.159913086</v>
      </c>
      <c r="K45" s="52">
        <f>+(B45-I45)/I45</f>
        <v>0.08776072708</v>
      </c>
      <c r="L45" s="27"/>
      <c r="M45" s="48">
        <f>+M41-M43</f>
        <v>367013.12</v>
      </c>
      <c r="N45" s="51">
        <f>+M45/M$21</f>
        <v>0.1866967092</v>
      </c>
      <c r="O45" s="49"/>
      <c r="P45" s="50">
        <f>+P41-P43</f>
        <v>432234</v>
      </c>
      <c r="Q45" s="51">
        <f>+P45/P$21</f>
        <v>0.2040998074</v>
      </c>
      <c r="R45" s="51">
        <f>IF(P45=0,0,+(M45-P45)/P45)</f>
        <v>-0.1508925258</v>
      </c>
      <c r="S45" s="49"/>
      <c r="T45" s="50">
        <f>+T41-T43</f>
        <v>343382.99</v>
      </c>
      <c r="U45" s="51">
        <f>+T45/T$21</f>
        <v>0.1764259407</v>
      </c>
      <c r="V45" s="52">
        <f>IF(T45=0,0,(+M45-T45)/T45)</f>
        <v>0.06881566848</v>
      </c>
      <c r="W45" s="8"/>
      <c r="X45" s="2"/>
      <c r="Y45" s="2"/>
      <c r="Z45" s="2"/>
    </row>
    <row r="46" ht="12.75" customHeight="1">
      <c r="A46" s="24"/>
      <c r="B46" s="41"/>
      <c r="C46" s="45"/>
      <c r="D46" s="45"/>
      <c r="E46" s="43"/>
      <c r="F46" s="44"/>
      <c r="G46" s="44"/>
      <c r="H46" s="45"/>
      <c r="I46" s="43"/>
      <c r="J46" s="44"/>
      <c r="K46" s="46"/>
      <c r="L46" s="27"/>
      <c r="M46" s="41"/>
      <c r="N46" s="44"/>
      <c r="O46" s="45"/>
      <c r="P46" s="43"/>
      <c r="Q46" s="44"/>
      <c r="R46" s="44"/>
      <c r="S46" s="45"/>
      <c r="T46" s="43"/>
      <c r="U46" s="44"/>
      <c r="V46" s="46"/>
      <c r="W46" s="8"/>
      <c r="X46" s="2"/>
      <c r="Y46" s="2"/>
      <c r="Z46" s="2"/>
    </row>
    <row r="47" ht="12.75" customHeight="1">
      <c r="A47" s="8" t="s">
        <v>55</v>
      </c>
      <c r="B47" s="41">
        <f>SUMIF(ACTUAL!$A:$A,$A47,ACTUAL!$O:$O)</f>
        <v>0</v>
      </c>
      <c r="C47" s="45"/>
      <c r="D47" s="45"/>
      <c r="E47" s="43">
        <f>SUMIF(BUDGET!$A:$A,$A47,BUDGET!$O:$O)</f>
        <v>0</v>
      </c>
      <c r="F47" s="44"/>
      <c r="G47" s="44"/>
      <c r="H47" s="45"/>
      <c r="I47" s="43">
        <f>SUMIF(PRIOR!$A:$A,$A47,PRIOR!$O:$O)</f>
        <v>0</v>
      </c>
      <c r="J47" s="44"/>
      <c r="K47" s="46"/>
      <c r="L47" s="27"/>
      <c r="M47" s="41">
        <f>SUMIF(ACTUAL!$A:$A,$A47,ACTUAL!$P:$P)</f>
        <v>0</v>
      </c>
      <c r="N47" s="44"/>
      <c r="O47" s="45"/>
      <c r="P47" s="43">
        <f>SUMIF(BUDGET!$A:$A,$A47,BUDGET!$P:$P)</f>
        <v>0</v>
      </c>
      <c r="Q47" s="44"/>
      <c r="R47" s="44"/>
      <c r="S47" s="45"/>
      <c r="T47" s="43">
        <f>SUMIF(PRIOR!$A:$A,$A47,PRIOR!$P:$P)</f>
        <v>0</v>
      </c>
      <c r="U47" s="44"/>
      <c r="V47" s="46"/>
      <c r="W47" s="8"/>
      <c r="X47" s="2"/>
      <c r="Y47" s="2"/>
      <c r="Z47" s="2"/>
    </row>
    <row r="48" ht="12.75" customHeight="1">
      <c r="A48" s="8"/>
      <c r="B48" s="41"/>
      <c r="C48" s="45"/>
      <c r="D48" s="45"/>
      <c r="E48" s="43"/>
      <c r="F48" s="44"/>
      <c r="G48" s="44"/>
      <c r="H48" s="45"/>
      <c r="I48" s="43"/>
      <c r="J48" s="44"/>
      <c r="K48" s="46"/>
      <c r="L48" s="27"/>
      <c r="M48" s="41"/>
      <c r="N48" s="45"/>
      <c r="O48" s="45"/>
      <c r="P48" s="43"/>
      <c r="Q48" s="44"/>
      <c r="R48" s="44"/>
      <c r="S48" s="45"/>
      <c r="T48" s="43"/>
      <c r="U48" s="44"/>
      <c r="V48" s="46"/>
      <c r="W48" s="8"/>
      <c r="X48" s="2"/>
      <c r="Y48" s="2"/>
      <c r="Z48" s="2"/>
    </row>
    <row r="49" ht="12.75" customHeight="1">
      <c r="A49" s="24" t="s">
        <v>56</v>
      </c>
      <c r="B49" s="41">
        <f>+B45-B47</f>
        <v>70886.93</v>
      </c>
      <c r="C49" s="45">
        <f>+B49/B$21</f>
        <v>0.1656262765</v>
      </c>
      <c r="D49" s="45"/>
      <c r="E49" s="43">
        <f>+E45-E47</f>
        <v>91476</v>
      </c>
      <c r="F49" s="44">
        <f>+E49/E$21</f>
        <v>0.2030791773</v>
      </c>
      <c r="G49" s="44">
        <f>IF(E49=0,0,+(B49-E49)/E49)</f>
        <v>-0.2250761948</v>
      </c>
      <c r="H49" s="45"/>
      <c r="I49" s="43">
        <f>+I45-I47</f>
        <v>65167.76</v>
      </c>
      <c r="J49" s="44">
        <f>+I49/I$21</f>
        <v>0.159913086</v>
      </c>
      <c r="K49" s="46">
        <f>+(B49-I49)/I49</f>
        <v>0.08776072708</v>
      </c>
      <c r="L49" s="27"/>
      <c r="M49" s="41">
        <f>+M45-M47</f>
        <v>367013.12</v>
      </c>
      <c r="N49" s="45"/>
      <c r="O49" s="45"/>
      <c r="P49" s="43">
        <f>+P45-P47</f>
        <v>432234</v>
      </c>
      <c r="Q49" s="44"/>
      <c r="R49" s="44"/>
      <c r="S49" s="45"/>
      <c r="T49" s="43">
        <f>+T45-T47</f>
        <v>343382.99</v>
      </c>
      <c r="U49" s="44"/>
      <c r="V49" s="46"/>
      <c r="W49" s="8"/>
      <c r="X49" s="2"/>
      <c r="Y49" s="2"/>
      <c r="Z49" s="2"/>
    </row>
    <row r="50" ht="12.75" customHeight="1">
      <c r="A50" s="8"/>
      <c r="B50" s="34"/>
      <c r="C50" s="28"/>
      <c r="D50" s="28"/>
      <c r="E50" s="36"/>
      <c r="F50" s="8"/>
      <c r="G50" s="8"/>
      <c r="H50" s="28"/>
      <c r="I50" s="36"/>
      <c r="J50" s="8"/>
      <c r="K50" s="30"/>
      <c r="L50" s="8"/>
      <c r="M50" s="34"/>
      <c r="N50" s="28"/>
      <c r="O50" s="28"/>
      <c r="P50" s="36"/>
      <c r="Q50" s="8"/>
      <c r="R50" s="8"/>
      <c r="S50" s="28"/>
      <c r="T50" s="36"/>
      <c r="U50" s="8"/>
      <c r="V50" s="30"/>
      <c r="W50" s="8"/>
      <c r="X50" s="2"/>
      <c r="Y50" s="2"/>
      <c r="Z50" s="2"/>
    </row>
    <row r="51" ht="12.75" customHeight="1">
      <c r="A51" s="8" t="s">
        <v>57</v>
      </c>
      <c r="B51" s="34">
        <f>SUMIF(ACTUAL!$A:$A,$A51,ACTUAL!$O:$O)</f>
        <v>21266</v>
      </c>
      <c r="C51" s="27">
        <f>+B51/B$21</f>
        <v>0.04968769835</v>
      </c>
      <c r="D51" s="29"/>
      <c r="E51" s="36">
        <f>SUMIF(BUDGET!$A:$A,$A51,BUDGET!$O:$O)</f>
        <v>0</v>
      </c>
      <c r="F51" s="27">
        <f>+E51/E$21</f>
        <v>0</v>
      </c>
      <c r="G51" s="27">
        <f>IF(E51=0,0,+(B51-E51)/E51)</f>
        <v>0</v>
      </c>
      <c r="H51" s="29"/>
      <c r="I51" s="36">
        <f>SUMIF(PRIOR!$A:$A,$A51,PRIOR!$O:$O)</f>
        <v>4222</v>
      </c>
      <c r="J51" s="27">
        <f>+I51/I$21</f>
        <v>0.01036023102</v>
      </c>
      <c r="K51" s="31">
        <f>+(B51-I51)/I51</f>
        <v>4.036949313</v>
      </c>
      <c r="L51" s="27"/>
      <c r="M51" s="34">
        <f>SUMIF(ACTUAL!$A:$A,$A51,ACTUAL!$P:$P)</f>
        <v>110104</v>
      </c>
      <c r="N51" s="29">
        <f>+M51/M$21</f>
        <v>0.05600904532</v>
      </c>
      <c r="O51" s="29"/>
      <c r="P51" s="36">
        <f>SUMIF(BUDGET!$A:$A,$A51,BUDGET!$P:$P)</f>
        <v>0</v>
      </c>
      <c r="Q51" s="27">
        <f>+P51/P$21</f>
        <v>0</v>
      </c>
      <c r="R51" s="27">
        <f>IF(P51=0,0,+(M51-P51)/P51)</f>
        <v>0</v>
      </c>
      <c r="S51" s="29"/>
      <c r="T51" s="36">
        <f>SUMIF(PRIOR!$A:$A,$A51,PRIOR!$P:$P)</f>
        <v>133653</v>
      </c>
      <c r="U51" s="27">
        <f>+T51/T$21</f>
        <v>0.06866926126</v>
      </c>
      <c r="V51" s="31">
        <f>IF(T51=0,0,(+M51-T51)/T51)</f>
        <v>-0.1761950723</v>
      </c>
      <c r="W51" s="8"/>
      <c r="X51" s="2"/>
      <c r="Y51" s="2"/>
      <c r="Z51" s="2"/>
    </row>
    <row r="52" ht="12.75" customHeight="1">
      <c r="A52" s="8"/>
      <c r="B52" s="34"/>
      <c r="C52" s="29"/>
      <c r="D52" s="29"/>
      <c r="E52" s="36"/>
      <c r="F52" s="27"/>
      <c r="G52" s="27"/>
      <c r="H52" s="29"/>
      <c r="I52" s="36"/>
      <c r="J52" s="27"/>
      <c r="K52" s="31"/>
      <c r="L52" s="8"/>
      <c r="M52" s="34"/>
      <c r="N52" s="29"/>
      <c r="O52" s="29"/>
      <c r="P52" s="36"/>
      <c r="Q52" s="67"/>
      <c r="R52" s="67"/>
      <c r="S52" s="68"/>
      <c r="T52" s="36"/>
      <c r="U52" s="27"/>
      <c r="V52" s="31"/>
      <c r="W52" s="8"/>
      <c r="X52" s="2"/>
      <c r="Y52" s="2"/>
      <c r="Z52" s="2"/>
    </row>
    <row r="53" ht="12.75" customHeight="1">
      <c r="A53" s="24" t="s">
        <v>58</v>
      </c>
      <c r="B53" s="69">
        <f>+B49-B51</f>
        <v>49620.93</v>
      </c>
      <c r="C53" s="54">
        <f>+B53/B$21</f>
        <v>0.1159385781</v>
      </c>
      <c r="D53" s="55"/>
      <c r="E53" s="70">
        <f>+E49-E51</f>
        <v>91476</v>
      </c>
      <c r="F53" s="54">
        <f>+E53/E$21</f>
        <v>0.2030791773</v>
      </c>
      <c r="G53" s="54">
        <f>IF(E53=0,0,+(B53-E53)/E53)</f>
        <v>-0.4575524728</v>
      </c>
      <c r="H53" s="55"/>
      <c r="I53" s="70">
        <f>+I49-I51</f>
        <v>60945.76</v>
      </c>
      <c r="J53" s="54">
        <f>+I53/I$21</f>
        <v>0.1495528549</v>
      </c>
      <c r="K53" s="59">
        <f>+(B53-I53)/I53</f>
        <v>-0.1858181767</v>
      </c>
      <c r="L53" s="27"/>
      <c r="M53" s="69">
        <f>+M49-M51</f>
        <v>256909.12</v>
      </c>
      <c r="N53" s="55">
        <f>+M53/M$21</f>
        <v>0.1306876639</v>
      </c>
      <c r="O53" s="55"/>
      <c r="P53" s="70">
        <f>+P49-P51</f>
        <v>432234</v>
      </c>
      <c r="Q53" s="54">
        <f>+P53/P$21</f>
        <v>0.2040998074</v>
      </c>
      <c r="R53" s="54">
        <f>IF(P53=0,0,+(M53-P53)/P53)</f>
        <v>-0.4056249161</v>
      </c>
      <c r="S53" s="55"/>
      <c r="T53" s="70">
        <f>+T49-T51</f>
        <v>209729.99</v>
      </c>
      <c r="U53" s="54">
        <f>+T53/T$21</f>
        <v>0.1077566794</v>
      </c>
      <c r="V53" s="59">
        <f>IF(T53=0,0,(+M53-T53)/T53)</f>
        <v>0.2249517582</v>
      </c>
      <c r="W53" s="8"/>
      <c r="X53" s="2"/>
      <c r="Y53" s="2"/>
      <c r="Z53" s="2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"/>
      <c r="Y54" s="2"/>
      <c r="Z54" s="2"/>
    </row>
    <row r="55" ht="12.75" customHeight="1">
      <c r="A55" s="71" t="s">
        <v>59</v>
      </c>
      <c r="B55" s="72">
        <f>ACTUAL!O50-B53</f>
        <v>0</v>
      </c>
      <c r="C55" s="71"/>
      <c r="D55" s="71"/>
      <c r="E55" s="72">
        <f>BUDGET!O50-E53</f>
        <v>-1</v>
      </c>
      <c r="F55" s="71"/>
      <c r="G55" s="71"/>
      <c r="H55" s="71"/>
      <c r="I55" s="72">
        <f>PRIOR!O50-I53</f>
        <v>0</v>
      </c>
      <c r="J55" s="71"/>
      <c r="K55" s="71"/>
      <c r="L55" s="71"/>
      <c r="M55" s="72">
        <f>ACTUAL!P50-M53</f>
        <v>0</v>
      </c>
      <c r="N55" s="73"/>
      <c r="O55" s="71"/>
      <c r="P55" s="72">
        <f>BUDGET!P50-P53</f>
        <v>0</v>
      </c>
      <c r="Q55" s="71"/>
      <c r="R55" s="71"/>
      <c r="S55" s="71"/>
      <c r="T55" s="72">
        <f>PRIOR!P50-T53</f>
        <v>0.0000000004074536264</v>
      </c>
      <c r="U55" s="71"/>
      <c r="V55" s="71"/>
      <c r="W55" s="71"/>
      <c r="X55" s="73"/>
      <c r="Y55" s="73"/>
      <c r="Z55" s="73"/>
    </row>
    <row r="56" ht="12.75" customHeight="1">
      <c r="A56" s="2" t="str">
        <f>CELL("FILENAME",D8)</f>
        <v>#VALUE!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7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7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7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7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7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47"/>
      <c r="D86" s="2"/>
      <c r="E86" s="2"/>
      <c r="F86" s="2"/>
      <c r="G86" s="2"/>
      <c r="H86" s="2"/>
      <c r="I86" s="2"/>
      <c r="J86" s="2"/>
      <c r="K86" s="2"/>
      <c r="L86" s="2"/>
      <c r="M86" s="2"/>
      <c r="N86" s="7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E7:F7"/>
    <mergeCell ref="B7:C7"/>
    <mergeCell ref="I7:J7"/>
    <mergeCell ref="M7:N7"/>
    <mergeCell ref="P7:Q7"/>
    <mergeCell ref="A2:V2"/>
    <mergeCell ref="A3:V3"/>
    <mergeCell ref="B6:K6"/>
    <mergeCell ref="M6:V6"/>
    <mergeCell ref="T7:U7"/>
  </mergeCells>
  <dataValidations>
    <dataValidation type="list" allowBlank="1" showDropDown="1" showErrorMessage="1" sqref="B5">
      <formula1>months</formula1>
    </dataValidation>
    <dataValidation type="list" allowBlank="1" showErrorMessage="1" sqref="A3:A4">
      <formula1>months</formula1>
    </dataValidation>
    <dataValidation type="custom" allowBlank="1" sqref="B4:N4 D7:E7 G7:G8 I7:I8 G9:J9 I10 C8:E11 G10:G11 P11 G12:I12 B12:D14 B15:E15 G13:G15 I13:I15 P15 G16:I16 T12:T16 S17:T18 B16:D19 G17:G20 I17:I20 B20:E22 P20:P22 B23:D23 V23:W23 G21:I24 B24:E25 G25 I25 P24:P25 G26:I26 G27:G28 I27:I28 B26:B29 G29:I29 M12:M29 T19:T29 V26:W29 T31 G30:G32 I31:I32 S32:T32 E30:E33 G33:I33 P30:P33 V31:W34 B31:B36 I34:I36 M31:M36 T33:T36 E36:E37 P36:P37 B38:B40 I38:I40 M38:M40 R35:R40 T38:T40 B42:B51 I42:I51 M42:M51 T42:T51 T53 B53:B54 I53:I54 M53:M54 E52:E55 G34:G55 P52:P55 C56:J56 N56 P56:W56 S63 Q65:R68 Q70:R72 C57:F98">
      <formula1>AND(GTE(LEN(B4),MIN((0),(10000))),LTE(LEN(B4),MAX((0),(10000))))</formula1>
    </dataValidation>
    <dataValidation type="list" allowBlank="1" showErrorMessage="1" sqref="A2">
      <formula1>locations</formula1>
    </dataValidation>
  </dataValidations>
  <printOptions horizontalCentered="1" verticalCentered="1"/>
  <pageMargins bottom="0.61" footer="0.0" header="0.0" left="0.25" right="0.33" top="0.56"/>
  <pageSetup paperSize="9" orientation="landscape"/>
  <headerFooter>
    <oddFooter>&amp;R&amp;D&amp;T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pageSetUpPr fitToPage="1"/>
  </sheetPr>
  <sheetViews>
    <sheetView showGridLines="0"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26.43"/>
    <col customWidth="1" min="2" max="2" width="12.57"/>
    <col customWidth="1" min="3" max="3" width="9.43"/>
    <col customWidth="1" min="4" max="4" width="1.43"/>
    <col customWidth="1" min="5" max="5" width="10.57"/>
    <col customWidth="1" min="6" max="6" width="8.86"/>
    <col customWidth="1" min="7" max="7" width="11.0"/>
    <col customWidth="1" min="8" max="8" width="1.43"/>
    <col customWidth="1" min="9" max="9" width="10.43"/>
    <col customWidth="1" min="10" max="10" width="8.14"/>
    <col customWidth="1" min="11" max="11" width="10.57"/>
    <col customWidth="1" min="12" max="12" width="4.86"/>
    <col customWidth="1" min="13" max="13" width="13.14"/>
    <col customWidth="1" min="14" max="14" width="9.14"/>
    <col customWidth="1" min="15" max="15" width="1.43"/>
    <col customWidth="1" min="16" max="16" width="12.14"/>
    <col customWidth="1" min="17" max="17" width="9.14"/>
    <col customWidth="1" min="18" max="18" width="10.57"/>
    <col customWidth="1" min="19" max="19" width="1.43"/>
    <col customWidth="1" min="20" max="20" width="11.71"/>
    <col customWidth="1" min="21" max="21" width="8.29"/>
    <col customWidth="1" min="22" max="22" width="10.57"/>
    <col customWidth="1" min="23" max="26" width="7.86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ht="12.75" customHeight="1">
      <c r="A2" s="1" t="str">
        <f>'P&amp;L Summary'!$A$2</f>
        <v>PRESCRIPTION SAFETY GLASSES</v>
      </c>
      <c r="W2" s="2"/>
      <c r="X2" s="2"/>
      <c r="Y2" s="2"/>
      <c r="Z2" s="2"/>
    </row>
    <row r="3" ht="12.75" customHeight="1">
      <c r="A3" s="1" t="s">
        <v>2</v>
      </c>
      <c r="W3" s="2"/>
      <c r="X3" s="2"/>
      <c r="Y3" s="2"/>
      <c r="Z3" s="2"/>
    </row>
    <row r="4" ht="12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  <c r="Z4" s="2"/>
    </row>
    <row r="5" ht="12.75" customHeight="1">
      <c r="A5" s="5">
        <f>'P&amp;L Summary'!A5</f>
        <v>43221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8"/>
      <c r="W5" s="8"/>
      <c r="X5" s="2"/>
      <c r="Y5" s="2"/>
      <c r="Z5" s="2"/>
    </row>
    <row r="6" ht="12.75" customHeight="1">
      <c r="A6" s="8"/>
      <c r="B6" s="9" t="s">
        <v>3</v>
      </c>
      <c r="C6" s="11"/>
      <c r="D6" s="11"/>
      <c r="E6" s="11"/>
      <c r="F6" s="11"/>
      <c r="G6" s="11"/>
      <c r="H6" s="11"/>
      <c r="I6" s="11"/>
      <c r="J6" s="11"/>
      <c r="K6" s="12"/>
      <c r="L6" s="10"/>
      <c r="M6" s="13" t="s">
        <v>4</v>
      </c>
      <c r="N6" s="11"/>
      <c r="O6" s="11"/>
      <c r="P6" s="11"/>
      <c r="Q6" s="11"/>
      <c r="R6" s="11"/>
      <c r="S6" s="11"/>
      <c r="T6" s="11"/>
      <c r="U6" s="11"/>
      <c r="V6" s="12"/>
      <c r="W6" s="8"/>
      <c r="X6" s="8"/>
      <c r="Y6" s="8"/>
      <c r="Z6" s="8"/>
    </row>
    <row r="7" ht="12.75" customHeight="1">
      <c r="A7" s="8"/>
      <c r="B7" s="15" t="s">
        <v>5</v>
      </c>
      <c r="D7" s="16"/>
      <c r="E7" s="17" t="s">
        <v>6</v>
      </c>
      <c r="G7" s="16"/>
      <c r="H7" s="16"/>
      <c r="I7" s="17" t="s">
        <v>7</v>
      </c>
      <c r="K7" s="18"/>
      <c r="L7" s="10"/>
      <c r="M7" s="15" t="s">
        <v>5</v>
      </c>
      <c r="O7" s="16"/>
      <c r="P7" s="17" t="s">
        <v>6</v>
      </c>
      <c r="R7" s="16"/>
      <c r="S7" s="16"/>
      <c r="T7" s="17" t="s">
        <v>7</v>
      </c>
      <c r="V7" s="18"/>
      <c r="W7" s="8"/>
      <c r="X7" s="8"/>
      <c r="Y7" s="8"/>
      <c r="Z7" s="8"/>
    </row>
    <row r="8" ht="12.75" customHeight="1">
      <c r="A8" s="8"/>
      <c r="B8" s="19" t="s">
        <v>8</v>
      </c>
      <c r="C8" s="16" t="s">
        <v>9</v>
      </c>
      <c r="D8" s="20"/>
      <c r="E8" s="16" t="s">
        <v>8</v>
      </c>
      <c r="F8" s="16" t="s">
        <v>9</v>
      </c>
      <c r="G8" s="16" t="s">
        <v>10</v>
      </c>
      <c r="H8" s="20"/>
      <c r="I8" s="16" t="s">
        <v>8</v>
      </c>
      <c r="J8" s="16" t="s">
        <v>9</v>
      </c>
      <c r="K8" s="18" t="s">
        <v>11</v>
      </c>
      <c r="L8" s="10"/>
      <c r="M8" s="19" t="s">
        <v>8</v>
      </c>
      <c r="N8" s="16" t="s">
        <v>9</v>
      </c>
      <c r="O8" s="20"/>
      <c r="P8" s="16" t="s">
        <v>8</v>
      </c>
      <c r="Q8" s="16" t="s">
        <v>9</v>
      </c>
      <c r="R8" s="16" t="s">
        <v>10</v>
      </c>
      <c r="S8" s="20"/>
      <c r="T8" s="16" t="s">
        <v>8</v>
      </c>
      <c r="U8" s="16" t="s">
        <v>9</v>
      </c>
      <c r="V8" s="18" t="s">
        <v>11</v>
      </c>
      <c r="W8" s="8"/>
      <c r="X8" s="8"/>
      <c r="Y8" s="8"/>
      <c r="Z8" s="8"/>
    </row>
    <row r="9" ht="12.75" customHeight="1">
      <c r="A9" s="8"/>
      <c r="B9" s="21"/>
      <c r="C9" s="4" t="s">
        <v>12</v>
      </c>
      <c r="D9" s="22"/>
      <c r="E9" s="10"/>
      <c r="F9" s="4" t="s">
        <v>12</v>
      </c>
      <c r="G9" s="4" t="s">
        <v>13</v>
      </c>
      <c r="H9" s="22"/>
      <c r="I9" s="10"/>
      <c r="J9" s="4" t="s">
        <v>12</v>
      </c>
      <c r="K9" s="18" t="s">
        <v>14</v>
      </c>
      <c r="L9" s="10"/>
      <c r="M9" s="21"/>
      <c r="N9" s="4" t="s">
        <v>12</v>
      </c>
      <c r="O9" s="22"/>
      <c r="P9" s="10"/>
      <c r="Q9" s="4" t="s">
        <v>12</v>
      </c>
      <c r="R9" s="4" t="s">
        <v>13</v>
      </c>
      <c r="S9" s="22"/>
      <c r="T9" s="10"/>
      <c r="U9" s="4" t="s">
        <v>12</v>
      </c>
      <c r="V9" s="18" t="s">
        <v>14</v>
      </c>
      <c r="W9" s="8"/>
      <c r="X9" s="8"/>
      <c r="Y9" s="8"/>
      <c r="Z9" s="8"/>
    </row>
    <row r="10" ht="12.75" customHeight="1">
      <c r="A10" s="8"/>
      <c r="B10" s="21"/>
      <c r="C10" s="4"/>
      <c r="D10" s="22"/>
      <c r="E10" s="10"/>
      <c r="F10" s="4"/>
      <c r="G10" s="4"/>
      <c r="H10" s="22"/>
      <c r="I10" s="10"/>
      <c r="J10" s="4"/>
      <c r="K10" s="18"/>
      <c r="L10" s="10"/>
      <c r="M10" s="21"/>
      <c r="N10" s="4"/>
      <c r="O10" s="22"/>
      <c r="P10" s="10"/>
      <c r="Q10" s="4"/>
      <c r="R10" s="4"/>
      <c r="S10" s="22"/>
      <c r="T10" s="10"/>
      <c r="U10" s="4"/>
      <c r="V10" s="18"/>
      <c r="W10" s="8"/>
      <c r="X10" s="8"/>
      <c r="Y10" s="8"/>
      <c r="Z10" s="8"/>
    </row>
    <row r="11" ht="12.75" customHeight="1">
      <c r="A11" s="24" t="s">
        <v>2</v>
      </c>
      <c r="B11" s="25"/>
      <c r="C11" s="27"/>
      <c r="D11" s="29"/>
      <c r="E11" s="27"/>
      <c r="F11" s="27"/>
      <c r="G11" s="27"/>
      <c r="H11" s="29"/>
      <c r="I11" s="27"/>
      <c r="J11" s="27"/>
      <c r="K11" s="31"/>
      <c r="L11" s="27"/>
      <c r="M11" s="25"/>
      <c r="N11" s="27"/>
      <c r="O11" s="29"/>
      <c r="P11" s="27"/>
      <c r="Q11" s="27"/>
      <c r="R11" s="27"/>
      <c r="S11" s="29"/>
      <c r="T11" s="27"/>
      <c r="U11" s="27"/>
      <c r="V11" s="31"/>
      <c r="W11" s="8"/>
      <c r="X11" s="8"/>
      <c r="Y11" s="8"/>
      <c r="Z11" s="8"/>
    </row>
    <row r="12" ht="12.75" customHeight="1">
      <c r="A12" s="8" t="s">
        <v>16</v>
      </c>
      <c r="B12" s="33">
        <f>SUMIF(ACTUAL!$A:$A,$A12,ACTUAL!$O:$O)</f>
        <v>10087.64</v>
      </c>
      <c r="C12" s="27">
        <f>+B12/'P&amp;L Summary'!B$21</f>
        <v>0.0235696235</v>
      </c>
      <c r="D12" s="29"/>
      <c r="E12" s="35">
        <f>SUMIF(BUDGET!$A:$A,$A12,BUDGET!$O:$O)</f>
        <v>10088</v>
      </c>
      <c r="F12" s="27">
        <f>+E12/'P&amp;L Summary'!E$21</f>
        <v>0.02239563099</v>
      </c>
      <c r="G12" s="27">
        <f t="shared" ref="G12:G24" si="1">IF(E12=0,0,(B12-E12)/E12)</f>
        <v>-0.00003568596352</v>
      </c>
      <c r="H12" s="37"/>
      <c r="I12" s="35">
        <f>SUMIF(PRIOR!$A:$A,$A12,PRIOR!$O:$O)</f>
        <v>10417</v>
      </c>
      <c r="J12" s="27">
        <f>+I12/'P&amp;L Summary'!I$21</f>
        <v>0.02556194376</v>
      </c>
      <c r="K12" s="31">
        <f t="shared" ref="K12:K24" si="2">IF(I12=0,0,(B12-I12)/I12)</f>
        <v>-0.03161754824</v>
      </c>
      <c r="L12" s="27"/>
      <c r="M12" s="38">
        <f>SUMIF(ACTUAL!$A:$A,$A12,ACTUAL!$P:$P)</f>
        <v>50438.2</v>
      </c>
      <c r="N12" s="27">
        <f>+M12/'P&amp;L Summary'!M$21</f>
        <v>0.02565751862</v>
      </c>
      <c r="O12" s="29"/>
      <c r="P12" s="35">
        <f>SUMIF(BUDGET!$A:$A,$A12,BUDGET!$P:$P)</f>
        <v>50440</v>
      </c>
      <c r="Q12" s="27">
        <f>+P12/'P&amp;L Summary'!P$21</f>
        <v>0.02381764111</v>
      </c>
      <c r="R12" s="27">
        <f t="shared" ref="R12:R24" si="3">+IF(P12=0,0,(M12-P12)/P12)</f>
        <v>-0.00003568596352</v>
      </c>
      <c r="S12" s="37"/>
      <c r="T12" s="35">
        <f>SUMIF(PRIOR!$A:$A,$A12,PRIOR!$P:$P)</f>
        <v>52085</v>
      </c>
      <c r="U12" s="27">
        <f>+T12/'P&amp;L Summary'!T$21</f>
        <v>0.02676062993</v>
      </c>
      <c r="V12" s="31">
        <f t="shared" ref="V12:V24" si="4">IF(T12=0,0,+(M12-T12)/T12)</f>
        <v>-0.03161754824</v>
      </c>
      <c r="W12" s="8"/>
      <c r="X12" s="8"/>
      <c r="Y12" s="8"/>
      <c r="Z12" s="8"/>
    </row>
    <row r="13" ht="12.75" customHeight="1">
      <c r="A13" s="8" t="s">
        <v>18</v>
      </c>
      <c r="B13" s="39">
        <f>SUMIF(ACTUAL!$A:$A,$A13,ACTUAL!$O:$O)</f>
        <v>0</v>
      </c>
      <c r="C13" s="27">
        <f>+B13/'P&amp;L Summary'!B$21</f>
        <v>0</v>
      </c>
      <c r="D13" s="29"/>
      <c r="E13" s="35">
        <f>SUMIF(BUDGET!$A:$A,$A13,BUDGET!$O:$O)</f>
        <v>0</v>
      </c>
      <c r="F13" s="27">
        <f>+E13/'P&amp;L Summary'!E$21</f>
        <v>0</v>
      </c>
      <c r="G13" s="27">
        <f t="shared" si="1"/>
        <v>0</v>
      </c>
      <c r="H13" s="37"/>
      <c r="I13" s="35">
        <f>SUMIF(PRIOR!$A:$A,$A13,PRIOR!$O:$O)</f>
        <v>0</v>
      </c>
      <c r="J13" s="27">
        <f>+I13/'P&amp;L Summary'!I$21</f>
        <v>0</v>
      </c>
      <c r="K13" s="31">
        <f t="shared" si="2"/>
        <v>0</v>
      </c>
      <c r="L13" s="27"/>
      <c r="M13" s="38">
        <f>SUMIF(ACTUAL!$A:$A,$A13,ACTUAL!$P:$P)</f>
        <v>0</v>
      </c>
      <c r="N13" s="27">
        <f>+M13/'P&amp;L Summary'!M$21</f>
        <v>0</v>
      </c>
      <c r="O13" s="29"/>
      <c r="P13" s="35">
        <f>SUMIF(BUDGET!$A:$A,$A13,BUDGET!$P:$P)</f>
        <v>0</v>
      </c>
      <c r="Q13" s="27">
        <f>+P13/'P&amp;L Summary'!P$21</f>
        <v>0</v>
      </c>
      <c r="R13" s="27">
        <f t="shared" si="3"/>
        <v>0</v>
      </c>
      <c r="S13" s="37"/>
      <c r="T13" s="35">
        <f>SUMIF(PRIOR!$A:$A,$A13,PRIOR!$P:$P)</f>
        <v>0</v>
      </c>
      <c r="U13" s="27">
        <f>+T13/'P&amp;L Summary'!T$21</f>
        <v>0</v>
      </c>
      <c r="V13" s="31">
        <f t="shared" si="4"/>
        <v>0</v>
      </c>
      <c r="W13" s="8"/>
      <c r="X13" s="8"/>
      <c r="Y13" s="8"/>
      <c r="Z13" s="8"/>
    </row>
    <row r="14" ht="12.75" customHeight="1">
      <c r="A14" s="8" t="s">
        <v>21</v>
      </c>
      <c r="B14" s="39">
        <f>SUMIF(ACTUAL!$A:$A,$A14,ACTUAL!$O:$O)</f>
        <v>979.25</v>
      </c>
      <c r="C14" s="27">
        <f>+B14/'P&amp;L Summary'!B$21</f>
        <v>0.00228800332</v>
      </c>
      <c r="D14" s="29"/>
      <c r="E14" s="35">
        <f>SUMIF(BUDGET!$A:$A,$A14,BUDGET!$O:$O)</f>
        <v>922</v>
      </c>
      <c r="F14" s="27">
        <f>+E14/'P&amp;L Summary'!E$21</f>
        <v>0.002046864767</v>
      </c>
      <c r="G14" s="27">
        <f t="shared" si="1"/>
        <v>0.06209327549</v>
      </c>
      <c r="H14" s="37"/>
      <c r="I14" s="35">
        <f>SUMIF(PRIOR!$A:$A,$A14,PRIOR!$O:$O)</f>
        <v>1112.73</v>
      </c>
      <c r="J14" s="27">
        <f>+I14/'P&amp;L Summary'!I$21</f>
        <v>0.002730492626</v>
      </c>
      <c r="K14" s="31">
        <f t="shared" si="2"/>
        <v>-0.1199572223</v>
      </c>
      <c r="L14" s="27"/>
      <c r="M14" s="38">
        <f>SUMIF(ACTUAL!$A:$A,$A14,ACTUAL!$P:$P)</f>
        <v>3930.97</v>
      </c>
      <c r="N14" s="27">
        <f>+M14/'P&amp;L Summary'!M$21</f>
        <v>0.001999653754</v>
      </c>
      <c r="O14" s="29"/>
      <c r="P14" s="35">
        <f>SUMIF(BUDGET!$A:$A,$A14,BUDGET!$P:$P)</f>
        <v>4336</v>
      </c>
      <c r="Q14" s="27">
        <f>+P14/'P&amp;L Summary'!P$21</f>
        <v>0.002047448292</v>
      </c>
      <c r="R14" s="27">
        <f t="shared" si="3"/>
        <v>-0.09341097786</v>
      </c>
      <c r="S14" s="37"/>
      <c r="T14" s="35">
        <f>SUMIF(PRIOR!$A:$A,$A14,PRIOR!$P:$P)</f>
        <v>3598.55</v>
      </c>
      <c r="U14" s="27">
        <f>+T14/'P&amp;L Summary'!T$21</f>
        <v>0.001848890561</v>
      </c>
      <c r="V14" s="31">
        <f t="shared" si="4"/>
        <v>0.09237609593</v>
      </c>
      <c r="W14" s="8"/>
      <c r="X14" s="8"/>
      <c r="Y14" s="8"/>
      <c r="Z14" s="8"/>
    </row>
    <row r="15" ht="12.75" customHeight="1">
      <c r="A15" s="8" t="s">
        <v>22</v>
      </c>
      <c r="B15" s="39">
        <f>SUMIF(ACTUAL!$A:$A,$A15,ACTUAL!$O:$O)</f>
        <v>546</v>
      </c>
      <c r="C15" s="27">
        <f>+B15/'P&amp;L Summary'!B$21</f>
        <v>0.001275721024</v>
      </c>
      <c r="D15" s="29"/>
      <c r="E15" s="35">
        <f>SUMIF(BUDGET!$A:$A,$A15,BUDGET!$O:$O)</f>
        <v>546</v>
      </c>
      <c r="F15" s="27">
        <f>+E15/'P&amp;L Summary'!E$21</f>
        <v>0.001212134667</v>
      </c>
      <c r="G15" s="27">
        <f t="shared" si="1"/>
        <v>0</v>
      </c>
      <c r="H15" s="37"/>
      <c r="I15" s="35">
        <f>SUMIF(PRIOR!$A:$A,$A15,PRIOR!$O:$O)</f>
        <v>546</v>
      </c>
      <c r="J15" s="27">
        <f>+I15/'P&amp;L Summary'!I$21</f>
        <v>0.00133981197</v>
      </c>
      <c r="K15" s="31">
        <f t="shared" si="2"/>
        <v>0</v>
      </c>
      <c r="L15" s="8"/>
      <c r="M15" s="38">
        <f>SUMIF(ACTUAL!$A:$A,$A15,ACTUAL!$P:$P)</f>
        <v>2730</v>
      </c>
      <c r="N15" s="27">
        <f>+M15/'P&amp;L Summary'!M$21</f>
        <v>0.001388729689</v>
      </c>
      <c r="O15" s="29"/>
      <c r="P15" s="35">
        <f>SUMIF(BUDGET!$A:$A,$A15,BUDGET!$P:$P)</f>
        <v>2730</v>
      </c>
      <c r="Q15" s="27">
        <f>+P15/'P&amp;L Summary'!P$21</f>
        <v>0.001289099132</v>
      </c>
      <c r="R15" s="27">
        <f t="shared" si="3"/>
        <v>0</v>
      </c>
      <c r="S15" s="37"/>
      <c r="T15" s="35">
        <f>SUMIF(PRIOR!$A:$A,$A15,PRIOR!$P:$P)</f>
        <v>2730</v>
      </c>
      <c r="U15" s="27">
        <f>+T15/'P&amp;L Summary'!T$21</f>
        <v>0.001402640294</v>
      </c>
      <c r="V15" s="31">
        <f t="shared" si="4"/>
        <v>0</v>
      </c>
      <c r="W15" s="8"/>
      <c r="X15" s="8"/>
      <c r="Y15" s="8"/>
      <c r="Z15" s="8"/>
    </row>
    <row r="16" ht="12.75" customHeight="1">
      <c r="A16" s="8" t="s">
        <v>24</v>
      </c>
      <c r="B16" s="39">
        <f>SUMIF(ACTUAL!$A:$A,$A16,ACTUAL!$O:$O)</f>
        <v>3469.18</v>
      </c>
      <c r="C16" s="27">
        <f>+B16/'P&amp;L Summary'!B$21</f>
        <v>0.008105688393</v>
      </c>
      <c r="D16" s="29"/>
      <c r="E16" s="35">
        <f>SUMIF(BUDGET!$A:$A,$A16,BUDGET!$O:$O)</f>
        <v>2671</v>
      </c>
      <c r="F16" s="27">
        <f>+E16/'P&amp;L Summary'!E$21</f>
        <v>0.005929691749</v>
      </c>
      <c r="G16" s="27">
        <f t="shared" si="1"/>
        <v>0.2988318982</v>
      </c>
      <c r="H16" s="37"/>
      <c r="I16" s="35">
        <f>SUMIF(PRIOR!$A:$A,$A16,PRIOR!$O:$O)</f>
        <v>982.79</v>
      </c>
      <c r="J16" s="27">
        <f>+I16/'P&amp;L Summary'!I$21</f>
        <v>0.002411637008</v>
      </c>
      <c r="K16" s="31">
        <f t="shared" si="2"/>
        <v>2.529930097</v>
      </c>
      <c r="L16" s="8"/>
      <c r="M16" s="38">
        <f>SUMIF(ACTUAL!$A:$A,$A16,ACTUAL!$P:$P)</f>
        <v>13474.03</v>
      </c>
      <c r="N16" s="27">
        <f>+M16/'P&amp;L Summary'!M$21</f>
        <v>0.006854133882</v>
      </c>
      <c r="O16" s="29"/>
      <c r="P16" s="35">
        <f>SUMIF(BUDGET!$A:$A,$A16,BUDGET!$P:$P)</f>
        <v>13355</v>
      </c>
      <c r="Q16" s="27">
        <f>+P16/'P&amp;L Summary'!P$21</f>
        <v>0.006306197403</v>
      </c>
      <c r="R16" s="27">
        <f t="shared" si="3"/>
        <v>0.008912766754</v>
      </c>
      <c r="S16" s="37"/>
      <c r="T16" s="35">
        <f>SUMIF(PRIOR!$A:$A,$A16,PRIOR!$P:$P)</f>
        <v>12955.8</v>
      </c>
      <c r="U16" s="27">
        <f>+T16/'P&amp;L Summary'!T$21</f>
        <v>0.006656530082</v>
      </c>
      <c r="V16" s="31">
        <f t="shared" si="4"/>
        <v>0.03999984563</v>
      </c>
      <c r="W16" s="8"/>
      <c r="X16" s="8"/>
      <c r="Y16" s="8"/>
      <c r="Z16" s="8"/>
    </row>
    <row r="17" ht="12.75" customHeight="1">
      <c r="A17" s="8" t="s">
        <v>26</v>
      </c>
      <c r="B17" s="39">
        <f>SUMIF(ACTUAL!$A:$A,$A17,ACTUAL!$O:$O)</f>
        <v>0</v>
      </c>
      <c r="C17" s="27">
        <f>+B17/'P&amp;L Summary'!B$21</f>
        <v>0</v>
      </c>
      <c r="D17" s="29"/>
      <c r="E17" s="35">
        <f>SUMIF(BUDGET!$A:$A,$A17,BUDGET!$O:$O)</f>
        <v>62</v>
      </c>
      <c r="F17" s="27">
        <f>+E17/'P&amp;L Summary'!E$21</f>
        <v>0.0001376416655</v>
      </c>
      <c r="G17" s="27">
        <f t="shared" si="1"/>
        <v>-1</v>
      </c>
      <c r="H17" s="37"/>
      <c r="I17" s="35">
        <f>SUMIF(PRIOR!$A:$A,$A17,PRIOR!$O:$O)</f>
        <v>0</v>
      </c>
      <c r="J17" s="27">
        <f>+I17/'P&amp;L Summary'!I$21</f>
        <v>0</v>
      </c>
      <c r="K17" s="31">
        <f t="shared" si="2"/>
        <v>0</v>
      </c>
      <c r="L17" s="8"/>
      <c r="M17" s="38">
        <f>SUMIF(ACTUAL!$A:$A,$A17,ACTUAL!$P:$P)</f>
        <v>0</v>
      </c>
      <c r="N17" s="27">
        <f>+M17/'P&amp;L Summary'!M$21</f>
        <v>0</v>
      </c>
      <c r="O17" s="29"/>
      <c r="P17" s="35">
        <f>SUMIF(BUDGET!$A:$A,$A17,BUDGET!$P:$P)</f>
        <v>310</v>
      </c>
      <c r="Q17" s="27">
        <f>+P17/'P&amp;L Summary'!P$21</f>
        <v>0.0001463812201</v>
      </c>
      <c r="R17" s="27">
        <f t="shared" si="3"/>
        <v>-1</v>
      </c>
      <c r="S17" s="37"/>
      <c r="T17" s="35">
        <f>SUMIF(PRIOR!$A:$A,$A17,PRIOR!$P:$P)</f>
        <v>0</v>
      </c>
      <c r="U17" s="27">
        <f>+T17/'P&amp;L Summary'!T$21</f>
        <v>0</v>
      </c>
      <c r="V17" s="31">
        <f t="shared" si="4"/>
        <v>0</v>
      </c>
      <c r="W17" s="8"/>
      <c r="X17" s="8"/>
      <c r="Y17" s="8"/>
      <c r="Z17" s="8"/>
    </row>
    <row r="18" ht="12.75" customHeight="1">
      <c r="A18" s="8" t="s">
        <v>29</v>
      </c>
      <c r="B18" s="39">
        <f>SUMIF(ACTUAL!$A:$A,$A18,ACTUAL!$O:$O)</f>
        <v>102965.62</v>
      </c>
      <c r="C18" s="27">
        <f>+B18/'P&amp;L Summary'!B$21</f>
        <v>0.240577667</v>
      </c>
      <c r="D18" s="29"/>
      <c r="E18" s="35">
        <f>SUMIF(BUDGET!$A:$A,$A18,BUDGET!$O:$O)</f>
        <v>79045</v>
      </c>
      <c r="F18" s="27">
        <f>+E18/'P&amp;L Summary'!E$21</f>
        <v>0.1754820233</v>
      </c>
      <c r="G18" s="27">
        <f t="shared" si="1"/>
        <v>0.3026202796</v>
      </c>
      <c r="H18" s="37"/>
      <c r="I18" s="35">
        <f>SUMIF(PRIOR!$A:$A,$A18,PRIOR!$O:$O)</f>
        <v>74051.33</v>
      </c>
      <c r="J18" s="27">
        <f>+I18/'P&amp;L Summary'!I$21</f>
        <v>0.1817121948</v>
      </c>
      <c r="K18" s="31">
        <f t="shared" si="2"/>
        <v>0.3904628047</v>
      </c>
      <c r="L18" s="8"/>
      <c r="M18" s="38">
        <f>SUMIF(ACTUAL!$A:$A,$A18,ACTUAL!$P:$P)</f>
        <v>410101.74</v>
      </c>
      <c r="N18" s="27">
        <f>+M18/'P&amp;L Summary'!M$21</f>
        <v>0.2086155539</v>
      </c>
      <c r="O18" s="29"/>
      <c r="P18" s="35">
        <f>SUMIF(BUDGET!$A:$A,$A18,BUDGET!$P:$P)</f>
        <v>350159</v>
      </c>
      <c r="Q18" s="27">
        <f>+P18/'P&amp;L Summary'!P$21</f>
        <v>0.1653441989</v>
      </c>
      <c r="R18" s="27">
        <f t="shared" si="3"/>
        <v>0.1711872035</v>
      </c>
      <c r="S18" s="37"/>
      <c r="T18" s="35">
        <f>SUMIF(PRIOR!$A:$A,$A18,PRIOR!$P:$P)</f>
        <v>330649.9</v>
      </c>
      <c r="U18" s="27">
        <f>+T18/'P&amp;L Summary'!T$21</f>
        <v>0.1698838363</v>
      </c>
      <c r="V18" s="31">
        <f t="shared" si="4"/>
        <v>0.240289926</v>
      </c>
      <c r="W18" s="8"/>
      <c r="X18" s="8"/>
      <c r="Y18" s="8"/>
      <c r="Z18" s="8"/>
    </row>
    <row r="19" ht="12.75" customHeight="1">
      <c r="A19" s="8" t="s">
        <v>31</v>
      </c>
      <c r="B19" s="39">
        <f>SUMIF(ACTUAL!$A:$A,$A19,ACTUAL!$O:$O)</f>
        <v>24505.74</v>
      </c>
      <c r="C19" s="27">
        <f>+B19/'P&amp;L Summary'!B$21</f>
        <v>0.05725730354</v>
      </c>
      <c r="D19" s="29"/>
      <c r="E19" s="35">
        <f>SUMIF(BUDGET!$A:$A,$A19,BUDGET!$O:$O)</f>
        <v>33339</v>
      </c>
      <c r="F19" s="27">
        <f>+E19/'P&amp;L Summary'!E$21</f>
        <v>0.07401347556</v>
      </c>
      <c r="G19" s="27">
        <f t="shared" si="1"/>
        <v>-0.264952758</v>
      </c>
      <c r="H19" s="37"/>
      <c r="I19" s="35">
        <f>SUMIF(PRIOR!$A:$A,$A19,PRIOR!$O:$O)</f>
        <v>29420.24</v>
      </c>
      <c r="J19" s="27">
        <f>+I19/'P&amp;L Summary'!I$21</f>
        <v>0.07219338777</v>
      </c>
      <c r="K19" s="31">
        <f t="shared" si="2"/>
        <v>-0.1670448644</v>
      </c>
      <c r="L19" s="8"/>
      <c r="M19" s="38">
        <f>SUMIF(ACTUAL!$A:$A,$A19,ACTUAL!$P:$P)</f>
        <v>138232.51</v>
      </c>
      <c r="N19" s="27">
        <f>+M19/'P&amp;L Summary'!M$21</f>
        <v>0.07031779878</v>
      </c>
      <c r="O19" s="29"/>
      <c r="P19" s="35">
        <f>SUMIF(BUDGET!$A:$A,$A19,BUDGET!$P:$P)</f>
        <v>162861</v>
      </c>
      <c r="Q19" s="27">
        <f>+P19/'P&amp;L Summary'!P$21</f>
        <v>0.07690255449</v>
      </c>
      <c r="R19" s="27">
        <f t="shared" si="3"/>
        <v>-0.1512239886</v>
      </c>
      <c r="S19" s="37"/>
      <c r="T19" s="35">
        <f>SUMIF(PRIOR!$A:$A,$A19,PRIOR!$P:$P)</f>
        <v>151875.28</v>
      </c>
      <c r="U19" s="27">
        <f>+T19/'P&amp;L Summary'!T$21</f>
        <v>0.07803164374</v>
      </c>
      <c r="V19" s="31">
        <f t="shared" si="4"/>
        <v>-0.08982877266</v>
      </c>
      <c r="W19" s="8"/>
      <c r="X19" s="8"/>
      <c r="Y19" s="8"/>
      <c r="Z19" s="8"/>
    </row>
    <row r="20" ht="12.75" customHeight="1">
      <c r="A20" s="8" t="s">
        <v>33</v>
      </c>
      <c r="B20" s="35">
        <f>SUMIF(ACTUAL!$A:$A,$A20,ACTUAL!$O:$O)</f>
        <v>56273.93</v>
      </c>
      <c r="C20" s="27">
        <f>+B20/'P&amp;L Summary'!B$21</f>
        <v>0.1314832154</v>
      </c>
      <c r="D20" s="29"/>
      <c r="E20" s="35">
        <f>SUMIF(BUDGET!$A:$A,$A20,BUDGET!$O:$O)</f>
        <v>67980</v>
      </c>
      <c r="F20" s="27">
        <f>+E20/'P&amp;L Summary'!E$21</f>
        <v>0.1509174261</v>
      </c>
      <c r="G20" s="27">
        <f t="shared" si="1"/>
        <v>-0.1721987349</v>
      </c>
      <c r="H20" s="37"/>
      <c r="I20" s="35">
        <f>SUMIF(PRIOR!$A:$A,$A20,PRIOR!$O:$O)</f>
        <v>66995.39</v>
      </c>
      <c r="J20" s="27">
        <f>+I20/'P&amp;L Summary'!I$21</f>
        <v>0.1643978489</v>
      </c>
      <c r="K20" s="31">
        <f t="shared" si="2"/>
        <v>-0.1600328023</v>
      </c>
      <c r="L20" s="8"/>
      <c r="M20" s="38">
        <f>SUMIF(ACTUAL!$A:$A,$A20,ACTUAL!$P:$P)</f>
        <v>269697.5</v>
      </c>
      <c r="N20" s="27">
        <f>+M20/'P&amp;L Summary'!M$21</f>
        <v>0.137193013</v>
      </c>
      <c r="O20" s="29"/>
      <c r="P20" s="35">
        <f>SUMIF(BUDGET!$A:$A,$A20,BUDGET!$P:$P)</f>
        <v>327375</v>
      </c>
      <c r="Q20" s="27">
        <f>+P20/'P&amp;L Summary'!P$21</f>
        <v>0.1545856514</v>
      </c>
      <c r="R20" s="27">
        <f t="shared" si="3"/>
        <v>-0.1761817488</v>
      </c>
      <c r="S20" s="37"/>
      <c r="T20" s="35">
        <f>SUMIF(PRIOR!$A:$A,$A20,PRIOR!$P:$P)</f>
        <v>338306.56</v>
      </c>
      <c r="U20" s="27">
        <f>+T20/'P&amp;L Summary'!T$21</f>
        <v>0.1738177336</v>
      </c>
      <c r="V20" s="31">
        <f t="shared" si="4"/>
        <v>-0.2028014473</v>
      </c>
      <c r="W20" s="8"/>
      <c r="X20" s="8"/>
      <c r="Y20" s="8"/>
      <c r="Z20" s="8"/>
    </row>
    <row r="21" ht="12.75" customHeight="1">
      <c r="A21" s="8" t="s">
        <v>34</v>
      </c>
      <c r="B21" s="39">
        <f>SUMIF(ACTUAL!$A:$A,$A21,ACTUAL!$O:$O)</f>
        <v>5367.24</v>
      </c>
      <c r="C21" s="27">
        <f>+B21/'P&amp;L Summary'!B$21</f>
        <v>0.01254047786</v>
      </c>
      <c r="D21" s="29"/>
      <c r="E21" s="35">
        <f>SUMIF(BUDGET!$A:$A,$A21,BUDGET!$O:$O)</f>
        <v>3118</v>
      </c>
      <c r="F21" s="27">
        <f>+E21/'P&amp;L Summary'!E$21</f>
        <v>0.006922043757</v>
      </c>
      <c r="G21" s="27">
        <f t="shared" si="1"/>
        <v>0.7213726748</v>
      </c>
      <c r="H21" s="37"/>
      <c r="I21" s="35">
        <f>SUMIF(PRIOR!$A:$A,$A21,PRIOR!$O:$O)</f>
        <v>867.71</v>
      </c>
      <c r="J21" s="27">
        <f>+I21/'P&amp;L Summary'!I$21</f>
        <v>0.00212924587</v>
      </c>
      <c r="K21" s="31">
        <f t="shared" si="2"/>
        <v>5.185522813</v>
      </c>
      <c r="L21" s="27"/>
      <c r="M21" s="38">
        <f>SUMIF(ACTUAL!$A:$A,$A21,ACTUAL!$P:$P)</f>
        <v>26911.11</v>
      </c>
      <c r="N21" s="27">
        <f>+M21/'P&amp;L Summary'!M$21</f>
        <v>0.01368947159</v>
      </c>
      <c r="O21" s="29"/>
      <c r="P21" s="35">
        <f>SUMIF(BUDGET!$A:$A,$A21,BUDGET!$P:$P)</f>
        <v>15665</v>
      </c>
      <c r="Q21" s="27">
        <f>+P21/'P&amp;L Summary'!P$21</f>
        <v>0.007396973592</v>
      </c>
      <c r="R21" s="27">
        <f t="shared" si="3"/>
        <v>0.7179131823</v>
      </c>
      <c r="S21" s="37"/>
      <c r="T21" s="35">
        <f>SUMIF(PRIOR!$A:$A,$A21,PRIOR!$P:$P)</f>
        <v>6528.11</v>
      </c>
      <c r="U21" s="27">
        <f>+T21/'P&amp;L Summary'!T$21</f>
        <v>0.003354062319</v>
      </c>
      <c r="V21" s="31">
        <f t="shared" si="4"/>
        <v>3.12234322</v>
      </c>
      <c r="W21" s="8"/>
      <c r="X21" s="8"/>
      <c r="Y21" s="8"/>
      <c r="Z21" s="8"/>
    </row>
    <row r="22" ht="12.75" customHeight="1">
      <c r="A22" s="8" t="s">
        <v>37</v>
      </c>
      <c r="B22" s="39">
        <f>SUMIF(ACTUAL!$A:$A,$A22,ACTUAL!$O:$O)</f>
        <v>0</v>
      </c>
      <c r="C22" s="27">
        <f>+B22/'P&amp;L Summary'!B$21</f>
        <v>0</v>
      </c>
      <c r="D22" s="29"/>
      <c r="E22" s="35">
        <f>SUMIF(BUDGET!$A:$A,$A22,BUDGET!$O:$O)</f>
        <v>0</v>
      </c>
      <c r="F22" s="27">
        <f>+E22/'P&amp;L Summary'!E$21</f>
        <v>0</v>
      </c>
      <c r="G22" s="27">
        <f t="shared" si="1"/>
        <v>0</v>
      </c>
      <c r="H22" s="37"/>
      <c r="I22" s="35">
        <f>SUMIF(PRIOR!$A:$A,$A22,PRIOR!$O:$O)</f>
        <v>0</v>
      </c>
      <c r="J22" s="27">
        <f>+I22/'P&amp;L Summary'!I$21</f>
        <v>0</v>
      </c>
      <c r="K22" s="31">
        <f t="shared" si="2"/>
        <v>0</v>
      </c>
      <c r="L22" s="8"/>
      <c r="M22" s="38">
        <f>SUMIF(ACTUAL!$A:$A,$A22,ACTUAL!$P:$P)</f>
        <v>0</v>
      </c>
      <c r="N22" s="27">
        <f>+M22/'P&amp;L Summary'!M$21</f>
        <v>0</v>
      </c>
      <c r="O22" s="29"/>
      <c r="P22" s="35">
        <f>SUMIF(BUDGET!$A:$A,$A22,BUDGET!$P:$P)</f>
        <v>0</v>
      </c>
      <c r="Q22" s="27">
        <f>+P22/'P&amp;L Summary'!P$21</f>
        <v>0</v>
      </c>
      <c r="R22" s="27">
        <f t="shared" si="3"/>
        <v>0</v>
      </c>
      <c r="S22" s="37"/>
      <c r="T22" s="35">
        <f>SUMIF(PRIOR!$A:$A,$A22,PRIOR!$P:$P)</f>
        <v>0</v>
      </c>
      <c r="U22" s="27">
        <f>+T22/'P&amp;L Summary'!T$21</f>
        <v>0</v>
      </c>
      <c r="V22" s="31">
        <f t="shared" si="4"/>
        <v>0</v>
      </c>
      <c r="W22" s="8"/>
      <c r="X22" s="8"/>
      <c r="Y22" s="8"/>
      <c r="Z22" s="8"/>
    </row>
    <row r="23" ht="12.75" customHeight="1">
      <c r="A23" s="8" t="s">
        <v>39</v>
      </c>
      <c r="B23" s="39">
        <f>SUMIF(ACTUAL!$A:$A,$A23,ACTUAL!$O:$O)</f>
        <v>1007.01</v>
      </c>
      <c r="C23" s="27">
        <f>+B23/'P&amp;L Summary'!B$21</f>
        <v>0.002352864155</v>
      </c>
      <c r="D23" s="29"/>
      <c r="E23" s="35">
        <f>SUMIF(BUDGET!$A:$A,$A23,BUDGET!$O:$O)</f>
        <v>1425</v>
      </c>
      <c r="F23" s="27">
        <f>+E23/'P&amp;L Summary'!E$21</f>
        <v>0.003163538279</v>
      </c>
      <c r="G23" s="27">
        <f t="shared" si="1"/>
        <v>-0.2933263158</v>
      </c>
      <c r="H23" s="37"/>
      <c r="I23" s="35">
        <f>SUMIF(PRIOR!$A:$A,$A23,PRIOR!$O:$O)</f>
        <v>2337.59</v>
      </c>
      <c r="J23" s="27">
        <f>+I23/'P&amp;L Summary'!I$21</f>
        <v>0.00573613748</v>
      </c>
      <c r="K23" s="31">
        <f t="shared" si="2"/>
        <v>-0.5692101694</v>
      </c>
      <c r="L23" s="27"/>
      <c r="M23" s="38">
        <f>SUMIF(ACTUAL!$A:$A,$A23,ACTUAL!$P:$P)</f>
        <v>5220.45</v>
      </c>
      <c r="N23" s="27">
        <f>+M23/'P&amp;L Summary'!M$21</f>
        <v>0.002655602164</v>
      </c>
      <c r="O23" s="29"/>
      <c r="P23" s="35">
        <f>SUMIF(BUDGET!$A:$A,$A23,BUDGET!$P:$P)</f>
        <v>7125</v>
      </c>
      <c r="Q23" s="27">
        <f>+P23/'P&amp;L Summary'!P$21</f>
        <v>0.003364407076</v>
      </c>
      <c r="R23" s="27">
        <f t="shared" si="3"/>
        <v>-0.2673052632</v>
      </c>
      <c r="S23" s="37"/>
      <c r="T23" s="35">
        <f>SUMIF(PRIOR!$A:$A,$A23,PRIOR!$P:$P)</f>
        <v>6906.77</v>
      </c>
      <c r="U23" s="27">
        <f>+T23/'P&amp;L Summary'!T$21</f>
        <v>0.003548613152</v>
      </c>
      <c r="V23" s="31">
        <f t="shared" si="4"/>
        <v>-0.2441546483</v>
      </c>
      <c r="W23" s="8"/>
      <c r="X23" s="8"/>
      <c r="Y23" s="8"/>
      <c r="Z23" s="8"/>
    </row>
    <row r="24" ht="12.75" customHeight="1">
      <c r="A24" s="24" t="s">
        <v>40</v>
      </c>
      <c r="B24" s="53">
        <f>SUM(B12:B23)</f>
        <v>205201.61</v>
      </c>
      <c r="C24" s="54">
        <f>+B24/'P&amp;L Summary'!B$21</f>
        <v>0.4794505642</v>
      </c>
      <c r="D24" s="55"/>
      <c r="E24" s="56">
        <f>SUM(E12:E23)</f>
        <v>199196</v>
      </c>
      <c r="F24" s="54">
        <f>+E24/'P&amp;L Summary'!E$21</f>
        <v>0.4422204709</v>
      </c>
      <c r="G24" s="54">
        <f t="shared" si="1"/>
        <v>0.03014924998</v>
      </c>
      <c r="H24" s="57"/>
      <c r="I24" s="56">
        <f>SUM(I12:I23)</f>
        <v>186730.78</v>
      </c>
      <c r="J24" s="58">
        <f>+I24/'P&amp;L Summary'!I$21</f>
        <v>0.4582127002</v>
      </c>
      <c r="K24" s="59">
        <f t="shared" si="2"/>
        <v>0.09891690058</v>
      </c>
      <c r="L24" s="8"/>
      <c r="M24" s="53">
        <f>SUM(M12:M23)</f>
        <v>920736.51</v>
      </c>
      <c r="N24" s="54">
        <f>+M24/'P&amp;L Summary'!M$21</f>
        <v>0.4683714753</v>
      </c>
      <c r="O24" s="55"/>
      <c r="P24" s="56">
        <f>SUM(P12:P23)</f>
        <v>934356</v>
      </c>
      <c r="Q24" s="54">
        <f>+P24/'P&amp;L Summary'!P$21</f>
        <v>0.4412005527</v>
      </c>
      <c r="R24" s="54">
        <f t="shared" si="3"/>
        <v>-0.01457633921</v>
      </c>
      <c r="S24" s="57"/>
      <c r="T24" s="56">
        <f>SUM(T12:T23)</f>
        <v>905635.97</v>
      </c>
      <c r="U24" s="54">
        <f>+T24/'P&amp;L Summary'!T$21</f>
        <v>0.46530458</v>
      </c>
      <c r="V24" s="59">
        <f t="shared" si="4"/>
        <v>0.01667396228</v>
      </c>
      <c r="W24" s="8"/>
      <c r="X24" s="8"/>
      <c r="Y24" s="8"/>
      <c r="Z24" s="8"/>
    </row>
    <row r="25" ht="12.75" customHeight="1">
      <c r="A25" s="8"/>
      <c r="B25" s="39"/>
      <c r="C25" s="27"/>
      <c r="D25" s="29"/>
      <c r="E25" s="60"/>
      <c r="F25" s="27"/>
      <c r="G25" s="8"/>
      <c r="H25" s="28"/>
      <c r="I25" s="60"/>
      <c r="J25" s="8"/>
      <c r="K25" s="31"/>
      <c r="L25" s="27"/>
      <c r="M25" s="39"/>
      <c r="N25" s="27"/>
      <c r="O25" s="29"/>
      <c r="P25" s="60"/>
      <c r="Q25" s="27"/>
      <c r="R25" s="8"/>
      <c r="S25" s="28"/>
      <c r="T25" s="60"/>
      <c r="U25" s="8"/>
      <c r="V25" s="31"/>
      <c r="W25" s="8"/>
      <c r="X25" s="8"/>
      <c r="Y25" s="8"/>
      <c r="Z25" s="8"/>
    </row>
    <row r="26" ht="12.75" customHeight="1">
      <c r="A26" s="24" t="s">
        <v>44</v>
      </c>
      <c r="B26" s="25"/>
      <c r="C26" s="8"/>
      <c r="D26" s="28"/>
      <c r="E26" s="8"/>
      <c r="F26" s="8"/>
      <c r="G26" s="8"/>
      <c r="H26" s="28"/>
      <c r="I26" s="8"/>
      <c r="J26" s="8"/>
      <c r="K26" s="30"/>
      <c r="L26" s="27"/>
      <c r="M26" s="25"/>
      <c r="N26" s="8"/>
      <c r="O26" s="28"/>
      <c r="P26" s="8"/>
      <c r="Q26" s="8"/>
      <c r="R26" s="8"/>
      <c r="S26" s="28"/>
      <c r="T26" s="8"/>
      <c r="U26" s="8"/>
      <c r="V26" s="30"/>
      <c r="W26" s="8"/>
      <c r="X26" s="8"/>
      <c r="Y26" s="8"/>
      <c r="Z26" s="8"/>
    </row>
    <row r="27" ht="12.75" customHeight="1">
      <c r="A27" s="8" t="s">
        <v>45</v>
      </c>
      <c r="B27" s="39">
        <f>SUMIF(ACTUAL!$A:$A,$A27,ACTUAL!$O:$O)</f>
        <v>5.33</v>
      </c>
      <c r="C27" s="27">
        <f>+B27/'P&amp;L Summary'!B$21</f>
        <v>0.00001245346714</v>
      </c>
      <c r="D27" s="29"/>
      <c r="E27" s="35">
        <f>SUMIF(BUDGET!$A:$A,$A27,BUDGET!$O:$O)</f>
        <v>0</v>
      </c>
      <c r="F27" s="27">
        <f>+E27/'P&amp;L Summary'!E$21</f>
        <v>0</v>
      </c>
      <c r="G27" s="27">
        <f t="shared" ref="G27:G30" si="5">IF(E27=0,0,(B27-E27)/E27)</f>
        <v>0</v>
      </c>
      <c r="H27" s="37"/>
      <c r="I27" s="35">
        <f>SUMIF(PRIOR!$A:$A,$A27,PRIOR!$O:$O)</f>
        <v>-103.8</v>
      </c>
      <c r="J27" s="27">
        <f>+I27/'P&amp;L Summary'!I$21</f>
        <v>-0.0002547115065</v>
      </c>
      <c r="K27" s="31">
        <f t="shared" ref="K27:K30" si="6">IF(I27=0,0,(B27-I27)/I27)</f>
        <v>-1.051348748</v>
      </c>
      <c r="L27" s="8"/>
      <c r="M27" s="38">
        <f>SUMIF(ACTUAL!$A:$A,$A27,ACTUAL!$P:$P)</f>
        <v>63.38</v>
      </c>
      <c r="N27" s="27">
        <f>+M27/'P&amp;L Summary'!M$21</f>
        <v>0.00003224091125</v>
      </c>
      <c r="O27" s="29"/>
      <c r="P27" s="35">
        <f>SUMIF(BUDGET!$A:$A,$A27,BUDGET!$P:$P)</f>
        <v>0</v>
      </c>
      <c r="Q27" s="27">
        <f>+P27/'P&amp;L Summary'!P$21</f>
        <v>0</v>
      </c>
      <c r="R27" s="27">
        <f t="shared" ref="R27:R30" si="7">+IF(P27=0,0,(M27-P27)/P27)</f>
        <v>0</v>
      </c>
      <c r="S27" s="37"/>
      <c r="T27" s="35">
        <f>SUMIF(PRIOR!$A:$A,$A27,PRIOR!$P:$P)</f>
        <v>-155.48</v>
      </c>
      <c r="U27" s="27">
        <f>+T27/'P&amp;L Summary'!T$21</f>
        <v>-0.00007988370437</v>
      </c>
      <c r="V27" s="31">
        <f t="shared" ref="V27:V30" si="8">IF(T27=0,0,+(M27-T27)/T27)</f>
        <v>-1.407640854</v>
      </c>
      <c r="W27" s="8"/>
      <c r="X27" s="8"/>
      <c r="Y27" s="8"/>
      <c r="Z27" s="8"/>
    </row>
    <row r="28" ht="12.75" customHeight="1">
      <c r="A28" s="8" t="s">
        <v>47</v>
      </c>
      <c r="B28" s="39">
        <f>SUMIF(ACTUAL!$A:$A,$A28,ACTUAL!$O:$O)</f>
        <v>-20.84</v>
      </c>
      <c r="C28" s="27">
        <f>+B28/'P&amp;L Summary'!B$21</f>
        <v>-0.00004869235558</v>
      </c>
      <c r="D28" s="29"/>
      <c r="E28" s="35">
        <f>SUMIF(BUDGET!$A:$A,$A28,BUDGET!$O:$O)</f>
        <v>0</v>
      </c>
      <c r="F28" s="27">
        <f>+E28/'P&amp;L Summary'!E$21</f>
        <v>0</v>
      </c>
      <c r="G28" s="27">
        <f t="shared" si="5"/>
        <v>0</v>
      </c>
      <c r="H28" s="37"/>
      <c r="I28" s="35">
        <f>SUMIF(PRIOR!$A:$A,$A28,PRIOR!$O:$O)</f>
        <v>18.04</v>
      </c>
      <c r="J28" s="27">
        <f>+I28/'P&amp;L Summary'!I$21</f>
        <v>0.00004426778012</v>
      </c>
      <c r="K28" s="31">
        <f t="shared" si="6"/>
        <v>-2.155210643</v>
      </c>
      <c r="L28" s="27"/>
      <c r="M28" s="38">
        <f>SUMIF(ACTUAL!$A:$A,$A28,ACTUAL!$P:$P)</f>
        <v>-55.73</v>
      </c>
      <c r="N28" s="27">
        <f>+M28/'P&amp;L Summary'!M$21</f>
        <v>-0.00002834941597</v>
      </c>
      <c r="O28" s="29"/>
      <c r="P28" s="35">
        <f>SUMIF(BUDGET!$A:$A,$A28,BUDGET!$P:$P)</f>
        <v>0</v>
      </c>
      <c r="Q28" s="27">
        <f>+P28/'P&amp;L Summary'!P$21</f>
        <v>0</v>
      </c>
      <c r="R28" s="27">
        <f t="shared" si="7"/>
        <v>0</v>
      </c>
      <c r="S28" s="37"/>
      <c r="T28" s="35">
        <f>SUMIF(PRIOR!$A:$A,$A28,PRIOR!$P:$P)</f>
        <v>33.94</v>
      </c>
      <c r="U28" s="27">
        <f>+T28/'P&amp;L Summary'!T$21</f>
        <v>0.00001743795296</v>
      </c>
      <c r="V28" s="31">
        <f t="shared" si="8"/>
        <v>-2.642015321</v>
      </c>
      <c r="W28" s="8"/>
      <c r="X28" s="8"/>
      <c r="Y28" s="8"/>
      <c r="Z28" s="8"/>
    </row>
    <row r="29" ht="12.75" customHeight="1">
      <c r="A29" s="8" t="s">
        <v>49</v>
      </c>
      <c r="B29" s="39">
        <f>SUMIF(ACTUAL!$A:$A,$A29,ACTUAL!$O:$O)</f>
        <v>119</v>
      </c>
      <c r="C29" s="27">
        <f>+B29/'P&amp;L Summary'!B$21</f>
        <v>0.0002780417617</v>
      </c>
      <c r="D29" s="29"/>
      <c r="E29" s="35">
        <f>SUMIF(BUDGET!$A:$A,$A29,BUDGET!$O:$O)</f>
        <v>0</v>
      </c>
      <c r="F29" s="27">
        <f>+E29/'P&amp;L Summary'!E$21</f>
        <v>0</v>
      </c>
      <c r="G29" s="27">
        <f t="shared" si="5"/>
        <v>0</v>
      </c>
      <c r="H29" s="37"/>
      <c r="I29" s="35">
        <f>SUMIF(PRIOR!$A:$A,$A29,PRIOR!$O:$O)</f>
        <v>0</v>
      </c>
      <c r="J29" s="27">
        <f>+I29/'P&amp;L Summary'!I$21</f>
        <v>0</v>
      </c>
      <c r="K29" s="31">
        <f t="shared" si="6"/>
        <v>0</v>
      </c>
      <c r="L29" s="8"/>
      <c r="M29" s="38">
        <f>SUMIF(ACTUAL!$A:$A,$A29,ACTUAL!$P:$P)</f>
        <v>250.36</v>
      </c>
      <c r="N29" s="27">
        <f>+M29/'P&amp;L Summary'!M$21</f>
        <v>0.0001273561777</v>
      </c>
      <c r="O29" s="29"/>
      <c r="P29" s="35">
        <f>SUMIF(BUDGET!$A:$A,$A29,BUDGET!$P:$P)</f>
        <v>0</v>
      </c>
      <c r="Q29" s="27">
        <f>+P29/'P&amp;L Summary'!P$21</f>
        <v>0</v>
      </c>
      <c r="R29" s="27">
        <f t="shared" si="7"/>
        <v>0</v>
      </c>
      <c r="S29" s="37"/>
      <c r="T29" s="35">
        <f>SUMIF(PRIOR!$A:$A,$A29,PRIOR!$P:$P)</f>
        <v>258.98</v>
      </c>
      <c r="U29" s="27">
        <f>+T29/'P&amp;L Summary'!T$21</f>
        <v>0.0001330607265</v>
      </c>
      <c r="V29" s="31">
        <f t="shared" si="8"/>
        <v>-0.03328442351</v>
      </c>
      <c r="W29" s="8"/>
      <c r="X29" s="8"/>
      <c r="Y29" s="8"/>
      <c r="Z29" s="8"/>
    </row>
    <row r="30" ht="12.75" customHeight="1">
      <c r="A30" s="24" t="s">
        <v>40</v>
      </c>
      <c r="B30" s="53">
        <f>SUM(B27:B29)</f>
        <v>103.49</v>
      </c>
      <c r="C30" s="54">
        <f>+B30/'P&amp;L Summary'!B$21</f>
        <v>0.0002418028733</v>
      </c>
      <c r="D30" s="55"/>
      <c r="E30" s="56">
        <f>SUM(E27:E29)</f>
        <v>0</v>
      </c>
      <c r="F30" s="54">
        <f>+E30/'P&amp;L Summary'!E$21</f>
        <v>0</v>
      </c>
      <c r="G30" s="54">
        <f t="shared" si="5"/>
        <v>0</v>
      </c>
      <c r="H30" s="57"/>
      <c r="I30" s="56">
        <f>SUM(I27:I29)</f>
        <v>-85.76</v>
      </c>
      <c r="J30" s="58">
        <f>+I30/'P&amp;L Summary'!I$21</f>
        <v>-0.0002104437263</v>
      </c>
      <c r="K30" s="59">
        <f t="shared" si="6"/>
        <v>-2.206739739</v>
      </c>
      <c r="L30" s="27"/>
      <c r="M30" s="53">
        <f>SUM(M27:M29)</f>
        <v>258.01</v>
      </c>
      <c r="N30" s="54">
        <f>+M30/'P&amp;L Summary'!M$21</f>
        <v>0.000131247673</v>
      </c>
      <c r="O30" s="55"/>
      <c r="P30" s="56">
        <f>SUM(P27:P29)</f>
        <v>0</v>
      </c>
      <c r="Q30" s="54">
        <f>+P30/'P&amp;L Summary'!P$21</f>
        <v>0</v>
      </c>
      <c r="R30" s="54">
        <f t="shared" si="7"/>
        <v>0</v>
      </c>
      <c r="S30" s="57"/>
      <c r="T30" s="56">
        <f>SUM(T27:T29)</f>
        <v>137.44</v>
      </c>
      <c r="U30" s="54">
        <f>+T30/'P&amp;L Summary'!T$21</f>
        <v>0.0000706149751</v>
      </c>
      <c r="V30" s="59">
        <f t="shared" si="8"/>
        <v>0.8772555297</v>
      </c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" t="str">
        <f>CELL("FILENAME",A1)</f>
        <v>#VALUE!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24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66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E7:F7"/>
    <mergeCell ref="B7:C7"/>
    <mergeCell ref="I7:J7"/>
    <mergeCell ref="M7:N7"/>
    <mergeCell ref="P7:Q7"/>
    <mergeCell ref="A2:V2"/>
    <mergeCell ref="A3:V3"/>
    <mergeCell ref="B6:K6"/>
    <mergeCell ref="M6:V6"/>
    <mergeCell ref="T7:U7"/>
  </mergeCells>
  <dataValidations>
    <dataValidation type="custom" allowBlank="1" sqref="B4:N4 G9:H9 F16 C31:J35 N31:N35 D36:J36 P31:W36 C37:C39 J37:J39 U37:U39 C40:J45 P40:W45 C46 J46 U46 C47:J49 C50 J50 C51:J53 P47:W53 C54 J54 U54 C55:J60 N37:N60 P55:W60">
      <formula1>AND(GTE(LEN(B4),MIN((0),(10000))),LTE(LEN(B4),MAX((0),(10000))))</formula1>
    </dataValidation>
  </dataValidations>
  <printOptions horizontalCentered="1" verticalCentered="1"/>
  <pageMargins bottom="0.984251968503937" footer="0.0" header="0.0" left="0.37" right="0.31" top="0.984251968503937"/>
  <pageSetup paperSize="9" orientation="landscape"/>
  <headerFooter>
    <oddFooter>&amp;R&amp;D&amp;T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pageSetUpPr fitToPage="1"/>
  </sheetPr>
  <sheetViews>
    <sheetView showGridLines="0" workbookViewId="0"/>
  </sheetViews>
  <sheetFormatPr customHeight="1" defaultColWidth="14.43" defaultRowHeight="15.0"/>
  <cols>
    <col customWidth="1" min="1" max="1" width="39.71"/>
    <col customWidth="1" min="2" max="2" width="12.86"/>
    <col customWidth="1" min="3" max="3" width="11.43"/>
    <col customWidth="1" min="4" max="4" width="1.71"/>
    <col customWidth="1" min="5" max="5" width="11.57"/>
    <col customWidth="1" min="6" max="6" width="10.0"/>
    <col customWidth="1" min="7" max="7" width="14.0"/>
    <col customWidth="1" min="8" max="8" width="1.71"/>
    <col customWidth="1" min="9" max="9" width="11.57"/>
    <col customWidth="1" min="10" max="10" width="8.71"/>
    <col customWidth="1" min="11" max="11" width="14.14"/>
    <col customWidth="1" min="12" max="12" width="4.86"/>
    <col customWidth="1" min="13" max="13" width="12.29"/>
    <col customWidth="1" min="14" max="14" width="8.71"/>
    <col customWidth="1" min="15" max="15" width="1.71"/>
    <col customWidth="1" min="16" max="16" width="12.29"/>
    <col customWidth="1" min="17" max="17" width="8.71"/>
    <col customWidth="1" min="18" max="18" width="13.0"/>
    <col customWidth="1" min="19" max="19" width="1.71"/>
    <col customWidth="1" min="20" max="20" width="12.71"/>
    <col customWidth="1" min="21" max="21" width="8.71"/>
    <col customWidth="1" min="22" max="22" width="11.14"/>
    <col customWidth="1" min="23" max="26" width="9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ht="12.75" customHeight="1">
      <c r="A2" s="1" t="str">
        <f>'P&amp;L Summary'!A2</f>
        <v>PRESCRIPTION SAFETY GLASSES</v>
      </c>
      <c r="W2" s="2"/>
      <c r="X2" s="2"/>
      <c r="Y2" s="2"/>
      <c r="Z2" s="2"/>
    </row>
    <row r="3" ht="12.75" customHeight="1">
      <c r="A3" s="1" t="s">
        <v>77</v>
      </c>
      <c r="W3" s="2"/>
      <c r="X3" s="2"/>
      <c r="Y3" s="2"/>
      <c r="Z3" s="2"/>
    </row>
    <row r="4" ht="12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  <c r="Z4" s="2"/>
    </row>
    <row r="5" ht="12.75" customHeight="1">
      <c r="A5" s="5">
        <f>'P&amp;L Summary'!A5</f>
        <v>43221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8"/>
      <c r="W5" s="8"/>
      <c r="X5" s="2"/>
      <c r="Y5" s="2"/>
      <c r="Z5" s="2"/>
    </row>
    <row r="6" ht="12.75" customHeight="1">
      <c r="A6" s="8"/>
      <c r="B6" s="9" t="s">
        <v>3</v>
      </c>
      <c r="C6" s="11"/>
      <c r="D6" s="11"/>
      <c r="E6" s="11"/>
      <c r="F6" s="11"/>
      <c r="G6" s="11"/>
      <c r="H6" s="11"/>
      <c r="I6" s="11"/>
      <c r="J6" s="11"/>
      <c r="K6" s="12"/>
      <c r="L6" s="10"/>
      <c r="M6" s="13" t="s">
        <v>4</v>
      </c>
      <c r="N6" s="11"/>
      <c r="O6" s="11"/>
      <c r="P6" s="11"/>
      <c r="Q6" s="11"/>
      <c r="R6" s="11"/>
      <c r="S6" s="11"/>
      <c r="T6" s="11"/>
      <c r="U6" s="11"/>
      <c r="V6" s="12"/>
      <c r="W6" s="8"/>
      <c r="X6" s="8"/>
      <c r="Y6" s="8"/>
      <c r="Z6" s="8"/>
    </row>
    <row r="7" ht="12.75" customHeight="1">
      <c r="A7" s="8"/>
      <c r="B7" s="15" t="s">
        <v>5</v>
      </c>
      <c r="D7" s="16"/>
      <c r="E7" s="17" t="s">
        <v>6</v>
      </c>
      <c r="G7" s="16"/>
      <c r="H7" s="16"/>
      <c r="I7" s="17" t="s">
        <v>7</v>
      </c>
      <c r="K7" s="18"/>
      <c r="L7" s="10"/>
      <c r="M7" s="15" t="s">
        <v>5</v>
      </c>
      <c r="O7" s="16"/>
      <c r="P7" s="17" t="s">
        <v>6</v>
      </c>
      <c r="R7" s="16"/>
      <c r="S7" s="16"/>
      <c r="T7" s="17" t="s">
        <v>7</v>
      </c>
      <c r="V7" s="18"/>
      <c r="W7" s="8"/>
      <c r="X7" s="8"/>
      <c r="Y7" s="8"/>
      <c r="Z7" s="8"/>
    </row>
    <row r="8" ht="12.75" customHeight="1">
      <c r="A8" s="8"/>
      <c r="B8" s="19" t="s">
        <v>8</v>
      </c>
      <c r="C8" s="16" t="s">
        <v>9</v>
      </c>
      <c r="D8" s="20"/>
      <c r="E8" s="16" t="s">
        <v>8</v>
      </c>
      <c r="F8" s="16" t="s">
        <v>9</v>
      </c>
      <c r="G8" s="16" t="s">
        <v>10</v>
      </c>
      <c r="H8" s="20"/>
      <c r="I8" s="16" t="s">
        <v>8</v>
      </c>
      <c r="J8" s="16" t="s">
        <v>9</v>
      </c>
      <c r="K8" s="18" t="s">
        <v>11</v>
      </c>
      <c r="L8" s="10"/>
      <c r="M8" s="19" t="s">
        <v>8</v>
      </c>
      <c r="N8" s="16" t="s">
        <v>9</v>
      </c>
      <c r="O8" s="20"/>
      <c r="P8" s="16" t="s">
        <v>8</v>
      </c>
      <c r="Q8" s="16" t="s">
        <v>9</v>
      </c>
      <c r="R8" s="16" t="s">
        <v>10</v>
      </c>
      <c r="S8" s="20"/>
      <c r="T8" s="16" t="s">
        <v>8</v>
      </c>
      <c r="U8" s="16" t="s">
        <v>9</v>
      </c>
      <c r="V8" s="18" t="s">
        <v>11</v>
      </c>
      <c r="W8" s="8"/>
      <c r="X8" s="8"/>
      <c r="Y8" s="8"/>
      <c r="Z8" s="8"/>
    </row>
    <row r="9" ht="12.75" customHeight="1">
      <c r="A9" s="8"/>
      <c r="B9" s="21"/>
      <c r="C9" s="4" t="s">
        <v>12</v>
      </c>
      <c r="D9" s="22"/>
      <c r="E9" s="10"/>
      <c r="F9" s="4" t="s">
        <v>12</v>
      </c>
      <c r="G9" s="4" t="s">
        <v>13</v>
      </c>
      <c r="H9" s="22"/>
      <c r="I9" s="10"/>
      <c r="J9" s="4" t="s">
        <v>12</v>
      </c>
      <c r="K9" s="18" t="s">
        <v>14</v>
      </c>
      <c r="L9" s="10"/>
      <c r="M9" s="21"/>
      <c r="N9" s="4" t="s">
        <v>12</v>
      </c>
      <c r="O9" s="22"/>
      <c r="P9" s="10"/>
      <c r="Q9" s="4" t="s">
        <v>12</v>
      </c>
      <c r="R9" s="4" t="s">
        <v>13</v>
      </c>
      <c r="S9" s="22"/>
      <c r="T9" s="10"/>
      <c r="U9" s="4" t="s">
        <v>12</v>
      </c>
      <c r="V9" s="18" t="s">
        <v>14</v>
      </c>
      <c r="W9" s="8"/>
      <c r="X9" s="8"/>
      <c r="Y9" s="8"/>
      <c r="Z9" s="8"/>
    </row>
    <row r="10" ht="12.75" customHeight="1">
      <c r="A10" s="8"/>
      <c r="B10" s="109"/>
      <c r="C10" s="110"/>
      <c r="D10" s="110"/>
      <c r="E10" s="111"/>
      <c r="F10" s="110"/>
      <c r="G10" s="110"/>
      <c r="H10" s="110"/>
      <c r="I10" s="111"/>
      <c r="J10" s="110"/>
      <c r="K10" s="112"/>
      <c r="L10" s="111"/>
      <c r="M10" s="109"/>
      <c r="N10" s="110"/>
      <c r="O10" s="110"/>
      <c r="P10" s="111"/>
      <c r="Q10" s="110"/>
      <c r="R10" s="110"/>
      <c r="S10" s="110"/>
      <c r="T10" s="111"/>
      <c r="U10" s="110"/>
      <c r="V10" s="112"/>
      <c r="W10" s="2"/>
      <c r="X10" s="2"/>
      <c r="Y10" s="8"/>
      <c r="Z10" s="8"/>
    </row>
    <row r="11" ht="12.75" customHeight="1">
      <c r="A11" s="24" t="s">
        <v>78</v>
      </c>
      <c r="B11" s="113"/>
      <c r="C11" s="114"/>
      <c r="D11" s="114"/>
      <c r="E11" s="115"/>
      <c r="F11" s="114"/>
      <c r="G11" s="114"/>
      <c r="H11" s="114"/>
      <c r="I11" s="115"/>
      <c r="J11" s="114"/>
      <c r="K11" s="116"/>
      <c r="L11" s="115"/>
      <c r="M11" s="113"/>
      <c r="N11" s="114"/>
      <c r="O11" s="114"/>
      <c r="P11" s="115"/>
      <c r="Q11" s="114"/>
      <c r="R11" s="114"/>
      <c r="S11" s="114"/>
      <c r="T11" s="115"/>
      <c r="U11" s="114"/>
      <c r="V11" s="116"/>
      <c r="W11" s="2"/>
      <c r="X11" s="2"/>
      <c r="Y11" s="8"/>
      <c r="Z11" s="8"/>
    </row>
    <row r="12" ht="12.75" customHeight="1">
      <c r="A12" s="8" t="s">
        <v>79</v>
      </c>
      <c r="B12" s="117">
        <f>SUMIF(ACTUAL!$A:$A,$A12,ACTUAL!$O:$O)</f>
        <v>0</v>
      </c>
      <c r="C12" s="114">
        <f>+B12/'P&amp;L Summary'!B$21</f>
        <v>0</v>
      </c>
      <c r="D12" s="114"/>
      <c r="E12" s="118">
        <f>SUMIF(BUDGET!$A:$A,$A12,BUDGET!$O:$O)</f>
        <v>0</v>
      </c>
      <c r="F12" s="114">
        <f>+E12/'P&amp;L Summary'!E$21</f>
        <v>0</v>
      </c>
      <c r="G12" s="114">
        <f t="shared" ref="G12:G34" si="1">IF(E12=0,0,+(B12-E12)/E12)</f>
        <v>0</v>
      </c>
      <c r="H12" s="114"/>
      <c r="I12" s="118">
        <f>SUMIF(PRIOR!$A:$A,$A12,PRIOR!$O:$O)</f>
        <v>0</v>
      </c>
      <c r="J12" s="114">
        <f>+I12/'P&amp;L Summary'!I$21</f>
        <v>0</v>
      </c>
      <c r="K12" s="116">
        <f t="shared" ref="K12:K34" si="2">IF(I12=0,0,+(B12-I12)/I12)</f>
        <v>0</v>
      </c>
      <c r="L12" s="115"/>
      <c r="M12" s="117">
        <f>SUMIF(ACTUAL!$A:$A,$A12,ACTUAL!$P:$P)</f>
        <v>0</v>
      </c>
      <c r="N12" s="114">
        <f>+M12/'P&amp;L Summary'!M$21</f>
        <v>0</v>
      </c>
      <c r="O12" s="114"/>
      <c r="P12" s="118">
        <f>SUMIF(BUDGET!$A:$A,$A12,BUDGET!$P:$P)</f>
        <v>0</v>
      </c>
      <c r="Q12" s="114">
        <f>+P12/'P&amp;L Summary'!P$21</f>
        <v>0</v>
      </c>
      <c r="R12" s="114">
        <f t="shared" ref="R12:R34" si="3">+IF(P12=0,0,(M12-P12)/P12)</f>
        <v>0</v>
      </c>
      <c r="S12" s="114"/>
      <c r="T12" s="118">
        <f>SUMIF(PRIOR!$A:$A,$A12,PRIOR!$P:$P)</f>
        <v>0</v>
      </c>
      <c r="U12" s="114">
        <f>+T12/'P&amp;L Summary'!T$21</f>
        <v>0</v>
      </c>
      <c r="V12" s="116">
        <f t="shared" ref="V12:V34" si="4">+IF(T12=0,0,(M12-T12)/T12)</f>
        <v>0</v>
      </c>
      <c r="W12" s="2"/>
      <c r="X12" s="2"/>
      <c r="Y12" s="8"/>
      <c r="Z12" s="8"/>
    </row>
    <row r="13" ht="12.75" customHeight="1">
      <c r="A13" s="8" t="s">
        <v>80</v>
      </c>
      <c r="B13" s="117">
        <f>SUMIF(ACTUAL!$A:$A,$A13,ACTUAL!$O:$O)</f>
        <v>0</v>
      </c>
      <c r="C13" s="114">
        <f>+B13/'P&amp;L Summary'!B$21</f>
        <v>0</v>
      </c>
      <c r="D13" s="114"/>
      <c r="E13" s="118">
        <f>SUMIF(BUDGET!$A:$A,$A13,BUDGET!$O:$O)</f>
        <v>0</v>
      </c>
      <c r="F13" s="114">
        <f>+E13/'P&amp;L Summary'!E$21</f>
        <v>0</v>
      </c>
      <c r="G13" s="114">
        <f t="shared" si="1"/>
        <v>0</v>
      </c>
      <c r="H13" s="114"/>
      <c r="I13" s="118">
        <f>SUMIF(PRIOR!$A:$A,$A13,PRIOR!$O:$O)</f>
        <v>0</v>
      </c>
      <c r="J13" s="114">
        <f>+I13/'P&amp;L Summary'!I$21</f>
        <v>0</v>
      </c>
      <c r="K13" s="116">
        <f t="shared" si="2"/>
        <v>0</v>
      </c>
      <c r="L13" s="115"/>
      <c r="M13" s="117">
        <f>SUMIF(ACTUAL!$A:$A,$A13,ACTUAL!$P:$P)</f>
        <v>0</v>
      </c>
      <c r="N13" s="114">
        <f>+M13/'P&amp;L Summary'!M$21</f>
        <v>0</v>
      </c>
      <c r="O13" s="114"/>
      <c r="P13" s="118">
        <f>SUMIF(BUDGET!$A:$A,$A13,BUDGET!$P:$P)</f>
        <v>0</v>
      </c>
      <c r="Q13" s="114">
        <f>+P13/'P&amp;L Summary'!P$21</f>
        <v>0</v>
      </c>
      <c r="R13" s="114">
        <f t="shared" si="3"/>
        <v>0</v>
      </c>
      <c r="S13" s="114"/>
      <c r="T13" s="118">
        <f>SUMIF(PRIOR!$A:$A,$A13,PRIOR!$P:$P)</f>
        <v>0</v>
      </c>
      <c r="U13" s="114">
        <f>+T13/'P&amp;L Summary'!T$21</f>
        <v>0</v>
      </c>
      <c r="V13" s="116">
        <f t="shared" si="4"/>
        <v>0</v>
      </c>
      <c r="W13" s="2"/>
      <c r="X13" s="2"/>
      <c r="Y13" s="8"/>
      <c r="Z13" s="8"/>
    </row>
    <row r="14" ht="12.75" customHeight="1">
      <c r="A14" s="8" t="s">
        <v>81</v>
      </c>
      <c r="B14" s="117">
        <f>SUMIF(ACTUAL!$A:$A,$A14,ACTUAL!$O:$O)</f>
        <v>0</v>
      </c>
      <c r="C14" s="114">
        <f>+B14/'P&amp;L Summary'!B$21</f>
        <v>0</v>
      </c>
      <c r="D14" s="114"/>
      <c r="E14" s="118">
        <f>SUMIF(BUDGET!$A:$A,$A14,BUDGET!$O:$O)</f>
        <v>0</v>
      </c>
      <c r="F14" s="114">
        <f>+E14/'P&amp;L Summary'!E$21</f>
        <v>0</v>
      </c>
      <c r="G14" s="114">
        <f t="shared" si="1"/>
        <v>0</v>
      </c>
      <c r="H14" s="114"/>
      <c r="I14" s="118">
        <f>SUMIF(PRIOR!$A:$A,$A14,PRIOR!$O:$O)</f>
        <v>0</v>
      </c>
      <c r="J14" s="114">
        <f>+I14/'P&amp;L Summary'!I$21</f>
        <v>0</v>
      </c>
      <c r="K14" s="116">
        <f t="shared" si="2"/>
        <v>0</v>
      </c>
      <c r="L14" s="115"/>
      <c r="M14" s="117">
        <f>SUMIF(ACTUAL!$A:$A,$A14,ACTUAL!$P:$P)</f>
        <v>405</v>
      </c>
      <c r="N14" s="114">
        <f>+M14/'P&amp;L Summary'!M$21</f>
        <v>0.0002060203385</v>
      </c>
      <c r="O14" s="114"/>
      <c r="P14" s="118">
        <f>SUMIF(BUDGET!$A:$A,$A14,BUDGET!$P:$P)</f>
        <v>0</v>
      </c>
      <c r="Q14" s="114">
        <f>+P14/'P&amp;L Summary'!P$21</f>
        <v>0</v>
      </c>
      <c r="R14" s="114">
        <f t="shared" si="3"/>
        <v>0</v>
      </c>
      <c r="S14" s="114"/>
      <c r="T14" s="118">
        <f>SUMIF(PRIOR!$A:$A,$A14,PRIOR!$P:$P)</f>
        <v>0</v>
      </c>
      <c r="U14" s="114">
        <f>+T14/'P&amp;L Summary'!T$21</f>
        <v>0</v>
      </c>
      <c r="V14" s="116">
        <f t="shared" si="4"/>
        <v>0</v>
      </c>
      <c r="W14" s="2"/>
      <c r="X14" s="2"/>
      <c r="Y14" s="8"/>
      <c r="Z14" s="8"/>
    </row>
    <row r="15" ht="12.75" customHeight="1">
      <c r="A15" s="8" t="s">
        <v>82</v>
      </c>
      <c r="B15" s="117">
        <f>SUMIF(ACTUAL!$A:$A,$A15,ACTUAL!$O:$O)</f>
        <v>0</v>
      </c>
      <c r="C15" s="114">
        <f>+B15/'P&amp;L Summary'!B$21</f>
        <v>0</v>
      </c>
      <c r="D15" s="114"/>
      <c r="E15" s="118">
        <f>SUMIF(BUDGET!$A:$A,$A15,BUDGET!$O:$O)</f>
        <v>0</v>
      </c>
      <c r="F15" s="114">
        <f>+E15/'P&amp;L Summary'!E$21</f>
        <v>0</v>
      </c>
      <c r="G15" s="114">
        <f t="shared" si="1"/>
        <v>0</v>
      </c>
      <c r="H15" s="114"/>
      <c r="I15" s="118">
        <f>SUMIF(PRIOR!$A:$A,$A15,PRIOR!$O:$O)</f>
        <v>0</v>
      </c>
      <c r="J15" s="114">
        <f>+I15/'P&amp;L Summary'!I$21</f>
        <v>0</v>
      </c>
      <c r="K15" s="116">
        <f t="shared" si="2"/>
        <v>0</v>
      </c>
      <c r="L15" s="115"/>
      <c r="M15" s="117">
        <f>SUMIF(ACTUAL!$A:$A,$A15,ACTUAL!$P:$P)</f>
        <v>0</v>
      </c>
      <c r="N15" s="114">
        <f>+M15/'P&amp;L Summary'!M$21</f>
        <v>0</v>
      </c>
      <c r="O15" s="114"/>
      <c r="P15" s="118">
        <f>SUMIF(BUDGET!$A:$A,$A15,BUDGET!$P:$P)</f>
        <v>0</v>
      </c>
      <c r="Q15" s="114">
        <f>+P15/'P&amp;L Summary'!P$21</f>
        <v>0</v>
      </c>
      <c r="R15" s="114">
        <f t="shared" si="3"/>
        <v>0</v>
      </c>
      <c r="S15" s="114"/>
      <c r="T15" s="118">
        <f>SUMIF(PRIOR!$A:$A,$A15,PRIOR!$P:$P)</f>
        <v>0</v>
      </c>
      <c r="U15" s="114">
        <f>+T15/'P&amp;L Summary'!T$21</f>
        <v>0</v>
      </c>
      <c r="V15" s="116">
        <f t="shared" si="4"/>
        <v>0</v>
      </c>
      <c r="W15" s="2"/>
      <c r="X15" s="2"/>
      <c r="Y15" s="8"/>
      <c r="Z15" s="8"/>
    </row>
    <row r="16" ht="12.75" customHeight="1">
      <c r="A16" s="8" t="s">
        <v>83</v>
      </c>
      <c r="B16" s="117">
        <f>SUMIF(ACTUAL!$A:$A,$A16,ACTUAL!$O:$O)</f>
        <v>0</v>
      </c>
      <c r="C16" s="114">
        <f>+B16/'P&amp;L Summary'!B$21</f>
        <v>0</v>
      </c>
      <c r="D16" s="114"/>
      <c r="E16" s="118">
        <f>SUMIF(BUDGET!$A:$A,$A16,BUDGET!$O:$O)</f>
        <v>0</v>
      </c>
      <c r="F16" s="114">
        <f>+E16/'P&amp;L Summary'!E$21</f>
        <v>0</v>
      </c>
      <c r="G16" s="114">
        <f t="shared" si="1"/>
        <v>0</v>
      </c>
      <c r="H16" s="114"/>
      <c r="I16" s="118">
        <f>SUMIF(PRIOR!$A:$A,$A16,PRIOR!$O:$O)</f>
        <v>0</v>
      </c>
      <c r="J16" s="114">
        <f>+I16/'P&amp;L Summary'!I$21</f>
        <v>0</v>
      </c>
      <c r="K16" s="116">
        <f t="shared" si="2"/>
        <v>0</v>
      </c>
      <c r="L16" s="115"/>
      <c r="M16" s="117">
        <f>SUMIF(ACTUAL!$A:$A,$A16,ACTUAL!$P:$P)</f>
        <v>0</v>
      </c>
      <c r="N16" s="114">
        <f>+M16/'P&amp;L Summary'!M$21</f>
        <v>0</v>
      </c>
      <c r="O16" s="114"/>
      <c r="P16" s="118">
        <f>SUMIF(BUDGET!$A:$A,$A16,BUDGET!$P:$P)</f>
        <v>0</v>
      </c>
      <c r="Q16" s="114">
        <f>+P16/'P&amp;L Summary'!P$21</f>
        <v>0</v>
      </c>
      <c r="R16" s="114">
        <f t="shared" si="3"/>
        <v>0</v>
      </c>
      <c r="S16" s="114"/>
      <c r="T16" s="118">
        <f>SUMIF(PRIOR!$A:$A,$A16,PRIOR!$P:$P)</f>
        <v>0</v>
      </c>
      <c r="U16" s="114">
        <f>+T16/'P&amp;L Summary'!T$21</f>
        <v>0</v>
      </c>
      <c r="V16" s="116">
        <f t="shared" si="4"/>
        <v>0</v>
      </c>
      <c r="W16" s="2"/>
      <c r="X16" s="2"/>
      <c r="Y16" s="8"/>
      <c r="Z16" s="8"/>
    </row>
    <row r="17" ht="12.75" customHeight="1">
      <c r="A17" s="8" t="s">
        <v>84</v>
      </c>
      <c r="B17" s="117">
        <f>SUMIF(ACTUAL!$A:$A,$A17,ACTUAL!$O:$O)</f>
        <v>0</v>
      </c>
      <c r="C17" s="114">
        <f>+B17/'P&amp;L Summary'!B$21</f>
        <v>0</v>
      </c>
      <c r="D17" s="114"/>
      <c r="E17" s="118">
        <f>SUMIF(BUDGET!$A:$A,$A17,BUDGET!$O:$O)</f>
        <v>188</v>
      </c>
      <c r="F17" s="114">
        <f>+E17/'P&amp;L Summary'!E$21</f>
        <v>0.0004173650501</v>
      </c>
      <c r="G17" s="114">
        <f t="shared" si="1"/>
        <v>-1</v>
      </c>
      <c r="H17" s="114"/>
      <c r="I17" s="118">
        <f>SUMIF(PRIOR!$A:$A,$A17,PRIOR!$O:$O)</f>
        <v>142.44</v>
      </c>
      <c r="J17" s="114">
        <f>+I17/'P&amp;L Summary'!I$21</f>
        <v>0.000349528969</v>
      </c>
      <c r="K17" s="116">
        <f t="shared" si="2"/>
        <v>-1</v>
      </c>
      <c r="L17" s="115"/>
      <c r="M17" s="117">
        <f>SUMIF(ACTUAL!$A:$A,$A17,ACTUAL!$P:$P)</f>
        <v>105.05</v>
      </c>
      <c r="N17" s="114">
        <f>+M17/'P&amp;L Summary'!M$21</f>
        <v>0.00005343811497</v>
      </c>
      <c r="O17" s="114"/>
      <c r="P17" s="118">
        <f>SUMIF(BUDGET!$A:$A,$A17,BUDGET!$P:$P)</f>
        <v>940</v>
      </c>
      <c r="Q17" s="114">
        <f>+P17/'P&amp;L Summary'!P$21</f>
        <v>0.0004438656353</v>
      </c>
      <c r="R17" s="114">
        <f t="shared" si="3"/>
        <v>-0.8882446809</v>
      </c>
      <c r="S17" s="114"/>
      <c r="T17" s="118">
        <f>SUMIF(PRIOR!$A:$A,$A17,PRIOR!$P:$P)</f>
        <v>821.48</v>
      </c>
      <c r="U17" s="114">
        <f>+T17/'P&amp;L Summary'!T$21</f>
        <v>0.0004220662816</v>
      </c>
      <c r="V17" s="116">
        <f t="shared" si="4"/>
        <v>-0.8721210498</v>
      </c>
      <c r="W17" s="2"/>
      <c r="X17" s="2"/>
      <c r="Y17" s="8"/>
      <c r="Z17" s="8"/>
    </row>
    <row r="18" ht="12.75" customHeight="1">
      <c r="A18" s="8" t="s">
        <v>85</v>
      </c>
      <c r="B18" s="117">
        <f>SUMIF(ACTUAL!$A:$A,$A18,ACTUAL!$O:$O)</f>
        <v>0</v>
      </c>
      <c r="C18" s="114">
        <f>+B18/'P&amp;L Summary'!B$21</f>
        <v>0</v>
      </c>
      <c r="D18" s="114"/>
      <c r="E18" s="118">
        <f>SUMIF(BUDGET!$A:$A,$A18,BUDGET!$O:$O)</f>
        <v>7</v>
      </c>
      <c r="F18" s="114">
        <f>+E18/'P&amp;L Summary'!E$21</f>
        <v>0.00001554018804</v>
      </c>
      <c r="G18" s="114">
        <f t="shared" si="1"/>
        <v>-1</v>
      </c>
      <c r="H18" s="114"/>
      <c r="I18" s="118">
        <f>SUMIF(PRIOR!$A:$A,$A18,PRIOR!$O:$O)</f>
        <v>0</v>
      </c>
      <c r="J18" s="114">
        <f>+I18/'P&amp;L Summary'!I$21</f>
        <v>0</v>
      </c>
      <c r="K18" s="116">
        <f t="shared" si="2"/>
        <v>0</v>
      </c>
      <c r="L18" s="115"/>
      <c r="M18" s="117">
        <f>SUMIF(ACTUAL!$A:$A,$A18,ACTUAL!$P:$P)</f>
        <v>0</v>
      </c>
      <c r="N18" s="114">
        <f>+M18/'P&amp;L Summary'!M$21</f>
        <v>0</v>
      </c>
      <c r="O18" s="114"/>
      <c r="P18" s="118">
        <f>SUMIF(BUDGET!$A:$A,$A18,BUDGET!$P:$P)</f>
        <v>35</v>
      </c>
      <c r="Q18" s="114">
        <f>+P18/'P&amp;L Summary'!P$21</f>
        <v>0.00001652691195</v>
      </c>
      <c r="R18" s="114">
        <f t="shared" si="3"/>
        <v>-1</v>
      </c>
      <c r="S18" s="114"/>
      <c r="T18" s="118">
        <f>SUMIF(PRIOR!$A:$A,$A18,PRIOR!$P:$P)</f>
        <v>0</v>
      </c>
      <c r="U18" s="114">
        <f>+T18/'P&amp;L Summary'!T$21</f>
        <v>0</v>
      </c>
      <c r="V18" s="116">
        <f t="shared" si="4"/>
        <v>0</v>
      </c>
      <c r="W18" s="2"/>
      <c r="X18" s="2"/>
      <c r="Y18" s="8"/>
      <c r="Z18" s="8"/>
    </row>
    <row r="19" ht="12.75" customHeight="1">
      <c r="A19" s="8" t="s">
        <v>87</v>
      </c>
      <c r="B19" s="117">
        <f>SUMIF(ACTUAL!$A:$A,$A19,ACTUAL!$O:$O)</f>
        <v>0</v>
      </c>
      <c r="C19" s="114">
        <f>+B19/'P&amp;L Summary'!B$21</f>
        <v>0</v>
      </c>
      <c r="D19" s="114"/>
      <c r="E19" s="118">
        <f>SUMIF(BUDGET!$A:$A,$A19,BUDGET!$O:$O)</f>
        <v>0</v>
      </c>
      <c r="F19" s="114">
        <f>+E19/'P&amp;L Summary'!E$21</f>
        <v>0</v>
      </c>
      <c r="G19" s="114">
        <f t="shared" si="1"/>
        <v>0</v>
      </c>
      <c r="H19" s="114"/>
      <c r="I19" s="118">
        <f>SUMIF(PRIOR!$A:$A,$A19,PRIOR!$O:$O)</f>
        <v>0</v>
      </c>
      <c r="J19" s="114">
        <f>+I19/'P&amp;L Summary'!I$21</f>
        <v>0</v>
      </c>
      <c r="K19" s="116">
        <f t="shared" si="2"/>
        <v>0</v>
      </c>
      <c r="L19" s="115"/>
      <c r="M19" s="117">
        <f>SUMIF(ACTUAL!$A:$A,$A19,ACTUAL!$P:$P)</f>
        <v>0</v>
      </c>
      <c r="N19" s="114">
        <f>+M19/'P&amp;L Summary'!M$21</f>
        <v>0</v>
      </c>
      <c r="O19" s="114"/>
      <c r="P19" s="118">
        <f>SUMIF(BUDGET!$A:$A,$A19,BUDGET!$P:$P)</f>
        <v>0</v>
      </c>
      <c r="Q19" s="114">
        <f>+P19/'P&amp;L Summary'!P$21</f>
        <v>0</v>
      </c>
      <c r="R19" s="114">
        <f t="shared" si="3"/>
        <v>0</v>
      </c>
      <c r="S19" s="114"/>
      <c r="T19" s="118">
        <f>SUMIF(PRIOR!$A:$A,$A19,PRIOR!$P:$P)</f>
        <v>0</v>
      </c>
      <c r="U19" s="114">
        <f>+T19/'P&amp;L Summary'!T$21</f>
        <v>0</v>
      </c>
      <c r="V19" s="116">
        <f t="shared" si="4"/>
        <v>0</v>
      </c>
      <c r="W19" s="2"/>
      <c r="X19" s="2"/>
      <c r="Y19" s="8"/>
      <c r="Z19" s="8"/>
    </row>
    <row r="20" ht="12.75" customHeight="1">
      <c r="A20" s="8" t="s">
        <v>88</v>
      </c>
      <c r="B20" s="117">
        <f>SUMIF(ACTUAL!$A:$A,$A20,ACTUAL!$O:$O)</f>
        <v>0</v>
      </c>
      <c r="C20" s="114">
        <f>+B20/'P&amp;L Summary'!B$21</f>
        <v>0</v>
      </c>
      <c r="D20" s="114"/>
      <c r="E20" s="118">
        <f>SUMIF(BUDGET!$A:$A,$A20,BUDGET!$O:$O)</f>
        <v>0</v>
      </c>
      <c r="F20" s="114">
        <f>+E20/'P&amp;L Summary'!E$21</f>
        <v>0</v>
      </c>
      <c r="G20" s="114">
        <f t="shared" si="1"/>
        <v>0</v>
      </c>
      <c r="H20" s="114"/>
      <c r="I20" s="118">
        <f>SUMIF(PRIOR!$A:$A,$A20,PRIOR!$O:$O)</f>
        <v>0</v>
      </c>
      <c r="J20" s="114">
        <f>+I20/'P&amp;L Summary'!I$21</f>
        <v>0</v>
      </c>
      <c r="K20" s="116">
        <f t="shared" si="2"/>
        <v>0</v>
      </c>
      <c r="L20" s="115"/>
      <c r="M20" s="117">
        <f>SUMIF(ACTUAL!$A:$A,$A20,ACTUAL!$P:$P)</f>
        <v>0</v>
      </c>
      <c r="N20" s="114">
        <f>+M20/'P&amp;L Summary'!M$21</f>
        <v>0</v>
      </c>
      <c r="O20" s="114"/>
      <c r="P20" s="118">
        <f>SUMIF(BUDGET!$A:$A,$A20,BUDGET!$P:$P)</f>
        <v>0</v>
      </c>
      <c r="Q20" s="114">
        <f>+P20/'P&amp;L Summary'!P$21</f>
        <v>0</v>
      </c>
      <c r="R20" s="114">
        <f t="shared" si="3"/>
        <v>0</v>
      </c>
      <c r="S20" s="114"/>
      <c r="T20" s="118">
        <f>SUMIF(PRIOR!$A:$A,$A20,PRIOR!$P:$P)</f>
        <v>0</v>
      </c>
      <c r="U20" s="114">
        <f>+T20/'P&amp;L Summary'!T$21</f>
        <v>0</v>
      </c>
      <c r="V20" s="116">
        <f t="shared" si="4"/>
        <v>0</v>
      </c>
      <c r="W20" s="2"/>
      <c r="X20" s="2"/>
      <c r="Y20" s="8"/>
      <c r="Z20" s="8"/>
    </row>
    <row r="21" ht="12.75" customHeight="1">
      <c r="A21" s="8" t="s">
        <v>91</v>
      </c>
      <c r="B21" s="117">
        <f>SUMIF(ACTUAL!$A:$A,$A21,ACTUAL!$O:$O)</f>
        <v>0</v>
      </c>
      <c r="C21" s="114">
        <f>+B21/'P&amp;L Summary'!B$21</f>
        <v>0</v>
      </c>
      <c r="D21" s="114"/>
      <c r="E21" s="118">
        <f>SUMIF(BUDGET!$A:$A,$A21,BUDGET!$O:$O)</f>
        <v>202</v>
      </c>
      <c r="F21" s="114">
        <f>+E21/'P&amp;L Summary'!E$21</f>
        <v>0.0004484454262</v>
      </c>
      <c r="G21" s="114">
        <f t="shared" si="1"/>
        <v>-1</v>
      </c>
      <c r="H21" s="114"/>
      <c r="I21" s="118">
        <f>SUMIF(PRIOR!$A:$A,$A21,PRIOR!$O:$O)</f>
        <v>0</v>
      </c>
      <c r="J21" s="114">
        <f>+I21/'P&amp;L Summary'!I$21</f>
        <v>0</v>
      </c>
      <c r="K21" s="116">
        <f t="shared" si="2"/>
        <v>0</v>
      </c>
      <c r="L21" s="115"/>
      <c r="M21" s="117">
        <f>SUMIF(ACTUAL!$A:$A,$A21,ACTUAL!$P:$P)</f>
        <v>450</v>
      </c>
      <c r="N21" s="114">
        <f>+M21/'P&amp;L Summary'!M$21</f>
        <v>0.0002289114873</v>
      </c>
      <c r="O21" s="114"/>
      <c r="P21" s="118">
        <f>SUMIF(BUDGET!$A:$A,$A21,BUDGET!$P:$P)</f>
        <v>1010</v>
      </c>
      <c r="Q21" s="114">
        <f>+P21/'P&amp;L Summary'!P$21</f>
        <v>0.0004769194592</v>
      </c>
      <c r="R21" s="114">
        <f t="shared" si="3"/>
        <v>-0.5544554455</v>
      </c>
      <c r="S21" s="114"/>
      <c r="T21" s="118">
        <f>SUMIF(PRIOR!$A:$A,$A21,PRIOR!$P:$P)</f>
        <v>0</v>
      </c>
      <c r="U21" s="114">
        <f>+T21/'P&amp;L Summary'!T$21</f>
        <v>0</v>
      </c>
      <c r="V21" s="116">
        <f t="shared" si="4"/>
        <v>0</v>
      </c>
      <c r="W21" s="2"/>
      <c r="X21" s="2"/>
      <c r="Y21" s="8"/>
      <c r="Z21" s="8"/>
    </row>
    <row r="22" ht="12.75" customHeight="1">
      <c r="A22" s="8" t="s">
        <v>94</v>
      </c>
      <c r="B22" s="117">
        <f>SUMIF(ACTUAL!$A:$A,$A22,ACTUAL!$O:$O)</f>
        <v>0</v>
      </c>
      <c r="C22" s="114">
        <f>+B22/'P&amp;L Summary'!B$21</f>
        <v>0</v>
      </c>
      <c r="D22" s="114"/>
      <c r="E22" s="118">
        <f>SUMIF(BUDGET!$A:$A,$A22,BUDGET!$O:$O)</f>
        <v>0</v>
      </c>
      <c r="F22" s="114">
        <f>+E22/'P&amp;L Summary'!E$21</f>
        <v>0</v>
      </c>
      <c r="G22" s="114">
        <f t="shared" si="1"/>
        <v>0</v>
      </c>
      <c r="H22" s="114"/>
      <c r="I22" s="118">
        <f>SUMIF(PRIOR!$A:$A,$A22,PRIOR!$O:$O)</f>
        <v>0</v>
      </c>
      <c r="J22" s="114">
        <f>+I22/'P&amp;L Summary'!I$21</f>
        <v>0</v>
      </c>
      <c r="K22" s="116">
        <f t="shared" si="2"/>
        <v>0</v>
      </c>
      <c r="L22" s="115"/>
      <c r="M22" s="117">
        <f>SUMIF(ACTUAL!$A:$A,$A22,ACTUAL!$P:$P)</f>
        <v>0</v>
      </c>
      <c r="N22" s="114">
        <f>+M22/'P&amp;L Summary'!M$21</f>
        <v>0</v>
      </c>
      <c r="O22" s="114"/>
      <c r="P22" s="118">
        <f>SUMIF(BUDGET!$A:$A,$A22,BUDGET!$P:$P)</f>
        <v>0</v>
      </c>
      <c r="Q22" s="114">
        <f>+P22/'P&amp;L Summary'!P$21</f>
        <v>0</v>
      </c>
      <c r="R22" s="114">
        <f t="shared" si="3"/>
        <v>0</v>
      </c>
      <c r="S22" s="114"/>
      <c r="T22" s="118">
        <f>SUMIF(PRIOR!$A:$A,$A22,PRIOR!$P:$P)</f>
        <v>0</v>
      </c>
      <c r="U22" s="114">
        <f>+T22/'P&amp;L Summary'!T$21</f>
        <v>0</v>
      </c>
      <c r="V22" s="116">
        <f t="shared" si="4"/>
        <v>0</v>
      </c>
      <c r="W22" s="2"/>
      <c r="X22" s="2"/>
      <c r="Y22" s="8"/>
      <c r="Z22" s="8"/>
    </row>
    <row r="23" ht="12.75" customHeight="1">
      <c r="A23" s="8" t="s">
        <v>95</v>
      </c>
      <c r="B23" s="117">
        <f>SUMIF(ACTUAL!$A:$A,$A23,ACTUAL!$O:$O)</f>
        <v>0</v>
      </c>
      <c r="C23" s="114">
        <f>+B23/'P&amp;L Summary'!B$21</f>
        <v>0</v>
      </c>
      <c r="D23" s="114"/>
      <c r="E23" s="118">
        <f>SUMIF(BUDGET!$A:$A,$A23,BUDGET!$O:$O)</f>
        <v>0</v>
      </c>
      <c r="F23" s="114">
        <f>+E23/'P&amp;L Summary'!E$21</f>
        <v>0</v>
      </c>
      <c r="G23" s="114">
        <f t="shared" si="1"/>
        <v>0</v>
      </c>
      <c r="H23" s="114"/>
      <c r="I23" s="118">
        <f>SUMIF(PRIOR!$A:$A,$A23,PRIOR!$O:$O)</f>
        <v>0</v>
      </c>
      <c r="J23" s="114">
        <f>+I23/'P&amp;L Summary'!I$21</f>
        <v>0</v>
      </c>
      <c r="K23" s="116">
        <f t="shared" si="2"/>
        <v>0</v>
      </c>
      <c r="L23" s="115"/>
      <c r="M23" s="117">
        <f>SUMIF(ACTUAL!$A:$A,$A23,ACTUAL!$P:$P)</f>
        <v>0</v>
      </c>
      <c r="N23" s="114">
        <f>+M23/'P&amp;L Summary'!M$21</f>
        <v>0</v>
      </c>
      <c r="O23" s="114"/>
      <c r="P23" s="118">
        <f>SUMIF(BUDGET!$A:$A,$A23,BUDGET!$P:$P)</f>
        <v>0</v>
      </c>
      <c r="Q23" s="114">
        <f>+P23/'P&amp;L Summary'!P$21</f>
        <v>0</v>
      </c>
      <c r="R23" s="114">
        <f t="shared" si="3"/>
        <v>0</v>
      </c>
      <c r="S23" s="114"/>
      <c r="T23" s="118">
        <f>SUMIF(PRIOR!$A:$A,$A23,PRIOR!$P:$P)</f>
        <v>0</v>
      </c>
      <c r="U23" s="114">
        <f>+T23/'P&amp;L Summary'!T$21</f>
        <v>0</v>
      </c>
      <c r="V23" s="116">
        <f t="shared" si="4"/>
        <v>0</v>
      </c>
      <c r="W23" s="2"/>
      <c r="X23" s="2"/>
      <c r="Y23" s="8"/>
      <c r="Z23" s="8"/>
    </row>
    <row r="24" ht="12.75" customHeight="1">
      <c r="A24" s="8" t="s">
        <v>96</v>
      </c>
      <c r="B24" s="117">
        <f>SUMIF(ACTUAL!$A:$A,$A24,ACTUAL!$O:$O)</f>
        <v>0</v>
      </c>
      <c r="C24" s="114">
        <f>+B24/'P&amp;L Summary'!B$21</f>
        <v>0</v>
      </c>
      <c r="D24" s="114"/>
      <c r="E24" s="118">
        <f>SUMIF(BUDGET!$A:$A,$A24,BUDGET!$O:$O)</f>
        <v>0</v>
      </c>
      <c r="F24" s="114">
        <f>+E24/'P&amp;L Summary'!E$21</f>
        <v>0</v>
      </c>
      <c r="G24" s="114">
        <f t="shared" si="1"/>
        <v>0</v>
      </c>
      <c r="H24" s="114"/>
      <c r="I24" s="118">
        <f>SUMIF(PRIOR!$A:$A,$A24,PRIOR!$O:$O)</f>
        <v>0</v>
      </c>
      <c r="J24" s="114">
        <f>+I24/'P&amp;L Summary'!I$21</f>
        <v>0</v>
      </c>
      <c r="K24" s="116">
        <f t="shared" si="2"/>
        <v>0</v>
      </c>
      <c r="L24" s="115"/>
      <c r="M24" s="117">
        <f>SUMIF(ACTUAL!$A:$A,$A24,ACTUAL!$P:$P)</f>
        <v>0</v>
      </c>
      <c r="N24" s="114">
        <f>+M24/'P&amp;L Summary'!M$21</f>
        <v>0</v>
      </c>
      <c r="O24" s="114"/>
      <c r="P24" s="118">
        <f>SUMIF(BUDGET!$A:$A,$A24,BUDGET!$P:$P)</f>
        <v>0</v>
      </c>
      <c r="Q24" s="114">
        <f>+P24/'P&amp;L Summary'!P$21</f>
        <v>0</v>
      </c>
      <c r="R24" s="114">
        <f t="shared" si="3"/>
        <v>0</v>
      </c>
      <c r="S24" s="114"/>
      <c r="T24" s="118">
        <f>SUMIF(PRIOR!$A:$A,$A24,PRIOR!$P:$P)</f>
        <v>0</v>
      </c>
      <c r="U24" s="114">
        <f>+T24/'P&amp;L Summary'!T$21</f>
        <v>0</v>
      </c>
      <c r="V24" s="116">
        <f t="shared" si="4"/>
        <v>0</v>
      </c>
      <c r="W24" s="2"/>
      <c r="X24" s="2"/>
      <c r="Y24" s="8"/>
      <c r="Z24" s="8"/>
    </row>
    <row r="25" ht="12.75" customHeight="1">
      <c r="A25" s="8" t="s">
        <v>97</v>
      </c>
      <c r="B25" s="117">
        <f>SUMIF(ACTUAL!$A:$A,$A25,ACTUAL!$O:$O)</f>
        <v>0</v>
      </c>
      <c r="C25" s="114">
        <f>+B25/'P&amp;L Summary'!B$21</f>
        <v>0</v>
      </c>
      <c r="D25" s="114"/>
      <c r="E25" s="118">
        <f>SUMIF(BUDGET!$A:$A,$A25,BUDGET!$O:$O)</f>
        <v>0</v>
      </c>
      <c r="F25" s="114">
        <f>+E25/'P&amp;L Summary'!E$21</f>
        <v>0</v>
      </c>
      <c r="G25" s="114">
        <f t="shared" si="1"/>
        <v>0</v>
      </c>
      <c r="H25" s="114"/>
      <c r="I25" s="118">
        <f>SUMIF(PRIOR!$A:$A,$A25,PRIOR!$O:$O)</f>
        <v>0</v>
      </c>
      <c r="J25" s="114">
        <f>+I25/'P&amp;L Summary'!I$21</f>
        <v>0</v>
      </c>
      <c r="K25" s="116">
        <f t="shared" si="2"/>
        <v>0</v>
      </c>
      <c r="L25" s="115"/>
      <c r="M25" s="117">
        <f>SUMIF(ACTUAL!$A:$A,$A25,ACTUAL!$P:$P)</f>
        <v>0</v>
      </c>
      <c r="N25" s="114">
        <f>+M25/'P&amp;L Summary'!M$21</f>
        <v>0</v>
      </c>
      <c r="O25" s="114"/>
      <c r="P25" s="118">
        <f>SUMIF(BUDGET!$A:$A,$A25,BUDGET!$P:$P)</f>
        <v>0</v>
      </c>
      <c r="Q25" s="114">
        <f>+P25/'P&amp;L Summary'!P$21</f>
        <v>0</v>
      </c>
      <c r="R25" s="114">
        <f t="shared" si="3"/>
        <v>0</v>
      </c>
      <c r="S25" s="114"/>
      <c r="T25" s="118">
        <f>SUMIF(PRIOR!$A:$A,$A25,PRIOR!$P:$P)</f>
        <v>0</v>
      </c>
      <c r="U25" s="114">
        <f>+T25/'P&amp;L Summary'!T$21</f>
        <v>0</v>
      </c>
      <c r="V25" s="116">
        <f t="shared" si="4"/>
        <v>0</v>
      </c>
      <c r="W25" s="2"/>
      <c r="X25" s="2"/>
      <c r="Y25" s="8"/>
      <c r="Z25" s="8"/>
    </row>
    <row r="26" ht="12.75" customHeight="1">
      <c r="A26" s="8" t="s">
        <v>99</v>
      </c>
      <c r="B26" s="117">
        <f>SUMIF(ACTUAL!$A:$A,$A26,ACTUAL!$O:$O)</f>
        <v>0</v>
      </c>
      <c r="C26" s="114">
        <f>+B26/'P&amp;L Summary'!B$21</f>
        <v>0</v>
      </c>
      <c r="D26" s="114"/>
      <c r="E26" s="118">
        <f>SUMIF(BUDGET!$A:$A,$A26,BUDGET!$O:$O)</f>
        <v>0</v>
      </c>
      <c r="F26" s="114">
        <f>+E26/'P&amp;L Summary'!E$21</f>
        <v>0</v>
      </c>
      <c r="G26" s="114">
        <f t="shared" si="1"/>
        <v>0</v>
      </c>
      <c r="H26" s="114"/>
      <c r="I26" s="118">
        <f>SUMIF(PRIOR!$A:$A,$A26,PRIOR!$O:$O)</f>
        <v>0</v>
      </c>
      <c r="J26" s="114">
        <f>+I26/'P&amp;L Summary'!I$21</f>
        <v>0</v>
      </c>
      <c r="K26" s="116">
        <f t="shared" si="2"/>
        <v>0</v>
      </c>
      <c r="L26" s="115"/>
      <c r="M26" s="117">
        <f>SUMIF(ACTUAL!$A:$A,$A26,ACTUAL!$P:$P)</f>
        <v>0</v>
      </c>
      <c r="N26" s="114">
        <f>+M26/'P&amp;L Summary'!M$21</f>
        <v>0</v>
      </c>
      <c r="O26" s="114"/>
      <c r="P26" s="118">
        <f>SUMIF(BUDGET!$A:$A,$A26,BUDGET!$P:$P)</f>
        <v>0</v>
      </c>
      <c r="Q26" s="114">
        <f>+P26/'P&amp;L Summary'!P$21</f>
        <v>0</v>
      </c>
      <c r="R26" s="114">
        <f t="shared" si="3"/>
        <v>0</v>
      </c>
      <c r="S26" s="114"/>
      <c r="T26" s="118">
        <f>SUMIF(PRIOR!$A:$A,$A26,PRIOR!$P:$P)</f>
        <v>0</v>
      </c>
      <c r="U26" s="114">
        <f>+T26/'P&amp;L Summary'!T$21</f>
        <v>0</v>
      </c>
      <c r="V26" s="116">
        <f t="shared" si="4"/>
        <v>0</v>
      </c>
      <c r="W26" s="2"/>
      <c r="X26" s="2"/>
      <c r="Y26" s="8"/>
      <c r="Z26" s="8"/>
    </row>
    <row r="27" ht="12.75" customHeight="1">
      <c r="A27" s="8" t="s">
        <v>101</v>
      </c>
      <c r="B27" s="117">
        <f>SUMIF(ACTUAL!$A:$A,$A27,ACTUAL!$O:$O)</f>
        <v>0</v>
      </c>
      <c r="C27" s="114">
        <f>+B27/'P&amp;L Summary'!B$21</f>
        <v>0</v>
      </c>
      <c r="D27" s="114"/>
      <c r="E27" s="118">
        <f>SUMIF(BUDGET!$A:$A,$A27,BUDGET!$O:$O)</f>
        <v>0</v>
      </c>
      <c r="F27" s="114">
        <f>+E27/'P&amp;L Summary'!E$21</f>
        <v>0</v>
      </c>
      <c r="G27" s="114">
        <f t="shared" si="1"/>
        <v>0</v>
      </c>
      <c r="H27" s="114"/>
      <c r="I27" s="118">
        <f>SUMIF(PRIOR!$A:$A,$A27,PRIOR!$O:$O)</f>
        <v>0</v>
      </c>
      <c r="J27" s="114">
        <f>+I27/'P&amp;L Summary'!I$21</f>
        <v>0</v>
      </c>
      <c r="K27" s="116">
        <f t="shared" si="2"/>
        <v>0</v>
      </c>
      <c r="L27" s="115"/>
      <c r="M27" s="117">
        <f>SUMIF(ACTUAL!$A:$A,$A27,ACTUAL!$P:$P)</f>
        <v>0.14</v>
      </c>
      <c r="N27" s="114">
        <f>+M27/'P&amp;L Summary'!M$21</f>
        <v>0.00000007121690715</v>
      </c>
      <c r="O27" s="114"/>
      <c r="P27" s="118">
        <f>SUMIF(BUDGET!$A:$A,$A27,BUDGET!$P:$P)</f>
        <v>0</v>
      </c>
      <c r="Q27" s="114">
        <f>+P27/'P&amp;L Summary'!P$21</f>
        <v>0</v>
      </c>
      <c r="R27" s="114">
        <f t="shared" si="3"/>
        <v>0</v>
      </c>
      <c r="S27" s="114"/>
      <c r="T27" s="118">
        <f>SUMIF(PRIOR!$A:$A,$A27,PRIOR!$P:$P)</f>
        <v>0</v>
      </c>
      <c r="U27" s="114">
        <f>+T27/'P&amp;L Summary'!T$21</f>
        <v>0</v>
      </c>
      <c r="V27" s="116">
        <f t="shared" si="4"/>
        <v>0</v>
      </c>
      <c r="W27" s="2"/>
      <c r="X27" s="2"/>
      <c r="Y27" s="8"/>
      <c r="Z27" s="8"/>
    </row>
    <row r="28" ht="12.75" customHeight="1">
      <c r="A28" s="8" t="s">
        <v>102</v>
      </c>
      <c r="B28" s="117">
        <f>SUMIF(ACTUAL!$A:$A,$A28,ACTUAL!$O:$O)</f>
        <v>0</v>
      </c>
      <c r="C28" s="114">
        <f>+B28/'P&amp;L Summary'!B$21</f>
        <v>0</v>
      </c>
      <c r="D28" s="114"/>
      <c r="E28" s="118">
        <f>SUMIF(BUDGET!$A:$A,$A28,BUDGET!$O:$O)</f>
        <v>-1667</v>
      </c>
      <c r="F28" s="114">
        <f>+E28/'P&amp;L Summary'!E$21</f>
        <v>-0.003700784779</v>
      </c>
      <c r="G28" s="114">
        <f t="shared" si="1"/>
        <v>-1</v>
      </c>
      <c r="H28" s="114"/>
      <c r="I28" s="118">
        <f>SUMIF(PRIOR!$A:$A,$A28,PRIOR!$O:$O)</f>
        <v>0</v>
      </c>
      <c r="J28" s="114">
        <f>+I28/'P&amp;L Summary'!I$21</f>
        <v>0</v>
      </c>
      <c r="K28" s="116">
        <f t="shared" si="2"/>
        <v>0</v>
      </c>
      <c r="L28" s="115"/>
      <c r="M28" s="117">
        <f>SUMIF(ACTUAL!$A:$A,$A28,ACTUAL!$P:$P)</f>
        <v>0</v>
      </c>
      <c r="N28" s="114">
        <f>+M28/'P&amp;L Summary'!M$21</f>
        <v>0</v>
      </c>
      <c r="O28" s="114"/>
      <c r="P28" s="118">
        <f>SUMIF(BUDGET!$A:$A,$A28,BUDGET!$P:$P)</f>
        <v>-8335</v>
      </c>
      <c r="Q28" s="114">
        <f>+P28/'P&amp;L Summary'!P$21</f>
        <v>-0.003935766032</v>
      </c>
      <c r="R28" s="114">
        <f t="shared" si="3"/>
        <v>-1</v>
      </c>
      <c r="S28" s="114"/>
      <c r="T28" s="118">
        <f>SUMIF(PRIOR!$A:$A,$A28,PRIOR!$P:$P)</f>
        <v>0</v>
      </c>
      <c r="U28" s="114">
        <f>+T28/'P&amp;L Summary'!T$21</f>
        <v>0</v>
      </c>
      <c r="V28" s="116">
        <f t="shared" si="4"/>
        <v>0</v>
      </c>
      <c r="W28" s="2"/>
      <c r="X28" s="2"/>
      <c r="Y28" s="8"/>
      <c r="Z28" s="8"/>
    </row>
    <row r="29" ht="12.75" customHeight="1">
      <c r="A29" s="8" t="s">
        <v>103</v>
      </c>
      <c r="B29" s="117">
        <f>SUMIF(ACTUAL!$A:$A,$A29,ACTUAL!$O:$O)</f>
        <v>23843</v>
      </c>
      <c r="C29" s="114">
        <f>+B29/'P&amp;L Summary'!B$21</f>
        <v>0.05570882121</v>
      </c>
      <c r="D29" s="114"/>
      <c r="E29" s="118">
        <f>SUMIF(BUDGET!$A:$A,$A29,BUDGET!$O:$O)</f>
        <v>33569</v>
      </c>
      <c r="F29" s="114">
        <f>+E29/'P&amp;L Summary'!E$21</f>
        <v>0.07452408174</v>
      </c>
      <c r="G29" s="114">
        <f t="shared" si="1"/>
        <v>-0.2897315976</v>
      </c>
      <c r="H29" s="114"/>
      <c r="I29" s="118">
        <f>SUMIF(PRIOR!$A:$A,$A29,PRIOR!$O:$O)</f>
        <v>28897</v>
      </c>
      <c r="J29" s="114">
        <f>+I29/'P&amp;L Summary'!I$21</f>
        <v>0.07090942584</v>
      </c>
      <c r="K29" s="116">
        <f t="shared" si="2"/>
        <v>-0.1748970481</v>
      </c>
      <c r="L29" s="115"/>
      <c r="M29" s="117">
        <f>SUMIF(ACTUAL!$A:$A,$A29,ACTUAL!$P:$P)</f>
        <v>132522.01</v>
      </c>
      <c r="N29" s="114">
        <f>+M29/'P&amp;L Summary'!M$21</f>
        <v>0.06741291201</v>
      </c>
      <c r="O29" s="114"/>
      <c r="P29" s="118">
        <f>SUMIF(BUDGET!$A:$A,$A29,BUDGET!$P:$P)</f>
        <v>164010</v>
      </c>
      <c r="Q29" s="114">
        <f>+P29/'P&amp;L Summary'!P$21</f>
        <v>0.0774451094</v>
      </c>
      <c r="R29" s="114">
        <f t="shared" si="3"/>
        <v>-0.1919882324</v>
      </c>
      <c r="S29" s="114"/>
      <c r="T29" s="118">
        <f>SUMIF(PRIOR!$A:$A,$A29,PRIOR!$P:$P)</f>
        <v>145196.01</v>
      </c>
      <c r="U29" s="114">
        <f>+T29/'P&amp;L Summary'!T$21</f>
        <v>0.07459991728</v>
      </c>
      <c r="V29" s="116">
        <f t="shared" si="4"/>
        <v>-0.08728890002</v>
      </c>
      <c r="W29" s="2"/>
      <c r="X29" s="2"/>
      <c r="Y29" s="8"/>
      <c r="Z29" s="8"/>
    </row>
    <row r="30" ht="12.75" customHeight="1">
      <c r="A30" s="8" t="s">
        <v>107</v>
      </c>
      <c r="B30" s="125">
        <f>SUMIF(ACTUAL!$A:$A,$A30,ACTUAL!$O:$O)</f>
        <v>0</v>
      </c>
      <c r="C30" s="114">
        <f>+B30/'P&amp;L Summary'!B$21</f>
        <v>0</v>
      </c>
      <c r="D30" s="114"/>
      <c r="E30" s="118">
        <f>SUMIF(BUDGET!$A:$A,$A30,BUDGET!$O:$O)</f>
        <v>56</v>
      </c>
      <c r="F30" s="114">
        <f>+E30/'P&amp;L Summary'!E$21</f>
        <v>0.0001243215043</v>
      </c>
      <c r="G30" s="114">
        <f t="shared" si="1"/>
        <v>-1</v>
      </c>
      <c r="H30" s="114"/>
      <c r="I30" s="118">
        <f>SUMIF(PRIOR!$A:$A,$A30,PRIOR!$O:$O)</f>
        <v>0</v>
      </c>
      <c r="J30" s="114">
        <f>+I30/'P&amp;L Summary'!I$21</f>
        <v>0</v>
      </c>
      <c r="K30" s="116">
        <f t="shared" si="2"/>
        <v>0</v>
      </c>
      <c r="L30" s="115"/>
      <c r="M30" s="117">
        <f>SUMIF(ACTUAL!$A:$A,$A30,ACTUAL!$P:$P)</f>
        <v>0</v>
      </c>
      <c r="N30" s="114">
        <f>+M30/'P&amp;L Summary'!M$21</f>
        <v>0</v>
      </c>
      <c r="O30" s="114"/>
      <c r="P30" s="118">
        <f>SUMIF(BUDGET!$A:$A,$A30,BUDGET!$P:$P)</f>
        <v>280</v>
      </c>
      <c r="Q30" s="114">
        <f>+P30/'P&amp;L Summary'!P$21</f>
        <v>0.0001322152956</v>
      </c>
      <c r="R30" s="114">
        <f t="shared" si="3"/>
        <v>-1</v>
      </c>
      <c r="S30" s="114"/>
      <c r="T30" s="118">
        <f>SUMIF(PRIOR!$A:$A,$A30,PRIOR!$P:$P)</f>
        <v>395</v>
      </c>
      <c r="U30" s="114">
        <f>+T30/'P&amp;L Summary'!T$21</f>
        <v>0.0002029461231</v>
      </c>
      <c r="V30" s="116">
        <f t="shared" si="4"/>
        <v>-1</v>
      </c>
      <c r="W30" s="2"/>
      <c r="X30" s="2"/>
      <c r="Y30" s="8"/>
      <c r="Z30" s="8"/>
    </row>
    <row r="31" ht="12.75" customHeight="1">
      <c r="A31" s="8" t="s">
        <v>109</v>
      </c>
      <c r="B31" s="117">
        <f>SUMIF(ACTUAL!$A:$A,$A31,ACTUAL!$O:$O)</f>
        <v>0</v>
      </c>
      <c r="C31" s="114">
        <f>+B31/'P&amp;L Summary'!B$21</f>
        <v>0</v>
      </c>
      <c r="D31" s="114"/>
      <c r="E31" s="118">
        <f>SUMIF(BUDGET!$A:$A,$A31,BUDGET!$O:$O)</f>
        <v>0</v>
      </c>
      <c r="F31" s="114">
        <f>+E31/'P&amp;L Summary'!E$21</f>
        <v>0</v>
      </c>
      <c r="G31" s="114">
        <f t="shared" si="1"/>
        <v>0</v>
      </c>
      <c r="H31" s="114"/>
      <c r="I31" s="118">
        <f>SUMIF(PRIOR!$A:$A,$A31,PRIOR!$O:$O)</f>
        <v>0</v>
      </c>
      <c r="J31" s="114">
        <f>+I31/'P&amp;L Summary'!I$21</f>
        <v>0</v>
      </c>
      <c r="K31" s="116">
        <f t="shared" si="2"/>
        <v>0</v>
      </c>
      <c r="L31" s="115"/>
      <c r="M31" s="117">
        <f>SUMIF(ACTUAL!$A:$A,$A31,ACTUAL!$P:$P)</f>
        <v>0</v>
      </c>
      <c r="N31" s="114">
        <f>+M31/'P&amp;L Summary'!M$21</f>
        <v>0</v>
      </c>
      <c r="O31" s="114"/>
      <c r="P31" s="118">
        <f>SUMIF(BUDGET!$A:$A,$A31,BUDGET!$P:$P)</f>
        <v>0</v>
      </c>
      <c r="Q31" s="114">
        <f>+P31/'P&amp;L Summary'!P$21</f>
        <v>0</v>
      </c>
      <c r="R31" s="114">
        <f t="shared" si="3"/>
        <v>0</v>
      </c>
      <c r="S31" s="114"/>
      <c r="T31" s="118">
        <f>SUMIF(PRIOR!$A:$A,$A31,PRIOR!$P:$P)</f>
        <v>0</v>
      </c>
      <c r="U31" s="114">
        <f>+T31/'P&amp;L Summary'!T$21</f>
        <v>0</v>
      </c>
      <c r="V31" s="116">
        <f t="shared" si="4"/>
        <v>0</v>
      </c>
      <c r="W31" s="2"/>
      <c r="X31" s="2"/>
      <c r="Y31" s="8"/>
      <c r="Z31" s="8"/>
    </row>
    <row r="32" ht="12.75" customHeight="1">
      <c r="A32" s="8" t="s">
        <v>110</v>
      </c>
      <c r="B32" s="117">
        <f>SUMIF(ACTUAL!$A:$A,$A32,ACTUAL!$O:$O)</f>
        <v>662.74</v>
      </c>
      <c r="C32" s="114">
        <f>+B32/'P&amp;L Summary'!B$21</f>
        <v>0.001548482329</v>
      </c>
      <c r="D32" s="114"/>
      <c r="E32" s="118">
        <f>SUMIF(BUDGET!$A:$A,$A32,BUDGET!$O:$O)</f>
        <v>983</v>
      </c>
      <c r="F32" s="114">
        <f>+E32/'P&amp;L Summary'!E$21</f>
        <v>0.002182286406</v>
      </c>
      <c r="G32" s="114">
        <f t="shared" si="1"/>
        <v>-0.3257985758</v>
      </c>
      <c r="H32" s="114"/>
      <c r="I32" s="118">
        <f>SUMIF(PRIOR!$A:$A,$A32,PRIOR!$O:$O)</f>
        <v>380.8</v>
      </c>
      <c r="J32" s="114">
        <f>+I32/'P&amp;L Summary'!I$21</f>
        <v>0.000934432964</v>
      </c>
      <c r="K32" s="116">
        <f t="shared" si="2"/>
        <v>0.7403886555</v>
      </c>
      <c r="L32" s="115"/>
      <c r="M32" s="117">
        <f>SUMIF(ACTUAL!$A:$A,$A32,ACTUAL!$P:$P)</f>
        <v>4750.31</v>
      </c>
      <c r="N32" s="114">
        <f>+M32/'P&amp;L Summary'!M$21</f>
        <v>0.002416445616</v>
      </c>
      <c r="O32" s="114"/>
      <c r="P32" s="118">
        <f>SUMIF(BUDGET!$A:$A,$A32,BUDGET!$P:$P)</f>
        <v>4915</v>
      </c>
      <c r="Q32" s="114">
        <f>+P32/'P&amp;L Summary'!P$21</f>
        <v>0.002320850635</v>
      </c>
      <c r="R32" s="114">
        <f t="shared" si="3"/>
        <v>-0.0335076297</v>
      </c>
      <c r="S32" s="114"/>
      <c r="T32" s="118">
        <f>SUMIF(PRIOR!$A:$A,$A32,PRIOR!$P:$P)</f>
        <v>5462.79</v>
      </c>
      <c r="U32" s="114">
        <f>+T32/'P&amp;L Summary'!T$21</f>
        <v>0.002806714056</v>
      </c>
      <c r="V32" s="116">
        <f t="shared" si="4"/>
        <v>-0.1304241972</v>
      </c>
      <c r="W32" s="2"/>
      <c r="X32" s="2"/>
      <c r="Y32" s="8"/>
      <c r="Z32" s="8"/>
    </row>
    <row r="33" ht="12.75" customHeight="1">
      <c r="A33" s="8" t="s">
        <v>111</v>
      </c>
      <c r="B33" s="117">
        <f>SUMIF(ACTUAL!$A:$A,$A33,ACTUAL!$O:$O)</f>
        <v>0</v>
      </c>
      <c r="C33" s="114">
        <f>+B33/'P&amp;L Summary'!B$21</f>
        <v>0</v>
      </c>
      <c r="D33" s="114"/>
      <c r="E33" s="118">
        <f>SUMIF(BUDGET!$A:$A,$A33,BUDGET!$O:$O)</f>
        <v>0</v>
      </c>
      <c r="F33" s="114">
        <f>+E33/'P&amp;L Summary'!E$21</f>
        <v>0</v>
      </c>
      <c r="G33" s="114">
        <f t="shared" si="1"/>
        <v>0</v>
      </c>
      <c r="H33" s="114"/>
      <c r="I33" s="118">
        <f>SUMIF(PRIOR!$A:$A,$A33,PRIOR!$O:$O)</f>
        <v>0</v>
      </c>
      <c r="J33" s="114">
        <f>+I33/'P&amp;L Summary'!I$21</f>
        <v>0</v>
      </c>
      <c r="K33" s="116">
        <f t="shared" si="2"/>
        <v>0</v>
      </c>
      <c r="L33" s="115"/>
      <c r="M33" s="117">
        <f>SUMIF(ACTUAL!$A:$A,$A33,ACTUAL!$P:$P)</f>
        <v>0</v>
      </c>
      <c r="N33" s="114">
        <f>+M33/'P&amp;L Summary'!M$21</f>
        <v>0</v>
      </c>
      <c r="O33" s="114"/>
      <c r="P33" s="118">
        <f>SUMIF(BUDGET!$A:$A,$A33,BUDGET!$P:$P)</f>
        <v>0</v>
      </c>
      <c r="Q33" s="114">
        <f>+P33/'P&amp;L Summary'!P$21</f>
        <v>0</v>
      </c>
      <c r="R33" s="114">
        <f t="shared" si="3"/>
        <v>0</v>
      </c>
      <c r="S33" s="114"/>
      <c r="T33" s="118">
        <f>SUMIF(PRIOR!$A:$A,$A33,PRIOR!$P:$P)</f>
        <v>0</v>
      </c>
      <c r="U33" s="114">
        <f>+T33/'P&amp;L Summary'!T$21</f>
        <v>0</v>
      </c>
      <c r="V33" s="116">
        <f t="shared" si="4"/>
        <v>0</v>
      </c>
      <c r="W33" s="2"/>
      <c r="X33" s="2"/>
      <c r="Y33" s="8"/>
      <c r="Z33" s="8"/>
    </row>
    <row r="34" ht="12.75" customHeight="1">
      <c r="A34" s="24" t="s">
        <v>40</v>
      </c>
      <c r="B34" s="127">
        <f>SUM(B12:B33)</f>
        <v>24505.74</v>
      </c>
      <c r="C34" s="128">
        <f>+B34/'P&amp;L Summary'!B$21</f>
        <v>0.05725730354</v>
      </c>
      <c r="D34" s="128"/>
      <c r="E34" s="129">
        <f>SUM(E12:E33)</f>
        <v>33338</v>
      </c>
      <c r="F34" s="128">
        <f>+E34/'P&amp;L Summary'!E$21</f>
        <v>0.07401125554</v>
      </c>
      <c r="G34" s="128">
        <f t="shared" si="1"/>
        <v>-0.2649307097</v>
      </c>
      <c r="H34" s="128"/>
      <c r="I34" s="129">
        <f>SUM(I12:I33)</f>
        <v>29420.24</v>
      </c>
      <c r="J34" s="128">
        <f>+I34/'P&amp;L Summary'!I$21</f>
        <v>0.07219338777</v>
      </c>
      <c r="K34" s="130">
        <f t="shared" si="2"/>
        <v>-0.1670448644</v>
      </c>
      <c r="L34" s="131"/>
      <c r="M34" s="127">
        <f>SUM(M12:M33)</f>
        <v>138232.51</v>
      </c>
      <c r="N34" s="128">
        <f>+M34/'P&amp;L Summary'!M$21</f>
        <v>0.07031779878</v>
      </c>
      <c r="O34" s="128"/>
      <c r="P34" s="129">
        <f>SUM(P12:P33)</f>
        <v>162855</v>
      </c>
      <c r="Q34" s="128">
        <f>+P34/'P&amp;L Summary'!P$21</f>
        <v>0.07689972131</v>
      </c>
      <c r="R34" s="128">
        <f t="shared" si="3"/>
        <v>-0.1511927174</v>
      </c>
      <c r="S34" s="128"/>
      <c r="T34" s="129">
        <f>SUM(T12:T33)</f>
        <v>151875.28</v>
      </c>
      <c r="U34" s="128">
        <f>+T34/'P&amp;L Summary'!T$21</f>
        <v>0.07803164374</v>
      </c>
      <c r="V34" s="130">
        <f t="shared" si="4"/>
        <v>-0.08982877266</v>
      </c>
      <c r="W34" s="47"/>
      <c r="X34" s="47"/>
      <c r="Y34" s="24"/>
      <c r="Z34" s="24"/>
    </row>
    <row r="35" ht="12.75" customHeight="1">
      <c r="A35" s="71" t="s">
        <v>59</v>
      </c>
      <c r="B35" s="132">
        <f>B34-'Opex Summary'!B19</f>
        <v>0</v>
      </c>
      <c r="C35" s="133"/>
      <c r="D35" s="133"/>
      <c r="E35" s="134">
        <f>E34-'Opex Summary'!E19</f>
        <v>-1</v>
      </c>
      <c r="F35" s="133"/>
      <c r="G35" s="135"/>
      <c r="H35" s="135"/>
      <c r="I35" s="134">
        <f>I34-'Opex Summary'!I19</f>
        <v>0</v>
      </c>
      <c r="J35" s="135"/>
      <c r="K35" s="136"/>
      <c r="L35" s="102"/>
      <c r="M35" s="132">
        <f>M34-'Opex Summary'!M19</f>
        <v>0</v>
      </c>
      <c r="N35" s="133"/>
      <c r="O35" s="133"/>
      <c r="P35" s="134">
        <f>P34-'Opex Summary'!P19</f>
        <v>-6</v>
      </c>
      <c r="Q35" s="133"/>
      <c r="R35" s="135"/>
      <c r="S35" s="135"/>
      <c r="T35" s="134">
        <f>T34-'Opex Summary'!T19</f>
        <v>0</v>
      </c>
      <c r="U35" s="135"/>
      <c r="V35" s="136"/>
      <c r="W35" s="73"/>
      <c r="X35" s="73"/>
      <c r="Y35" s="71"/>
      <c r="Z35" s="71"/>
    </row>
    <row r="36" ht="12.75" customHeight="1">
      <c r="A36" s="24" t="s">
        <v>33</v>
      </c>
      <c r="B36" s="117"/>
      <c r="C36" s="137"/>
      <c r="D36" s="137"/>
      <c r="E36" s="118"/>
      <c r="F36" s="137"/>
      <c r="G36" s="137"/>
      <c r="H36" s="137"/>
      <c r="I36" s="118"/>
      <c r="J36" s="137"/>
      <c r="K36" s="138"/>
      <c r="L36" s="115"/>
      <c r="M36" s="117"/>
      <c r="N36" s="137"/>
      <c r="O36" s="137"/>
      <c r="P36" s="118"/>
      <c r="Q36" s="137"/>
      <c r="R36" s="137"/>
      <c r="S36" s="137"/>
      <c r="T36" s="118"/>
      <c r="U36" s="137"/>
      <c r="V36" s="138"/>
      <c r="W36" s="2"/>
      <c r="X36" s="2"/>
      <c r="Y36" s="8"/>
      <c r="Z36" s="8"/>
    </row>
    <row r="37" ht="12.75" customHeight="1">
      <c r="A37" s="8" t="s">
        <v>115</v>
      </c>
      <c r="B37" s="117">
        <f>SUMIF(ACTUAL!$A:$A,$A37,ACTUAL!$O:$O)</f>
        <v>0</v>
      </c>
      <c r="C37" s="114">
        <f>+B37/'P&amp;L Summary'!B$21</f>
        <v>0</v>
      </c>
      <c r="D37" s="114"/>
      <c r="E37" s="118">
        <f>SUMIF(BUDGET!$A:$A,$A37,BUDGET!$O:$O)</f>
        <v>0</v>
      </c>
      <c r="F37" s="114">
        <f>+E37/'P&amp;L Summary'!E$21</f>
        <v>0</v>
      </c>
      <c r="G37" s="114">
        <f t="shared" ref="G37:G63" si="5">IF(E37=0,0,+(B37-E37)/E37)</f>
        <v>0</v>
      </c>
      <c r="H37" s="114"/>
      <c r="I37" s="118">
        <f>SUMIF(PRIOR!$A:$A,$A37,PRIOR!$O:$O)</f>
        <v>0</v>
      </c>
      <c r="J37" s="114">
        <f>+I37/'P&amp;L Summary'!I$21</f>
        <v>0</v>
      </c>
      <c r="K37" s="116">
        <f t="shared" ref="K37:K63" si="6">IF(I37=0,0,+(B37-I37)/I37)</f>
        <v>0</v>
      </c>
      <c r="L37" s="115"/>
      <c r="M37" s="117">
        <f>SUMIF(ACTUAL!$A:$A,$A37,ACTUAL!$P:$P)</f>
        <v>0</v>
      </c>
      <c r="N37" s="114">
        <f>+M37/'P&amp;L Summary'!M$21</f>
        <v>0</v>
      </c>
      <c r="O37" s="114"/>
      <c r="P37" s="118">
        <f>SUMIF(BUDGET!$A:$A,$A37,BUDGET!$P:$P)</f>
        <v>0</v>
      </c>
      <c r="Q37" s="114">
        <f>+P37/'P&amp;L Summary'!P$21</f>
        <v>0</v>
      </c>
      <c r="R37" s="114">
        <f t="shared" ref="R37:R62" si="7">+IF(P37=0,0,(M37-P37)/P37)</f>
        <v>0</v>
      </c>
      <c r="S37" s="114"/>
      <c r="T37" s="118">
        <f>SUMIF(PRIOR!$A:$A,$A37,PRIOR!$P:$P)</f>
        <v>0</v>
      </c>
      <c r="U37" s="114">
        <f>+T37/'P&amp;L Summary'!T$21</f>
        <v>0</v>
      </c>
      <c r="V37" s="116">
        <f t="shared" ref="V37:V63" si="8">+IF(T37=0,0,(M37-T37)/T37)</f>
        <v>0</v>
      </c>
      <c r="W37" s="2"/>
      <c r="X37" s="2"/>
      <c r="Y37" s="8"/>
      <c r="Z37" s="8"/>
    </row>
    <row r="38" ht="12.75" customHeight="1">
      <c r="A38" s="8" t="s">
        <v>117</v>
      </c>
      <c r="B38" s="117">
        <f>SUMIF(ACTUAL!$A:$A,$A38,ACTUAL!$O:$O)</f>
        <v>200</v>
      </c>
      <c r="C38" s="114">
        <f>+B38/'P&amp;L Summary'!B$21</f>
        <v>0.0004672970785</v>
      </c>
      <c r="D38" s="114"/>
      <c r="E38" s="118">
        <f>SUMIF(BUDGET!$A:$A,$A38,BUDGET!$O:$O)</f>
        <v>167</v>
      </c>
      <c r="F38" s="114">
        <f>+E38/'P&amp;L Summary'!E$21</f>
        <v>0.000370744486</v>
      </c>
      <c r="G38" s="114">
        <f t="shared" si="5"/>
        <v>0.1976047904</v>
      </c>
      <c r="H38" s="114"/>
      <c r="I38" s="118">
        <f>SUMIF(PRIOR!$A:$A,$A38,PRIOR!$O:$O)</f>
        <v>190</v>
      </c>
      <c r="J38" s="114">
        <f>+I38/'P&amp;L Summary'!I$21</f>
        <v>0.0004662349348</v>
      </c>
      <c r="K38" s="116">
        <f t="shared" si="6"/>
        <v>0.05263157895</v>
      </c>
      <c r="L38" s="115"/>
      <c r="M38" s="117">
        <f>SUMIF(ACTUAL!$A:$A,$A38,ACTUAL!$P:$P)</f>
        <v>600</v>
      </c>
      <c r="N38" s="114">
        <f>+M38/'P&amp;L Summary'!M$21</f>
        <v>0.0003052153164</v>
      </c>
      <c r="O38" s="114"/>
      <c r="P38" s="118">
        <f>SUMIF(BUDGET!$A:$A,$A38,BUDGET!$P:$P)</f>
        <v>835</v>
      </c>
      <c r="Q38" s="114">
        <f>+P38/'P&amp;L Summary'!P$21</f>
        <v>0.0003942848994</v>
      </c>
      <c r="R38" s="114">
        <f t="shared" si="7"/>
        <v>-0.2814371257</v>
      </c>
      <c r="S38" s="114"/>
      <c r="T38" s="118">
        <f>SUMIF(PRIOR!$A:$A,$A38,PRIOR!$P:$P)</f>
        <v>950</v>
      </c>
      <c r="U38" s="114">
        <f>+T38/'P&amp;L Summary'!T$21</f>
        <v>0.0004880982708</v>
      </c>
      <c r="V38" s="116">
        <f t="shared" si="8"/>
        <v>-0.3684210526</v>
      </c>
      <c r="W38" s="2"/>
      <c r="X38" s="2"/>
      <c r="Y38" s="8"/>
      <c r="Z38" s="8"/>
    </row>
    <row r="39" ht="12.75" customHeight="1">
      <c r="A39" s="8" t="s">
        <v>118</v>
      </c>
      <c r="B39" s="117">
        <f>SUMIF(ACTUAL!$A:$A,$A39,ACTUAL!$O:$O)</f>
        <v>0</v>
      </c>
      <c r="C39" s="114">
        <f>+B39/'P&amp;L Summary'!B$21</f>
        <v>0</v>
      </c>
      <c r="D39" s="114"/>
      <c r="E39" s="118">
        <f>SUMIF(BUDGET!$A:$A,$A39,BUDGET!$O:$O)</f>
        <v>0</v>
      </c>
      <c r="F39" s="114">
        <f>+E39/'P&amp;L Summary'!E$21</f>
        <v>0</v>
      </c>
      <c r="G39" s="114">
        <f t="shared" si="5"/>
        <v>0</v>
      </c>
      <c r="H39" s="114"/>
      <c r="I39" s="118">
        <f>SUMIF(PRIOR!$A:$A,$A39,PRIOR!$O:$O)</f>
        <v>-139</v>
      </c>
      <c r="J39" s="114">
        <f>+I39/'P&amp;L Summary'!I$21</f>
        <v>-0.0003410876628</v>
      </c>
      <c r="K39" s="116">
        <f t="shared" si="6"/>
        <v>-1</v>
      </c>
      <c r="L39" s="115"/>
      <c r="M39" s="117">
        <f>SUMIF(ACTUAL!$A:$A,$A39,ACTUAL!$P:$P)</f>
        <v>0</v>
      </c>
      <c r="N39" s="114">
        <f>+M39/'P&amp;L Summary'!M$21</f>
        <v>0</v>
      </c>
      <c r="O39" s="114"/>
      <c r="P39" s="118">
        <f>SUMIF(BUDGET!$A:$A,$A39,BUDGET!$P:$P)</f>
        <v>0</v>
      </c>
      <c r="Q39" s="114">
        <f>+P39/'P&amp;L Summary'!P$21</f>
        <v>0</v>
      </c>
      <c r="R39" s="114">
        <f t="shared" si="7"/>
        <v>0</v>
      </c>
      <c r="S39" s="114"/>
      <c r="T39" s="118">
        <f>SUMIF(PRIOR!$A:$A,$A39,PRIOR!$P:$P)</f>
        <v>-139</v>
      </c>
      <c r="U39" s="114">
        <f>+T39/'P&amp;L Summary'!T$21</f>
        <v>-0.00007141648384</v>
      </c>
      <c r="V39" s="116">
        <f t="shared" si="8"/>
        <v>-1</v>
      </c>
      <c r="W39" s="2"/>
      <c r="X39" s="2"/>
      <c r="Y39" s="8"/>
      <c r="Z39" s="8"/>
    </row>
    <row r="40" ht="12.75" customHeight="1">
      <c r="A40" s="8" t="s">
        <v>120</v>
      </c>
      <c r="B40" s="117">
        <f>SUMIF(ACTUAL!$A:$A,$A40,ACTUAL!$O:$O)</f>
        <v>165</v>
      </c>
      <c r="C40" s="114">
        <f>+B40/'P&amp;L Summary'!B$21</f>
        <v>0.0003855200897</v>
      </c>
      <c r="D40" s="114"/>
      <c r="E40" s="118">
        <f>SUMIF(BUDGET!$A:$A,$A40,BUDGET!$O:$O)</f>
        <v>0</v>
      </c>
      <c r="F40" s="114">
        <f>+E40/'P&amp;L Summary'!E$21</f>
        <v>0</v>
      </c>
      <c r="G40" s="114">
        <f t="shared" si="5"/>
        <v>0</v>
      </c>
      <c r="H40" s="114"/>
      <c r="I40" s="118">
        <f>SUMIF(PRIOR!$A:$A,$A40,PRIOR!$O:$O)</f>
        <v>0</v>
      </c>
      <c r="J40" s="114">
        <f>+I40/'P&amp;L Summary'!I$21</f>
        <v>0</v>
      </c>
      <c r="K40" s="116">
        <f t="shared" si="6"/>
        <v>0</v>
      </c>
      <c r="L40" s="115"/>
      <c r="M40" s="117">
        <f>SUMIF(ACTUAL!$A:$A,$A40,ACTUAL!$P:$P)</f>
        <v>165</v>
      </c>
      <c r="N40" s="114">
        <f>+M40/'P&amp;L Summary'!M$21</f>
        <v>0.000083934212</v>
      </c>
      <c r="O40" s="114"/>
      <c r="P40" s="118">
        <f>SUMIF(BUDGET!$A:$A,$A40,BUDGET!$P:$P)</f>
        <v>0</v>
      </c>
      <c r="Q40" s="114">
        <f>+P40/'P&amp;L Summary'!P$21</f>
        <v>0</v>
      </c>
      <c r="R40" s="114">
        <f t="shared" si="7"/>
        <v>0</v>
      </c>
      <c r="S40" s="114"/>
      <c r="T40" s="118">
        <f>SUMIF(PRIOR!$A:$A,$A40,PRIOR!$P:$P)</f>
        <v>0</v>
      </c>
      <c r="U40" s="114">
        <f>+T40/'P&amp;L Summary'!T$21</f>
        <v>0</v>
      </c>
      <c r="V40" s="116">
        <f t="shared" si="8"/>
        <v>0</v>
      </c>
      <c r="W40" s="2"/>
      <c r="X40" s="2"/>
      <c r="Y40" s="8"/>
      <c r="Z40" s="8"/>
    </row>
    <row r="41" ht="12.75" customHeight="1">
      <c r="A41" s="8" t="s">
        <v>100</v>
      </c>
      <c r="B41" s="117">
        <f>SUMIF(ACTUAL!$A:$A,$A41,ACTUAL!$O:$O)</f>
        <v>0</v>
      </c>
      <c r="C41" s="114">
        <f>+B41/'P&amp;L Summary'!B$21</f>
        <v>0</v>
      </c>
      <c r="D41" s="114"/>
      <c r="E41" s="118">
        <f>SUMIF(BUDGET!$A:$A,$A41,BUDGET!$O:$O)</f>
        <v>0</v>
      </c>
      <c r="F41" s="114">
        <f>+E41/'P&amp;L Summary'!E$21</f>
        <v>0</v>
      </c>
      <c r="G41" s="114">
        <f t="shared" si="5"/>
        <v>0</v>
      </c>
      <c r="H41" s="114"/>
      <c r="I41" s="118">
        <f>SUMIF(PRIOR!$A:$A,$A41,PRIOR!$O:$O)</f>
        <v>0</v>
      </c>
      <c r="J41" s="114">
        <f>+I41/'P&amp;L Summary'!I$21</f>
        <v>0</v>
      </c>
      <c r="K41" s="116">
        <f t="shared" si="6"/>
        <v>0</v>
      </c>
      <c r="L41" s="115"/>
      <c r="M41" s="117">
        <f>SUMIF(ACTUAL!$A:$A,$A41,ACTUAL!$P:$P)</f>
        <v>0</v>
      </c>
      <c r="N41" s="114">
        <f>+M41/'P&amp;L Summary'!M$21</f>
        <v>0</v>
      </c>
      <c r="O41" s="114"/>
      <c r="P41" s="118">
        <f>SUMIF(BUDGET!$A:$A,$A41,BUDGET!$P:$P)</f>
        <v>0</v>
      </c>
      <c r="Q41" s="114">
        <f>+P41/'P&amp;L Summary'!P$21</f>
        <v>0</v>
      </c>
      <c r="R41" s="114">
        <f t="shared" si="7"/>
        <v>0</v>
      </c>
      <c r="S41" s="114"/>
      <c r="T41" s="118">
        <f>SUMIF(PRIOR!$A:$A,$A41,PRIOR!$P:$P)</f>
        <v>0</v>
      </c>
      <c r="U41" s="114">
        <f>+T41/'P&amp;L Summary'!T$21</f>
        <v>0</v>
      </c>
      <c r="V41" s="116">
        <f t="shared" si="8"/>
        <v>0</v>
      </c>
      <c r="W41" s="2"/>
      <c r="X41" s="2"/>
      <c r="Y41" s="8"/>
      <c r="Z41" s="8"/>
    </row>
    <row r="42" ht="12.75" customHeight="1">
      <c r="A42" s="8" t="s">
        <v>122</v>
      </c>
      <c r="B42" s="117">
        <f>SUMIF(ACTUAL!$A:$A,$A42,ACTUAL!$O:$O)</f>
        <v>0</v>
      </c>
      <c r="C42" s="114">
        <f>+B42/'P&amp;L Summary'!B$21</f>
        <v>0</v>
      </c>
      <c r="D42" s="114"/>
      <c r="E42" s="118">
        <f>SUMIF(BUDGET!$A:$A,$A42,BUDGET!$O:$O)</f>
        <v>0</v>
      </c>
      <c r="F42" s="114">
        <f>+E42/'P&amp;L Summary'!E$21</f>
        <v>0</v>
      </c>
      <c r="G42" s="114">
        <f t="shared" si="5"/>
        <v>0</v>
      </c>
      <c r="H42" s="114"/>
      <c r="I42" s="118">
        <f>SUMIF(PRIOR!$A:$A,$A42,PRIOR!$O:$O)</f>
        <v>0</v>
      </c>
      <c r="J42" s="114">
        <f>+I42/'P&amp;L Summary'!I$21</f>
        <v>0</v>
      </c>
      <c r="K42" s="116">
        <f t="shared" si="6"/>
        <v>0</v>
      </c>
      <c r="L42" s="115"/>
      <c r="M42" s="117">
        <f>SUMIF(ACTUAL!$A:$A,$A42,ACTUAL!$P:$P)</f>
        <v>0</v>
      </c>
      <c r="N42" s="114">
        <f>+M42/'P&amp;L Summary'!M$21</f>
        <v>0</v>
      </c>
      <c r="O42" s="114"/>
      <c r="P42" s="118">
        <f>SUMIF(BUDGET!$A:$A,$A42,BUDGET!$P:$P)</f>
        <v>0</v>
      </c>
      <c r="Q42" s="114">
        <f>+P42/'P&amp;L Summary'!P$21</f>
        <v>0</v>
      </c>
      <c r="R42" s="114">
        <f t="shared" si="7"/>
        <v>0</v>
      </c>
      <c r="S42" s="114"/>
      <c r="T42" s="118">
        <f>SUMIF(PRIOR!$A:$A,$A42,PRIOR!$P:$P)</f>
        <v>0</v>
      </c>
      <c r="U42" s="114">
        <f>+T42/'P&amp;L Summary'!T$21</f>
        <v>0</v>
      </c>
      <c r="V42" s="116">
        <f t="shared" si="8"/>
        <v>0</v>
      </c>
      <c r="W42" s="2"/>
      <c r="X42" s="2"/>
      <c r="Y42" s="8"/>
      <c r="Z42" s="8"/>
    </row>
    <row r="43" ht="12.75" customHeight="1">
      <c r="A43" s="8" t="s">
        <v>123</v>
      </c>
      <c r="B43" s="117">
        <f>SUMIF(ACTUAL!$A:$A,$A43,ACTUAL!$O:$O)</f>
        <v>0</v>
      </c>
      <c r="C43" s="114">
        <f>+B43/'P&amp;L Summary'!B$21</f>
        <v>0</v>
      </c>
      <c r="D43" s="114"/>
      <c r="E43" s="118">
        <f>SUMIF(BUDGET!$A:$A,$A43,BUDGET!$O:$O)</f>
        <v>0</v>
      </c>
      <c r="F43" s="114">
        <f>+E43/'P&amp;L Summary'!E$21</f>
        <v>0</v>
      </c>
      <c r="G43" s="114">
        <f t="shared" si="5"/>
        <v>0</v>
      </c>
      <c r="H43" s="114"/>
      <c r="I43" s="118">
        <f>SUMIF(PRIOR!$A:$A,$A43,PRIOR!$O:$O)</f>
        <v>0</v>
      </c>
      <c r="J43" s="114">
        <f>+I43/'P&amp;L Summary'!I$21</f>
        <v>0</v>
      </c>
      <c r="K43" s="116">
        <f t="shared" si="6"/>
        <v>0</v>
      </c>
      <c r="L43" s="115"/>
      <c r="M43" s="117">
        <f>SUMIF(ACTUAL!$A:$A,$A43,ACTUAL!$P:$P)</f>
        <v>0</v>
      </c>
      <c r="N43" s="114">
        <f>+M43/'P&amp;L Summary'!M$21</f>
        <v>0</v>
      </c>
      <c r="O43" s="114"/>
      <c r="P43" s="118">
        <f>SUMIF(BUDGET!$A:$A,$A43,BUDGET!$P:$P)</f>
        <v>0</v>
      </c>
      <c r="Q43" s="114">
        <f>+P43/'P&amp;L Summary'!P$21</f>
        <v>0</v>
      </c>
      <c r="R43" s="114">
        <f t="shared" si="7"/>
        <v>0</v>
      </c>
      <c r="S43" s="114"/>
      <c r="T43" s="118">
        <f>SUMIF(PRIOR!$A:$A,$A43,PRIOR!$P:$P)</f>
        <v>0</v>
      </c>
      <c r="U43" s="114">
        <f>+T43/'P&amp;L Summary'!T$21</f>
        <v>0</v>
      </c>
      <c r="V43" s="116">
        <f t="shared" si="8"/>
        <v>0</v>
      </c>
      <c r="W43" s="2"/>
      <c r="X43" s="2"/>
      <c r="Y43" s="8"/>
      <c r="Z43" s="8"/>
    </row>
    <row r="44" ht="12.75" customHeight="1">
      <c r="A44" s="8" t="s">
        <v>125</v>
      </c>
      <c r="B44" s="117">
        <f>SUMIF(ACTUAL!$A:$A,$A44,ACTUAL!$O:$O)</f>
        <v>0</v>
      </c>
      <c r="C44" s="114">
        <f>+B44/'P&amp;L Summary'!B$21</f>
        <v>0</v>
      </c>
      <c r="D44" s="114"/>
      <c r="E44" s="118">
        <f>SUMIF(BUDGET!$A:$A,$A44,BUDGET!$O:$O)</f>
        <v>0</v>
      </c>
      <c r="F44" s="114">
        <f>+E44/'P&amp;L Summary'!E$21</f>
        <v>0</v>
      </c>
      <c r="G44" s="114">
        <f t="shared" si="5"/>
        <v>0</v>
      </c>
      <c r="H44" s="114"/>
      <c r="I44" s="118">
        <f>SUMIF(PRIOR!$A:$A,$A44,PRIOR!$O:$O)</f>
        <v>0</v>
      </c>
      <c r="J44" s="114">
        <f>+I44/'P&amp;L Summary'!I$21</f>
        <v>0</v>
      </c>
      <c r="K44" s="116">
        <f t="shared" si="6"/>
        <v>0</v>
      </c>
      <c r="L44" s="115"/>
      <c r="M44" s="117">
        <f>SUMIF(ACTUAL!$A:$A,$A44,ACTUAL!$P:$P)</f>
        <v>0</v>
      </c>
      <c r="N44" s="114">
        <f>+M44/'P&amp;L Summary'!M$21</f>
        <v>0</v>
      </c>
      <c r="O44" s="114"/>
      <c r="P44" s="118">
        <f>SUMIF(BUDGET!$A:$A,$A44,BUDGET!$P:$P)</f>
        <v>0</v>
      </c>
      <c r="Q44" s="114">
        <f>+P44/'P&amp;L Summary'!P$21</f>
        <v>0</v>
      </c>
      <c r="R44" s="114">
        <f t="shared" si="7"/>
        <v>0</v>
      </c>
      <c r="S44" s="114"/>
      <c r="T44" s="118">
        <f>SUMIF(PRIOR!$A:$A,$A44,PRIOR!$P:$P)</f>
        <v>0</v>
      </c>
      <c r="U44" s="114">
        <f>+T44/'P&amp;L Summary'!T$21</f>
        <v>0</v>
      </c>
      <c r="V44" s="116">
        <f t="shared" si="8"/>
        <v>0</v>
      </c>
      <c r="W44" s="2"/>
      <c r="X44" s="2"/>
      <c r="Y44" s="8"/>
      <c r="Z44" s="8"/>
    </row>
    <row r="45" ht="12.75" customHeight="1">
      <c r="A45" s="8" t="s">
        <v>126</v>
      </c>
      <c r="B45" s="117">
        <f>SUMIF(ACTUAL!$A:$A,$A45,ACTUAL!$O:$O)</f>
        <v>580.51</v>
      </c>
      <c r="C45" s="114">
        <f>+B45/'P&amp;L Summary'!B$21</f>
        <v>0.001356353135</v>
      </c>
      <c r="D45" s="114"/>
      <c r="E45" s="118">
        <f>SUMIF(BUDGET!$A:$A,$A45,BUDGET!$O:$O)</f>
        <v>3551</v>
      </c>
      <c r="F45" s="114">
        <f>+E45/'P&amp;L Summary'!E$21</f>
        <v>0.007883315388</v>
      </c>
      <c r="G45" s="114">
        <f t="shared" si="5"/>
        <v>-0.8365221064</v>
      </c>
      <c r="H45" s="114"/>
      <c r="I45" s="118">
        <f>SUMIF(PRIOR!$A:$A,$A45,PRIOR!$O:$O)</f>
        <v>2707.5</v>
      </c>
      <c r="J45" s="114">
        <f>+I45/'P&amp;L Summary'!I$21</f>
        <v>0.00664384782</v>
      </c>
      <c r="K45" s="116">
        <f t="shared" si="6"/>
        <v>-0.7855918744</v>
      </c>
      <c r="L45" s="115"/>
      <c r="M45" s="117">
        <f>SUMIF(ACTUAL!$A:$A,$A45,ACTUAL!$P:$P)</f>
        <v>4032.59</v>
      </c>
      <c r="N45" s="114">
        <f>+M45/'P&amp;L Summary'!M$21</f>
        <v>0.002051347054</v>
      </c>
      <c r="O45" s="114"/>
      <c r="P45" s="118">
        <f>SUMIF(BUDGET!$A:$A,$A45,BUDGET!$P:$P)</f>
        <v>17069</v>
      </c>
      <c r="Q45" s="114">
        <f>+P45/'P&amp;L Summary'!P$21</f>
        <v>0.00805993886</v>
      </c>
      <c r="R45" s="114">
        <f t="shared" si="7"/>
        <v>-0.7637477298</v>
      </c>
      <c r="S45" s="114"/>
      <c r="T45" s="118">
        <f>SUMIF(PRIOR!$A:$A,$A45,PRIOR!$P:$P)</f>
        <v>14254.97</v>
      </c>
      <c r="U45" s="114">
        <f>+T45/'P&amp;L Summary'!T$21</f>
        <v>0.007324027587</v>
      </c>
      <c r="V45" s="116">
        <f t="shared" si="8"/>
        <v>-0.7171098922</v>
      </c>
      <c r="W45" s="2"/>
      <c r="X45" s="2"/>
      <c r="Y45" s="8"/>
      <c r="Z45" s="8"/>
    </row>
    <row r="46" ht="12.75" customHeight="1">
      <c r="A46" s="24" t="s">
        <v>128</v>
      </c>
      <c r="B46" s="139">
        <f>SUM(B37:B45)</f>
        <v>945.51</v>
      </c>
      <c r="C46" s="140">
        <f>+B46/'P&amp;L Summary'!B$21</f>
        <v>0.002209170303</v>
      </c>
      <c r="D46" s="140"/>
      <c r="E46" s="141">
        <f>SUM(E37:E45)</f>
        <v>3718</v>
      </c>
      <c r="F46" s="140">
        <f>+E46/'P&amp;L Summary'!E$21</f>
        <v>0.008254059874</v>
      </c>
      <c r="G46" s="140">
        <f t="shared" si="5"/>
        <v>-0.7456939215</v>
      </c>
      <c r="H46" s="140"/>
      <c r="I46" s="141">
        <f>SUM(I37:I45)</f>
        <v>2758.5</v>
      </c>
      <c r="J46" s="140">
        <f>+I46/'P&amp;L Summary'!I$21</f>
        <v>0.006768995092</v>
      </c>
      <c r="K46" s="142">
        <f t="shared" si="6"/>
        <v>-0.6572376291</v>
      </c>
      <c r="L46" s="143"/>
      <c r="M46" s="139">
        <f>SUM(M37:M45)</f>
        <v>4797.59</v>
      </c>
      <c r="N46" s="140">
        <f>+M46/'P&amp;L Summary'!M$21</f>
        <v>0.002440496583</v>
      </c>
      <c r="O46" s="140"/>
      <c r="P46" s="141">
        <f>SUM(P37:P45)</f>
        <v>17904</v>
      </c>
      <c r="Q46" s="140">
        <f>+P46/'P&amp;L Summary'!P$21</f>
        <v>0.008454223759</v>
      </c>
      <c r="R46" s="140">
        <f t="shared" si="7"/>
        <v>-0.732038092</v>
      </c>
      <c r="S46" s="140"/>
      <c r="T46" s="141">
        <f>SUM(T37:T45)</f>
        <v>15065.97</v>
      </c>
      <c r="U46" s="140">
        <f>+T46/'P&amp;L Summary'!T$21</f>
        <v>0.007740709374</v>
      </c>
      <c r="V46" s="142">
        <f t="shared" si="8"/>
        <v>-0.6815611607</v>
      </c>
      <c r="W46" s="47"/>
      <c r="X46" s="47"/>
      <c r="Y46" s="24"/>
      <c r="Z46" s="24"/>
    </row>
    <row r="47" ht="12.75" customHeight="1">
      <c r="A47" s="8" t="s">
        <v>130</v>
      </c>
      <c r="B47" s="117">
        <f>SUMIF(ACTUAL!$A:$A,$A47,ACTUAL!$O:$O)</f>
        <v>40298.41</v>
      </c>
      <c r="C47" s="114">
        <f>+B47/'P&amp;L Summary'!B$21</f>
        <v>0.0941566463</v>
      </c>
      <c r="D47" s="114"/>
      <c r="E47" s="118">
        <f>SUMIF(BUDGET!$A:$A,$A47,BUDGET!$O:$O)</f>
        <v>51915</v>
      </c>
      <c r="F47" s="114">
        <f>+E47/'P&amp;L Summary'!E$21</f>
        <v>0.1152526946</v>
      </c>
      <c r="G47" s="114">
        <f t="shared" si="5"/>
        <v>-0.2237617259</v>
      </c>
      <c r="H47" s="114"/>
      <c r="I47" s="118">
        <f>SUMIF(PRIOR!$A:$A,$A47,PRIOR!$O:$O)</f>
        <v>46808.39</v>
      </c>
      <c r="J47" s="114">
        <f>+I47/'P&amp;L Summary'!I$21</f>
        <v>0.114861614</v>
      </c>
      <c r="K47" s="116">
        <f t="shared" si="6"/>
        <v>-0.1390772039</v>
      </c>
      <c r="L47" s="115"/>
      <c r="M47" s="117">
        <f>SUMIF(ACTUAL!$A:$A,$A47,ACTUAL!$P:$P)</f>
        <v>185005.27</v>
      </c>
      <c r="N47" s="114">
        <f>+M47/'P&amp;L Summary'!M$21</f>
        <v>0.09411073668</v>
      </c>
      <c r="O47" s="114"/>
      <c r="P47" s="118">
        <f>SUMIF(BUDGET!$A:$A,$A47,BUDGET!$P:$P)</f>
        <v>248960</v>
      </c>
      <c r="Q47" s="114">
        <f>+P47/'P&amp;L Summary'!P$21</f>
        <v>0.1175582857</v>
      </c>
      <c r="R47" s="114">
        <f t="shared" si="7"/>
        <v>-0.2568875723</v>
      </c>
      <c r="S47" s="114"/>
      <c r="T47" s="118">
        <f>SUMIF(PRIOR!$A:$A,$A47,PRIOR!$P:$P)</f>
        <v>231840.65</v>
      </c>
      <c r="U47" s="114">
        <f>+T47/'P&amp;L Summary'!T$21</f>
        <v>0.1191168636</v>
      </c>
      <c r="V47" s="116">
        <f t="shared" si="8"/>
        <v>-0.2020153929</v>
      </c>
      <c r="W47" s="2"/>
      <c r="X47" s="2"/>
      <c r="Y47" s="8"/>
      <c r="Z47" s="8"/>
    </row>
    <row r="48" ht="12.75" customHeight="1">
      <c r="A48" s="8" t="s">
        <v>132</v>
      </c>
      <c r="B48" s="117">
        <f>SUMIF(ACTUAL!$A:$A,$A48,ACTUAL!$O:$O)</f>
        <v>35.43</v>
      </c>
      <c r="C48" s="114">
        <f>+B48/'P&amp;L Summary'!B$21</f>
        <v>0.00008278167745</v>
      </c>
      <c r="D48" s="114"/>
      <c r="E48" s="118">
        <f>SUMIF(BUDGET!$A:$A,$A48,BUDGET!$O:$O)</f>
        <v>0</v>
      </c>
      <c r="F48" s="114">
        <f>+E48/'P&amp;L Summary'!E$21</f>
        <v>0</v>
      </c>
      <c r="G48" s="114">
        <f t="shared" si="5"/>
        <v>0</v>
      </c>
      <c r="H48" s="114"/>
      <c r="I48" s="118">
        <f>SUMIF(PRIOR!$A:$A,$A48,PRIOR!$O:$O)</f>
        <v>0</v>
      </c>
      <c r="J48" s="114">
        <f>+I48/'P&amp;L Summary'!I$21</f>
        <v>0</v>
      </c>
      <c r="K48" s="116">
        <f t="shared" si="6"/>
        <v>0</v>
      </c>
      <c r="L48" s="115"/>
      <c r="M48" s="117">
        <f>SUMIF(ACTUAL!$A:$A,$A48,ACTUAL!$P:$P)</f>
        <v>136.41</v>
      </c>
      <c r="N48" s="114">
        <f>+M48/'P&amp;L Summary'!M$21</f>
        <v>0.00006939070217</v>
      </c>
      <c r="O48" s="114"/>
      <c r="P48" s="118">
        <f>SUMIF(BUDGET!$A:$A,$A48,BUDGET!$P:$P)</f>
        <v>0</v>
      </c>
      <c r="Q48" s="114">
        <f>+P48/'P&amp;L Summary'!P$21</f>
        <v>0</v>
      </c>
      <c r="R48" s="114">
        <f t="shared" si="7"/>
        <v>0</v>
      </c>
      <c r="S48" s="114"/>
      <c r="T48" s="118">
        <f>SUMIF(PRIOR!$A:$A,$A48,PRIOR!$P:$P)</f>
        <v>0</v>
      </c>
      <c r="U48" s="114">
        <f>+T48/'P&amp;L Summary'!T$21</f>
        <v>0</v>
      </c>
      <c r="V48" s="116">
        <f t="shared" si="8"/>
        <v>0</v>
      </c>
      <c r="W48" s="2"/>
      <c r="X48" s="2"/>
      <c r="Y48" s="8"/>
      <c r="Z48" s="8"/>
    </row>
    <row r="49" ht="12.75" customHeight="1">
      <c r="A49" s="8" t="s">
        <v>134</v>
      </c>
      <c r="B49" s="117">
        <f>SUMIF(ACTUAL!$A:$A,$A49,ACTUAL!$O:$O)</f>
        <v>4536.89</v>
      </c>
      <c r="C49" s="114">
        <f>+B49/'P&amp;L Summary'!B$21</f>
        <v>0.01060037721</v>
      </c>
      <c r="D49" s="114"/>
      <c r="E49" s="118">
        <f>SUMIF(BUDGET!$A:$A,$A49,BUDGET!$O:$O)</f>
        <v>5225</v>
      </c>
      <c r="F49" s="114">
        <f>+E49/'P&amp;L Summary'!E$21</f>
        <v>0.01159964036</v>
      </c>
      <c r="G49" s="114">
        <f t="shared" si="5"/>
        <v>-0.1316956938</v>
      </c>
      <c r="H49" s="114"/>
      <c r="I49" s="118">
        <f>SUMIF(PRIOR!$A:$A,$A49,PRIOR!$O:$O)</f>
        <v>5230.57</v>
      </c>
      <c r="J49" s="114">
        <f>+I49/'P&amp;L Summary'!I$21</f>
        <v>0.01283512875</v>
      </c>
      <c r="K49" s="116">
        <f t="shared" si="6"/>
        <v>-0.1326203454</v>
      </c>
      <c r="L49" s="115"/>
      <c r="M49" s="117">
        <f>SUMIF(ACTUAL!$A:$A,$A49,ACTUAL!$P:$P)</f>
        <v>26195.93</v>
      </c>
      <c r="N49" s="114">
        <f>+M49/'P&amp;L Summary'!M$21</f>
        <v>0.0133256651</v>
      </c>
      <c r="O49" s="114"/>
      <c r="P49" s="118">
        <f>SUMIF(BUDGET!$A:$A,$A49,BUDGET!$P:$P)</f>
        <v>25115</v>
      </c>
      <c r="Q49" s="114">
        <f>+P49/'P&amp;L Summary'!P$21</f>
        <v>0.01185923982</v>
      </c>
      <c r="R49" s="114">
        <f t="shared" si="7"/>
        <v>0.04303921959</v>
      </c>
      <c r="S49" s="114"/>
      <c r="T49" s="118">
        <f>SUMIF(PRIOR!$A:$A,$A49,PRIOR!$P:$P)</f>
        <v>29483.14</v>
      </c>
      <c r="U49" s="114">
        <f>+T49/'P&amp;L Summary'!T$21</f>
        <v>0.01514807332</v>
      </c>
      <c r="V49" s="116">
        <f t="shared" si="8"/>
        <v>-0.1114945694</v>
      </c>
      <c r="W49" s="2"/>
      <c r="X49" s="2"/>
      <c r="Y49" s="8"/>
      <c r="Z49" s="8"/>
    </row>
    <row r="50" ht="12.75" customHeight="1">
      <c r="A50" s="8" t="s">
        <v>136</v>
      </c>
      <c r="B50" s="117">
        <f>SUMIF(ACTUAL!$A:$A,$A50,ACTUAL!$O:$O)</f>
        <v>2000</v>
      </c>
      <c r="C50" s="114">
        <f>+B50/'P&amp;L Summary'!B$21</f>
        <v>0.004672970785</v>
      </c>
      <c r="D50" s="114"/>
      <c r="E50" s="118">
        <f>SUMIF(BUDGET!$A:$A,$A50,BUDGET!$O:$O)</f>
        <v>2000</v>
      </c>
      <c r="F50" s="114">
        <f>+E50/'P&amp;L Summary'!E$21</f>
        <v>0.004440053725</v>
      </c>
      <c r="G50" s="114">
        <f t="shared" si="5"/>
        <v>0</v>
      </c>
      <c r="H50" s="114"/>
      <c r="I50" s="118">
        <f>SUMIF(PRIOR!$A:$A,$A50,PRIOR!$O:$O)</f>
        <v>2000</v>
      </c>
      <c r="J50" s="114">
        <f>+I50/'P&amp;L Summary'!I$21</f>
        <v>0.004907736155</v>
      </c>
      <c r="K50" s="116">
        <f t="shared" si="6"/>
        <v>0</v>
      </c>
      <c r="L50" s="115"/>
      <c r="M50" s="117">
        <f>SUMIF(ACTUAL!$A:$A,$A50,ACTUAL!$P:$P)</f>
        <v>10000</v>
      </c>
      <c r="N50" s="114">
        <f>+M50/'P&amp;L Summary'!M$21</f>
        <v>0.005086921939</v>
      </c>
      <c r="O50" s="114"/>
      <c r="P50" s="118">
        <f>SUMIF(BUDGET!$A:$A,$A50,BUDGET!$P:$P)</f>
        <v>10000</v>
      </c>
      <c r="Q50" s="114">
        <f>+P50/'P&amp;L Summary'!P$21</f>
        <v>0.004721974843</v>
      </c>
      <c r="R50" s="114">
        <f t="shared" si="7"/>
        <v>0</v>
      </c>
      <c r="S50" s="114"/>
      <c r="T50" s="118">
        <f>SUMIF(PRIOR!$A:$A,$A50,PRIOR!$P:$P)</f>
        <v>10000</v>
      </c>
      <c r="U50" s="114">
        <f>+T50/'P&amp;L Summary'!T$21</f>
        <v>0.005137876535</v>
      </c>
      <c r="V50" s="116">
        <f t="shared" si="8"/>
        <v>0</v>
      </c>
      <c r="W50" s="2"/>
      <c r="X50" s="2"/>
      <c r="Y50" s="8"/>
      <c r="Z50" s="8"/>
    </row>
    <row r="51" ht="12.75" customHeight="1">
      <c r="A51" s="8" t="s">
        <v>137</v>
      </c>
      <c r="B51" s="117">
        <f>SUMIF(ACTUAL!$A:$A,$A51,ACTUAL!$O:$O)</f>
        <v>660.28</v>
      </c>
      <c r="C51" s="114">
        <f>+B51/'P&amp;L Summary'!B$21</f>
        <v>0.001542734575</v>
      </c>
      <c r="D51" s="114"/>
      <c r="E51" s="118">
        <f>SUMIF(BUDGET!$A:$A,$A51,BUDGET!$O:$O)</f>
        <v>838</v>
      </c>
      <c r="F51" s="114">
        <f>+E51/'P&amp;L Summary'!E$21</f>
        <v>0.001860382511</v>
      </c>
      <c r="G51" s="114">
        <f t="shared" si="5"/>
        <v>-0.2120763723</v>
      </c>
      <c r="H51" s="114"/>
      <c r="I51" s="118">
        <f>SUMIF(PRIOR!$A:$A,$A51,PRIOR!$O:$O)</f>
        <v>638.67</v>
      </c>
      <c r="J51" s="114">
        <f>+I51/'P&amp;L Summary'!I$21</f>
        <v>0.001567211925</v>
      </c>
      <c r="K51" s="116">
        <f t="shared" si="6"/>
        <v>0.03383594031</v>
      </c>
      <c r="L51" s="115"/>
      <c r="M51" s="117">
        <f>SUMIF(ACTUAL!$A:$A,$A51,ACTUAL!$P:$P)</f>
        <v>5454.22</v>
      </c>
      <c r="N51" s="114">
        <f>+M51/'P&amp;L Summary'!M$21</f>
        <v>0.002774519138</v>
      </c>
      <c r="O51" s="114"/>
      <c r="P51" s="118">
        <f>SUMIF(BUDGET!$A:$A,$A51,BUDGET!$P:$P)</f>
        <v>4190</v>
      </c>
      <c r="Q51" s="114">
        <f>+P51/'P&amp;L Summary'!P$21</f>
        <v>0.001978507459</v>
      </c>
      <c r="R51" s="114">
        <f t="shared" si="7"/>
        <v>0.3017231504</v>
      </c>
      <c r="S51" s="114"/>
      <c r="T51" s="118">
        <f>SUMIF(PRIOR!$A:$A,$A51,PRIOR!$P:$P)</f>
        <v>3727.73</v>
      </c>
      <c r="U51" s="114">
        <f>+T51/'P&amp;L Summary'!T$21</f>
        <v>0.00191526165</v>
      </c>
      <c r="V51" s="116">
        <f t="shared" si="8"/>
        <v>0.4631478138</v>
      </c>
      <c r="W51" s="2"/>
      <c r="X51" s="2"/>
      <c r="Y51" s="8"/>
      <c r="Z51" s="8"/>
    </row>
    <row r="52" ht="12.75" customHeight="1">
      <c r="A52" s="8" t="s">
        <v>138</v>
      </c>
      <c r="B52" s="117">
        <f>SUMIF(ACTUAL!$A:$A,$A52,ACTUAL!$O:$O)</f>
        <v>0</v>
      </c>
      <c r="C52" s="114">
        <f>+B52/'P&amp;L Summary'!B$21</f>
        <v>0</v>
      </c>
      <c r="D52" s="114"/>
      <c r="E52" s="118">
        <f>SUMIF(BUDGET!$A:$A,$A52,BUDGET!$O:$O)</f>
        <v>0</v>
      </c>
      <c r="F52" s="114">
        <f>+E52/'P&amp;L Summary'!E$21</f>
        <v>0</v>
      </c>
      <c r="G52" s="114">
        <f t="shared" si="5"/>
        <v>0</v>
      </c>
      <c r="H52" s="114"/>
      <c r="I52" s="118">
        <f>SUMIF(PRIOR!$A:$A,$A52,PRIOR!$O:$O)</f>
        <v>0</v>
      </c>
      <c r="J52" s="114">
        <f>+I52/'P&amp;L Summary'!I$21</f>
        <v>0</v>
      </c>
      <c r="K52" s="116">
        <f t="shared" si="6"/>
        <v>0</v>
      </c>
      <c r="L52" s="115"/>
      <c r="M52" s="117">
        <f>SUMIF(ACTUAL!$A:$A,$A52,ACTUAL!$P:$P)</f>
        <v>0</v>
      </c>
      <c r="N52" s="114">
        <f>+M52/'P&amp;L Summary'!M$21</f>
        <v>0</v>
      </c>
      <c r="O52" s="114"/>
      <c r="P52" s="118">
        <f>SUMIF(BUDGET!$A:$A,$A52,BUDGET!$P:$P)</f>
        <v>0</v>
      </c>
      <c r="Q52" s="114">
        <f>+P52/'P&amp;L Summary'!P$21</f>
        <v>0</v>
      </c>
      <c r="R52" s="114">
        <f t="shared" si="7"/>
        <v>0</v>
      </c>
      <c r="S52" s="114"/>
      <c r="T52" s="118">
        <f>SUMIF(PRIOR!$A:$A,$A52,PRIOR!$P:$P)</f>
        <v>0</v>
      </c>
      <c r="U52" s="114">
        <f>+T52/'P&amp;L Summary'!T$21</f>
        <v>0</v>
      </c>
      <c r="V52" s="116">
        <f t="shared" si="8"/>
        <v>0</v>
      </c>
      <c r="W52" s="2"/>
      <c r="X52" s="2"/>
      <c r="Y52" s="8"/>
      <c r="Z52" s="8"/>
    </row>
    <row r="53" ht="12.75" customHeight="1">
      <c r="A53" s="8" t="s">
        <v>139</v>
      </c>
      <c r="B53" s="117">
        <f>SUMIF(ACTUAL!$A:$A,$A53,ACTUAL!$O:$O)</f>
        <v>0</v>
      </c>
      <c r="C53" s="114">
        <f>+B53/'P&amp;L Summary'!B$21</f>
        <v>0</v>
      </c>
      <c r="D53" s="114"/>
      <c r="E53" s="118">
        <f>SUMIF(BUDGET!$A:$A,$A53,BUDGET!$O:$O)</f>
        <v>0</v>
      </c>
      <c r="F53" s="114">
        <f>+E53/'P&amp;L Summary'!E$21</f>
        <v>0</v>
      </c>
      <c r="G53" s="114">
        <f t="shared" si="5"/>
        <v>0</v>
      </c>
      <c r="H53" s="114"/>
      <c r="I53" s="118">
        <f>SUMIF(PRIOR!$A:$A,$A53,PRIOR!$O:$O)</f>
        <v>0</v>
      </c>
      <c r="J53" s="114">
        <f>+I53/'P&amp;L Summary'!I$21</f>
        <v>0</v>
      </c>
      <c r="K53" s="116">
        <f t="shared" si="6"/>
        <v>0</v>
      </c>
      <c r="L53" s="115"/>
      <c r="M53" s="117">
        <f>SUMIF(ACTUAL!$A:$A,$A53,ACTUAL!$P:$P)</f>
        <v>0</v>
      </c>
      <c r="N53" s="114">
        <f>+M53/'P&amp;L Summary'!M$21</f>
        <v>0</v>
      </c>
      <c r="O53" s="114"/>
      <c r="P53" s="118">
        <f>SUMIF(BUDGET!$A:$A,$A53,BUDGET!$P:$P)</f>
        <v>0</v>
      </c>
      <c r="Q53" s="114">
        <f>+P53/'P&amp;L Summary'!P$21</f>
        <v>0</v>
      </c>
      <c r="R53" s="114">
        <f t="shared" si="7"/>
        <v>0</v>
      </c>
      <c r="S53" s="114"/>
      <c r="T53" s="118">
        <f>SUMIF(PRIOR!$A:$A,$A53,PRIOR!$P:$P)</f>
        <v>0</v>
      </c>
      <c r="U53" s="114">
        <f>+T53/'P&amp;L Summary'!T$21</f>
        <v>0</v>
      </c>
      <c r="V53" s="116">
        <f t="shared" si="8"/>
        <v>0</v>
      </c>
      <c r="W53" s="2"/>
      <c r="X53" s="2"/>
      <c r="Y53" s="8"/>
      <c r="Z53" s="8"/>
    </row>
    <row r="54" ht="12.75" customHeight="1">
      <c r="A54" s="8" t="s">
        <v>140</v>
      </c>
      <c r="B54" s="117">
        <f>SUMIF(ACTUAL!$A:$A,$A54,ACTUAL!$O:$O)</f>
        <v>380</v>
      </c>
      <c r="C54" s="114">
        <f>+B54/'P&amp;L Summary'!B$21</f>
        <v>0.0008878644491</v>
      </c>
      <c r="D54" s="114"/>
      <c r="E54" s="118">
        <f>SUMIF(BUDGET!$A:$A,$A54,BUDGET!$O:$O)</f>
        <v>0</v>
      </c>
      <c r="F54" s="114">
        <f>+E54/'P&amp;L Summary'!E$21</f>
        <v>0</v>
      </c>
      <c r="G54" s="114">
        <f t="shared" si="5"/>
        <v>0</v>
      </c>
      <c r="H54" s="114"/>
      <c r="I54" s="118">
        <f>SUMIF(PRIOR!$A:$A,$A54,PRIOR!$O:$O)</f>
        <v>495</v>
      </c>
      <c r="J54" s="114">
        <f>+I54/'P&amp;L Summary'!I$21</f>
        <v>0.001214664698</v>
      </c>
      <c r="K54" s="116">
        <f t="shared" si="6"/>
        <v>-0.2323232323</v>
      </c>
      <c r="L54" s="115"/>
      <c r="M54" s="117">
        <f>SUMIF(ACTUAL!$A:$A,$A54,ACTUAL!$P:$P)</f>
        <v>-1576</v>
      </c>
      <c r="N54" s="114">
        <f>+M54/'P&amp;L Summary'!M$21</f>
        <v>-0.0008016988976</v>
      </c>
      <c r="O54" s="114"/>
      <c r="P54" s="118">
        <f>SUMIF(BUDGET!$A:$A,$A54,BUDGET!$P:$P)</f>
        <v>0</v>
      </c>
      <c r="Q54" s="114">
        <f>+P54/'P&amp;L Summary'!P$21</f>
        <v>0</v>
      </c>
      <c r="R54" s="114">
        <f t="shared" si="7"/>
        <v>0</v>
      </c>
      <c r="S54" s="114"/>
      <c r="T54" s="118">
        <f>SUMIF(PRIOR!$A:$A,$A54,PRIOR!$P:$P)</f>
        <v>150</v>
      </c>
      <c r="U54" s="114">
        <f>+T54/'P&amp;L Summary'!T$21</f>
        <v>0.00007706814803</v>
      </c>
      <c r="V54" s="116">
        <f t="shared" si="8"/>
        <v>-11.50666667</v>
      </c>
      <c r="W54" s="2"/>
      <c r="X54" s="2"/>
      <c r="Y54" s="8"/>
      <c r="Z54" s="8"/>
    </row>
    <row r="55" ht="12.75" customHeight="1">
      <c r="A55" s="8" t="s">
        <v>142</v>
      </c>
      <c r="B55" s="117">
        <f>SUMIF(ACTUAL!$A:$A,$A55,ACTUAL!$O:$O)</f>
        <v>4500.01</v>
      </c>
      <c r="C55" s="114">
        <f>+B55/'P&amp;L Summary'!B$21</f>
        <v>0.01051420763</v>
      </c>
      <c r="D55" s="114"/>
      <c r="E55" s="118">
        <f>SUMIF(BUDGET!$A:$A,$A55,BUDGET!$O:$O)</f>
        <v>3083</v>
      </c>
      <c r="F55" s="114">
        <f>+E55/'P&amp;L Summary'!E$21</f>
        <v>0.006844342817</v>
      </c>
      <c r="G55" s="114">
        <f t="shared" si="5"/>
        <v>0.4596204995</v>
      </c>
      <c r="H55" s="114"/>
      <c r="I55" s="118">
        <f>SUMIF(PRIOR!$A:$A,$A55,PRIOR!$O:$O)</f>
        <v>4500.01</v>
      </c>
      <c r="J55" s="114">
        <f>+I55/'P&amp;L Summary'!I$21</f>
        <v>0.01104243089</v>
      </c>
      <c r="K55" s="116">
        <f t="shared" si="6"/>
        <v>0</v>
      </c>
      <c r="L55" s="115"/>
      <c r="M55" s="117">
        <f>SUMIF(ACTUAL!$A:$A,$A55,ACTUAL!$P:$P)</f>
        <v>22500.05</v>
      </c>
      <c r="N55" s="114">
        <f>+M55/'P&amp;L Summary'!M$21</f>
        <v>0.0114455998</v>
      </c>
      <c r="O55" s="114"/>
      <c r="P55" s="118">
        <f>SUMIF(BUDGET!$A:$A,$A55,BUDGET!$P:$P)</f>
        <v>15415</v>
      </c>
      <c r="Q55" s="114">
        <f>+P55/'P&amp;L Summary'!P$21</f>
        <v>0.007278924221</v>
      </c>
      <c r="R55" s="114">
        <f t="shared" si="7"/>
        <v>0.4596204995</v>
      </c>
      <c r="S55" s="114"/>
      <c r="T55" s="118">
        <f>SUMIF(PRIOR!$A:$A,$A55,PRIOR!$P:$P)</f>
        <v>22500.05</v>
      </c>
      <c r="U55" s="114">
        <f>+T55/'P&amp;L Summary'!T$21</f>
        <v>0.01156024789</v>
      </c>
      <c r="V55" s="116">
        <f t="shared" si="8"/>
        <v>0</v>
      </c>
      <c r="W55" s="2"/>
      <c r="X55" s="2"/>
      <c r="Y55" s="8"/>
      <c r="Z55" s="8"/>
    </row>
    <row r="56" ht="12.75" customHeight="1">
      <c r="A56" s="8" t="s">
        <v>144</v>
      </c>
      <c r="B56" s="117">
        <f>SUMIF(ACTUAL!$A:$A,$A56,ACTUAL!$O:$O)</f>
        <v>0</v>
      </c>
      <c r="C56" s="114">
        <f>+B56/'P&amp;L Summary'!B$21</f>
        <v>0</v>
      </c>
      <c r="D56" s="114"/>
      <c r="E56" s="118">
        <f>SUMIF(BUDGET!$A:$A,$A56,BUDGET!$O:$O)</f>
        <v>0</v>
      </c>
      <c r="F56" s="114">
        <f>+E56/'P&amp;L Summary'!E$21</f>
        <v>0</v>
      </c>
      <c r="G56" s="114">
        <f t="shared" si="5"/>
        <v>0</v>
      </c>
      <c r="H56" s="114"/>
      <c r="I56" s="118">
        <f>SUMIF(PRIOR!$A:$A,$A56,PRIOR!$O:$O)</f>
        <v>0</v>
      </c>
      <c r="J56" s="114">
        <f>+I56/'P&amp;L Summary'!I$21</f>
        <v>0</v>
      </c>
      <c r="K56" s="116">
        <f t="shared" si="6"/>
        <v>0</v>
      </c>
      <c r="L56" s="115"/>
      <c r="M56" s="117">
        <f>SUMIF(ACTUAL!$A:$A,$A56,ACTUAL!$P:$P)</f>
        <v>0</v>
      </c>
      <c r="N56" s="114">
        <f>+M56/'P&amp;L Summary'!M$21</f>
        <v>0</v>
      </c>
      <c r="O56" s="114"/>
      <c r="P56" s="118">
        <f>SUMIF(BUDGET!$A:$A,$A56,BUDGET!$P:$P)</f>
        <v>0</v>
      </c>
      <c r="Q56" s="114">
        <f>+P56/'P&amp;L Summary'!P$21</f>
        <v>0</v>
      </c>
      <c r="R56" s="114">
        <f t="shared" si="7"/>
        <v>0</v>
      </c>
      <c r="S56" s="114"/>
      <c r="T56" s="118">
        <f>SUMIF(PRIOR!$A:$A,$A56,PRIOR!$P:$P)</f>
        <v>0</v>
      </c>
      <c r="U56" s="114">
        <f>+T56/'P&amp;L Summary'!T$21</f>
        <v>0</v>
      </c>
      <c r="V56" s="116">
        <f t="shared" si="8"/>
        <v>0</v>
      </c>
      <c r="W56" s="2"/>
      <c r="X56" s="2"/>
      <c r="Y56" s="8"/>
      <c r="Z56" s="8"/>
    </row>
    <row r="57" ht="12.75" customHeight="1">
      <c r="A57" s="8" t="s">
        <v>146</v>
      </c>
      <c r="B57" s="117">
        <f>SUMIF(ACTUAL!$A:$A,$A57,ACTUAL!$O:$O)</f>
        <v>0</v>
      </c>
      <c r="C57" s="114">
        <f>+B57/'P&amp;L Summary'!B$21</f>
        <v>0</v>
      </c>
      <c r="D57" s="114"/>
      <c r="E57" s="118">
        <f>SUMIF(BUDGET!$A:$A,$A57,BUDGET!$O:$O)</f>
        <v>0</v>
      </c>
      <c r="F57" s="114">
        <f>+E57/'P&amp;L Summary'!E$21</f>
        <v>0</v>
      </c>
      <c r="G57" s="114">
        <f t="shared" si="5"/>
        <v>0</v>
      </c>
      <c r="H57" s="114"/>
      <c r="I57" s="118">
        <f>SUMIF(PRIOR!$A:$A,$A57,PRIOR!$O:$O)</f>
        <v>0</v>
      </c>
      <c r="J57" s="114">
        <f>+I57/'P&amp;L Summary'!I$21</f>
        <v>0</v>
      </c>
      <c r="K57" s="116">
        <f t="shared" si="6"/>
        <v>0</v>
      </c>
      <c r="L57" s="115"/>
      <c r="M57" s="117">
        <f>SUMIF(ACTUAL!$A:$A,$A57,ACTUAL!$P:$P)</f>
        <v>0</v>
      </c>
      <c r="N57" s="114">
        <f>+M57/'P&amp;L Summary'!M$21</f>
        <v>0</v>
      </c>
      <c r="O57" s="114"/>
      <c r="P57" s="118">
        <f>SUMIF(BUDGET!$A:$A,$A57,BUDGET!$P:$P)</f>
        <v>0</v>
      </c>
      <c r="Q57" s="114">
        <f>+P57/'P&amp;L Summary'!P$21</f>
        <v>0</v>
      </c>
      <c r="R57" s="114">
        <f t="shared" si="7"/>
        <v>0</v>
      </c>
      <c r="S57" s="114"/>
      <c r="T57" s="118">
        <f>SUMIF(PRIOR!$A:$A,$A57,PRIOR!$P:$P)</f>
        <v>0</v>
      </c>
      <c r="U57" s="114">
        <f>+T57/'P&amp;L Summary'!T$21</f>
        <v>0</v>
      </c>
      <c r="V57" s="116">
        <f t="shared" si="8"/>
        <v>0</v>
      </c>
      <c r="W57" s="2"/>
      <c r="X57" s="2"/>
      <c r="Y57" s="8"/>
      <c r="Z57" s="8"/>
    </row>
    <row r="58" ht="12.75" customHeight="1">
      <c r="A58" s="8" t="s">
        <v>148</v>
      </c>
      <c r="B58" s="117">
        <f>SUMIF(ACTUAL!$A:$A,$A58,ACTUAL!$O:$O)</f>
        <v>1442.8</v>
      </c>
      <c r="C58" s="114">
        <f>+B58/'P&amp;L Summary'!B$21</f>
        <v>0.003371081124</v>
      </c>
      <c r="D58" s="114"/>
      <c r="E58" s="118">
        <f>SUMIF(BUDGET!$A:$A,$A58,BUDGET!$O:$O)</f>
        <v>1038</v>
      </c>
      <c r="F58" s="114">
        <f>+E58/'P&amp;L Summary'!E$21</f>
        <v>0.002304387883</v>
      </c>
      <c r="G58" s="114">
        <f t="shared" si="5"/>
        <v>0.3899807322</v>
      </c>
      <c r="H58" s="114"/>
      <c r="I58" s="118">
        <f>SUMIF(PRIOR!$A:$A,$A58,PRIOR!$O:$O)</f>
        <v>1222.67</v>
      </c>
      <c r="J58" s="114">
        <f>+I58/'P&amp;L Summary'!I$21</f>
        <v>0.003000270882</v>
      </c>
      <c r="K58" s="116">
        <f t="shared" si="6"/>
        <v>0.1800404034</v>
      </c>
      <c r="L58" s="115"/>
      <c r="M58" s="117">
        <f>SUMIF(ACTUAL!$A:$A,$A58,ACTUAL!$P:$P)</f>
        <v>28300.78</v>
      </c>
      <c r="N58" s="114">
        <f>+M58/'P&amp;L Summary'!M$21</f>
        <v>0.01439638587</v>
      </c>
      <c r="O58" s="114"/>
      <c r="P58" s="118">
        <f>SUMIF(BUDGET!$A:$A,$A58,BUDGET!$P:$P)</f>
        <v>4979</v>
      </c>
      <c r="Q58" s="114">
        <f>+P58/'P&amp;L Summary'!P$21</f>
        <v>0.002351071274</v>
      </c>
      <c r="R58" s="114">
        <f t="shared" si="7"/>
        <v>4.684028921</v>
      </c>
      <c r="S58" s="114"/>
      <c r="T58" s="118">
        <f>SUMIF(PRIOR!$A:$A,$A58,PRIOR!$P:$P)</f>
        <v>25578.47</v>
      </c>
      <c r="U58" s="114">
        <f>+T58/'P&amp;L Summary'!T$21</f>
        <v>0.01314190208</v>
      </c>
      <c r="V58" s="116">
        <f t="shared" si="8"/>
        <v>0.1064297435</v>
      </c>
      <c r="W58" s="2"/>
      <c r="X58" s="2"/>
      <c r="Y58" s="8"/>
      <c r="Z58" s="8"/>
    </row>
    <row r="59" ht="12.75" customHeight="1">
      <c r="A59" s="8" t="s">
        <v>149</v>
      </c>
      <c r="B59" s="117">
        <f>SUMIF(ACTUAL!$A:$A,$A59,ACTUAL!$O:$O)</f>
        <v>1512.13</v>
      </c>
      <c r="C59" s="114">
        <f>+B59/'P&amp;L Summary'!B$21</f>
        <v>0.003533069656</v>
      </c>
      <c r="D59" s="114"/>
      <c r="E59" s="118">
        <f>SUMIF(BUDGET!$A:$A,$A59,BUDGET!$O:$O)</f>
        <v>-109</v>
      </c>
      <c r="F59" s="114">
        <f>+E59/'P&amp;L Summary'!E$21</f>
        <v>-0.000241982928</v>
      </c>
      <c r="G59" s="114">
        <f t="shared" si="5"/>
        <v>-14.87275229</v>
      </c>
      <c r="H59" s="114"/>
      <c r="I59" s="118">
        <f>SUMIF(PRIOR!$A:$A,$A59,PRIOR!$O:$O)</f>
        <v>3045.89</v>
      </c>
      <c r="J59" s="114">
        <f>+I59/'P&amp;L Summary'!I$21</f>
        <v>0.007474212239</v>
      </c>
      <c r="K59" s="116">
        <f t="shared" si="6"/>
        <v>-0.5035506863</v>
      </c>
      <c r="L59" s="115"/>
      <c r="M59" s="117">
        <f>SUMIF(ACTUAL!$A:$A,$A59,ACTUAL!$P:$P)</f>
        <v>-11854.54</v>
      </c>
      <c r="N59" s="114">
        <f>+M59/'P&amp;L Summary'!M$21</f>
        <v>-0.006030311961</v>
      </c>
      <c r="O59" s="114"/>
      <c r="P59" s="118">
        <f>SUMIF(BUDGET!$A:$A,$A59,BUDGET!$P:$P)</f>
        <v>-545</v>
      </c>
      <c r="Q59" s="114">
        <f>+P59/'P&amp;L Summary'!P$21</f>
        <v>-0.000257347629</v>
      </c>
      <c r="R59" s="114">
        <f t="shared" si="7"/>
        <v>20.75144954</v>
      </c>
      <c r="S59" s="114"/>
      <c r="T59" s="118">
        <f>SUMIF(PRIOR!$A:$A,$A59,PRIOR!$P:$P)</f>
        <v>-1532.56</v>
      </c>
      <c r="U59" s="114">
        <f>+T59/'P&amp;L Summary'!T$21</f>
        <v>-0.0007874104063</v>
      </c>
      <c r="V59" s="116">
        <f t="shared" si="8"/>
        <v>6.735122932</v>
      </c>
      <c r="W59" s="2"/>
      <c r="X59" s="2"/>
      <c r="Y59" s="8"/>
      <c r="Z59" s="8"/>
    </row>
    <row r="60" ht="12.75" customHeight="1">
      <c r="A60" s="8" t="s">
        <v>151</v>
      </c>
      <c r="B60" s="117">
        <f>SUMIF(ACTUAL!$A:$A,$A60,ACTUAL!$O:$O)</f>
        <v>0</v>
      </c>
      <c r="C60" s="114">
        <f>+B60/'P&amp;L Summary'!B$21</f>
        <v>0</v>
      </c>
      <c r="D60" s="114"/>
      <c r="E60" s="118">
        <f>SUMIF(BUDGET!$A:$A,$A60,BUDGET!$O:$O)</f>
        <v>0</v>
      </c>
      <c r="F60" s="114">
        <f>+E60/'P&amp;L Summary'!E$21</f>
        <v>0</v>
      </c>
      <c r="G60" s="114">
        <f t="shared" si="5"/>
        <v>0</v>
      </c>
      <c r="H60" s="114"/>
      <c r="I60" s="118">
        <f>SUMIF(PRIOR!$A:$A,$A60,PRIOR!$O:$O)</f>
        <v>0</v>
      </c>
      <c r="J60" s="114">
        <f>+I60/'P&amp;L Summary'!I$21</f>
        <v>0</v>
      </c>
      <c r="K60" s="116">
        <f t="shared" si="6"/>
        <v>0</v>
      </c>
      <c r="L60" s="115"/>
      <c r="M60" s="117">
        <f>SUMIF(ACTUAL!$A:$A,$A60,ACTUAL!$P:$P)</f>
        <v>0</v>
      </c>
      <c r="N60" s="114">
        <f>+M60/'P&amp;L Summary'!M$21</f>
        <v>0</v>
      </c>
      <c r="O60" s="114"/>
      <c r="P60" s="118">
        <f>SUMIF(BUDGET!$A:$A,$A60,BUDGET!$P:$P)</f>
        <v>0</v>
      </c>
      <c r="Q60" s="114">
        <f>+P60/'P&amp;L Summary'!P$21</f>
        <v>0</v>
      </c>
      <c r="R60" s="114">
        <f t="shared" si="7"/>
        <v>0</v>
      </c>
      <c r="S60" s="114"/>
      <c r="T60" s="118">
        <f>SUMIF(PRIOR!$A:$A,$A60,PRIOR!$P:$P)</f>
        <v>0</v>
      </c>
      <c r="U60" s="114">
        <f>+T60/'P&amp;L Summary'!T$21</f>
        <v>0</v>
      </c>
      <c r="V60" s="116">
        <f t="shared" si="8"/>
        <v>0</v>
      </c>
      <c r="W60" s="2"/>
      <c r="X60" s="2"/>
      <c r="Y60" s="8"/>
      <c r="Z60" s="8"/>
    </row>
    <row r="61" ht="12.75" customHeight="1">
      <c r="A61" s="8" t="s">
        <v>152</v>
      </c>
      <c r="B61" s="117">
        <f>SUMIF(ACTUAL!$A:$A,$A61,ACTUAL!$O:$O)</f>
        <v>-37.53</v>
      </c>
      <c r="C61" s="114">
        <f>+B61/'P&amp;L Summary'!B$21</f>
        <v>-0.00008768829677</v>
      </c>
      <c r="D61" s="114"/>
      <c r="E61" s="118">
        <f>SUMIF(BUDGET!$A:$A,$A61,BUDGET!$O:$O)</f>
        <v>271</v>
      </c>
      <c r="F61" s="114">
        <f>+E61/'P&amp;L Summary'!E$21</f>
        <v>0.0006016272797</v>
      </c>
      <c r="G61" s="114">
        <f t="shared" si="5"/>
        <v>-1.138487085</v>
      </c>
      <c r="H61" s="114"/>
      <c r="I61" s="118">
        <f>SUMIF(PRIOR!$A:$A,$A61,PRIOR!$O:$O)</f>
        <v>295.69</v>
      </c>
      <c r="J61" s="114">
        <f>+I61/'P&amp;L Summary'!I$21</f>
        <v>0.0007255842519</v>
      </c>
      <c r="K61" s="116">
        <f t="shared" si="6"/>
        <v>-1.126923467</v>
      </c>
      <c r="L61" s="115"/>
      <c r="M61" s="117">
        <f>SUMIF(ACTUAL!$A:$A,$A61,ACTUAL!$P:$P)</f>
        <v>737.79</v>
      </c>
      <c r="N61" s="114">
        <f>+M61/'P&amp;L Summary'!M$21</f>
        <v>0.0003753080138</v>
      </c>
      <c r="O61" s="114"/>
      <c r="P61" s="118">
        <f>SUMIF(BUDGET!$A:$A,$A61,BUDGET!$P:$P)</f>
        <v>1355</v>
      </c>
      <c r="Q61" s="114">
        <f>+P61/'P&amp;L Summary'!P$21</f>
        <v>0.0006398275913</v>
      </c>
      <c r="R61" s="114">
        <f t="shared" si="7"/>
        <v>-0.4555055351</v>
      </c>
      <c r="S61" s="114"/>
      <c r="T61" s="118">
        <f>SUMIF(PRIOR!$A:$A,$A61,PRIOR!$P:$P)</f>
        <v>1493.11</v>
      </c>
      <c r="U61" s="114">
        <f>+T61/'P&amp;L Summary'!T$21</f>
        <v>0.0007671414834</v>
      </c>
      <c r="V61" s="116">
        <f t="shared" si="8"/>
        <v>-0.5058702976</v>
      </c>
      <c r="W61" s="2"/>
      <c r="X61" s="2"/>
      <c r="Y61" s="8"/>
      <c r="Z61" s="8"/>
    </row>
    <row r="62" ht="12.75" customHeight="1">
      <c r="A62" s="24" t="s">
        <v>153</v>
      </c>
      <c r="B62" s="139">
        <f>SUM(B47:B61)</f>
        <v>55328.42</v>
      </c>
      <c r="C62" s="140">
        <f>+B62/'P&amp;L Summary'!B$21</f>
        <v>0.1292740451</v>
      </c>
      <c r="D62" s="140"/>
      <c r="E62" s="141">
        <f>SUM(E47:E61)</f>
        <v>64261</v>
      </c>
      <c r="F62" s="140">
        <f>+E62/'P&amp;L Summary'!E$21</f>
        <v>0.1426611462</v>
      </c>
      <c r="G62" s="140">
        <f t="shared" si="5"/>
        <v>-0.139004684</v>
      </c>
      <c r="H62" s="140"/>
      <c r="I62" s="141">
        <f>SUM(I47:I61)</f>
        <v>64236.89</v>
      </c>
      <c r="J62" s="140">
        <f>+I62/'P&amp;L Summary'!I$21</f>
        <v>0.1576288538</v>
      </c>
      <c r="K62" s="142">
        <f t="shared" si="6"/>
        <v>-0.1386815271</v>
      </c>
      <c r="L62" s="143"/>
      <c r="M62" s="139">
        <f>SUM(M47:M61)</f>
        <v>264899.91</v>
      </c>
      <c r="N62" s="140">
        <f>+M62/'P&amp;L Summary'!M$21</f>
        <v>0.1347525164</v>
      </c>
      <c r="O62" s="140"/>
      <c r="P62" s="141">
        <f>SUM(P47:P61)</f>
        <v>309469</v>
      </c>
      <c r="Q62" s="140">
        <f>+P62/'P&amp;L Summary'!P$21</f>
        <v>0.1461304833</v>
      </c>
      <c r="R62" s="140">
        <f t="shared" si="7"/>
        <v>-0.1440179469</v>
      </c>
      <c r="S62" s="140"/>
      <c r="T62" s="141">
        <f>SUM(T47:T61)</f>
        <v>323240.59</v>
      </c>
      <c r="U62" s="140">
        <f>+T62/'P&amp;L Summary'!T$21</f>
        <v>0.1660770243</v>
      </c>
      <c r="V62" s="142">
        <f t="shared" si="8"/>
        <v>-0.1804868627</v>
      </c>
      <c r="W62" s="47"/>
      <c r="X62" s="47"/>
      <c r="Y62" s="24"/>
      <c r="Z62" s="24"/>
    </row>
    <row r="63" ht="12.75" customHeight="1">
      <c r="A63" s="24" t="s">
        <v>40</v>
      </c>
      <c r="B63" s="127">
        <f>B62+B46</f>
        <v>56273.93</v>
      </c>
      <c r="C63" s="128">
        <f>+B63/'P&amp;L Summary'!B$21</f>
        <v>0.1314832154</v>
      </c>
      <c r="D63" s="128"/>
      <c r="E63" s="129">
        <f>E62+E46</f>
        <v>67979</v>
      </c>
      <c r="F63" s="128">
        <f>+E63/'P&amp;L Summary'!E$21</f>
        <v>0.1509152061</v>
      </c>
      <c r="G63" s="128">
        <f t="shared" si="5"/>
        <v>-0.1721865576</v>
      </c>
      <c r="H63" s="128"/>
      <c r="I63" s="129">
        <f>I62+I46</f>
        <v>66995.39</v>
      </c>
      <c r="J63" s="128">
        <f>+I63/'P&amp;L Summary'!I$21</f>
        <v>0.1643978489</v>
      </c>
      <c r="K63" s="130">
        <f t="shared" si="6"/>
        <v>-0.1600328023</v>
      </c>
      <c r="L63" s="131"/>
      <c r="M63" s="127">
        <f>M62+M46</f>
        <v>269697.5</v>
      </c>
      <c r="N63" s="128">
        <f>+M63/'P&amp;L Summary'!M$21</f>
        <v>0.137193013</v>
      </c>
      <c r="O63" s="128"/>
      <c r="P63" s="129">
        <f>P62+P46</f>
        <v>327373</v>
      </c>
      <c r="Q63" s="128">
        <f>+P63/'P&amp;L Summary'!P$21</f>
        <v>0.154584707</v>
      </c>
      <c r="R63" s="128">
        <f>IF(P63=0,0,+(M63-P63)/P63)</f>
        <v>-0.1761767159</v>
      </c>
      <c r="S63" s="128"/>
      <c r="T63" s="129">
        <f>T62+T46</f>
        <v>338306.56</v>
      </c>
      <c r="U63" s="128">
        <f>+T63/'P&amp;L Summary'!T$21</f>
        <v>0.1738177336</v>
      </c>
      <c r="V63" s="130">
        <f t="shared" si="8"/>
        <v>-0.2028014473</v>
      </c>
      <c r="W63" s="47"/>
      <c r="X63" s="47"/>
      <c r="Y63" s="24"/>
      <c r="Z63" s="24"/>
    </row>
    <row r="64" ht="12.75" customHeight="1">
      <c r="A64" s="71" t="s">
        <v>59</v>
      </c>
      <c r="B64" s="90">
        <f>B63-'Opex Summary'!B20</f>
        <v>0</v>
      </c>
      <c r="C64" s="73"/>
      <c r="D64" s="73"/>
      <c r="E64" s="90">
        <f>E63-'Opex Summary'!E20</f>
        <v>-1</v>
      </c>
      <c r="F64" s="73"/>
      <c r="G64" s="73"/>
      <c r="H64" s="73"/>
      <c r="I64" s="90">
        <f>I63-'Opex Summary'!I20</f>
        <v>0</v>
      </c>
      <c r="J64" s="73"/>
      <c r="K64" s="73"/>
      <c r="L64" s="73"/>
      <c r="M64" s="90">
        <f>M63-'Opex Summary'!M20</f>
        <v>0</v>
      </c>
      <c r="N64" s="73"/>
      <c r="O64" s="73"/>
      <c r="P64" s="90">
        <f>P63-'Opex Summary'!P20</f>
        <v>-2</v>
      </c>
      <c r="Q64" s="73"/>
      <c r="R64" s="73"/>
      <c r="S64" s="73"/>
      <c r="T64" s="90">
        <f>T63-'Opex Summary'!T20</f>
        <v>0</v>
      </c>
      <c r="U64" s="73"/>
      <c r="V64" s="73"/>
      <c r="W64" s="73"/>
      <c r="X64" s="73"/>
      <c r="Y64" s="71"/>
      <c r="Z64" s="71"/>
    </row>
    <row r="65" ht="12.75" customHeight="1">
      <c r="A65" s="2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8"/>
      <c r="Z65" s="8"/>
    </row>
    <row r="66" ht="12.75" customHeight="1">
      <c r="A66" s="2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8"/>
      <c r="Z66" s="8"/>
    </row>
    <row r="67" ht="12.75" customHeight="1">
      <c r="A67" s="2"/>
      <c r="B67" s="118"/>
      <c r="C67" s="150"/>
      <c r="D67" s="150"/>
      <c r="E67" s="150"/>
      <c r="F67" s="150"/>
      <c r="G67" s="150"/>
      <c r="H67" s="150"/>
      <c r="I67" s="150"/>
      <c r="J67" s="2"/>
      <c r="K67" s="2"/>
      <c r="L67" s="2"/>
      <c r="M67" s="118"/>
      <c r="N67" s="2"/>
      <c r="O67" s="2"/>
      <c r="P67" s="150"/>
      <c r="Q67" s="2"/>
      <c r="R67" s="2"/>
      <c r="S67" s="150"/>
      <c r="T67" s="150"/>
      <c r="U67" s="2"/>
      <c r="V67" s="2"/>
      <c r="W67" s="2"/>
      <c r="X67" s="2"/>
      <c r="Y67" s="8"/>
      <c r="Z67" s="8"/>
    </row>
    <row r="68" ht="12.75" customHeight="1">
      <c r="A68" s="2"/>
      <c r="B68" s="118"/>
      <c r="C68" s="150"/>
      <c r="D68" s="150"/>
      <c r="E68" s="150"/>
      <c r="F68" s="150"/>
      <c r="G68" s="150"/>
      <c r="H68" s="150"/>
      <c r="I68" s="150"/>
      <c r="J68" s="2"/>
      <c r="K68" s="2"/>
      <c r="L68" s="2"/>
      <c r="M68" s="118"/>
      <c r="N68" s="2"/>
      <c r="O68" s="2"/>
      <c r="P68" s="150"/>
      <c r="Q68" s="2"/>
      <c r="R68" s="2"/>
      <c r="S68" s="150"/>
      <c r="T68" s="150"/>
      <c r="U68" s="2"/>
      <c r="V68" s="2"/>
      <c r="W68" s="2"/>
      <c r="X68" s="2"/>
      <c r="Y68" s="8"/>
      <c r="Z68" s="8"/>
    </row>
    <row r="69" ht="12.75" customHeight="1">
      <c r="A69" s="2"/>
      <c r="B69" s="2"/>
      <c r="C69" s="11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E7:F7"/>
    <mergeCell ref="B7:C7"/>
    <mergeCell ref="I7:J7"/>
    <mergeCell ref="M7:N7"/>
    <mergeCell ref="P7:Q7"/>
    <mergeCell ref="A2:V2"/>
    <mergeCell ref="A3:V3"/>
    <mergeCell ref="B6:K6"/>
    <mergeCell ref="M6:V6"/>
    <mergeCell ref="T7:U7"/>
  </mergeCells>
  <dataValidations>
    <dataValidation type="custom" allowBlank="1" sqref="B4:N4 G9:H9 B12 E12:E13 B13:C14 E14:F14 B15 B16:C16 B17:B18 B19:C20 B21 B22:C22 B23:B27 B28:C29 B31:B33 E15:E33 I12:I33 M12:M33 P12:P33 T12:T33 A37:C37 B38:C38 B39:B47 B48:C49 B50:B59 I37:I59 M37:M59 T37:T59 A60:B60 H60:I60 L60:M60 S60:T60 B61:B62 E37:E62 I61:I62 M61:M62 P37:P62 T61:T62 E64 I64 P64 T64 B64:B68 M64:M68">
      <formula1>AND(GTE(LEN(A4),MIN((0),(10000))),LTE(LEN(A4),MAX((0),(10000))))</formula1>
    </dataValidation>
  </dataValidations>
  <printOptions horizontalCentered="1" verticalCentered="1"/>
  <pageMargins bottom="0.31" footer="0.0" header="0.0" left="0.52" right="0.56" top="0.32"/>
  <pageSetup paperSize="9" orientation="landscape"/>
  <headerFooter>
    <oddFooter>&amp;R&amp;D&amp;T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pageSetUpPr fitToPage="1"/>
  </sheetPr>
  <sheetViews>
    <sheetView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10.57"/>
    <col customWidth="1" min="2" max="2" width="25.29"/>
    <col customWidth="1" min="3" max="3" width="10.0"/>
    <col customWidth="1" min="4" max="4" width="8.14"/>
    <col customWidth="1" min="5" max="5" width="1.71"/>
    <col customWidth="1" min="6" max="6" width="9.43"/>
    <col customWidth="1" min="7" max="7" width="7.57"/>
    <col customWidth="1" min="8" max="8" width="8.14"/>
    <col customWidth="1" min="9" max="9" width="1.71"/>
    <col customWidth="1" min="10" max="10" width="10.0"/>
    <col customWidth="1" min="11" max="11" width="7.57"/>
    <col customWidth="1" min="12" max="12" width="8.14"/>
    <col customWidth="1" min="13" max="13" width="4.86"/>
    <col customWidth="1" min="14" max="14" width="10.71"/>
    <col customWidth="1" min="15" max="15" width="7.43"/>
    <col customWidth="1" min="16" max="16" width="1.71"/>
    <col customWidth="1" min="17" max="17" width="10.86"/>
    <col customWidth="1" min="18" max="18" width="7.57"/>
    <col customWidth="1" min="19" max="19" width="11.43"/>
    <col customWidth="1" min="20" max="20" width="1.71"/>
    <col customWidth="1" min="21" max="21" width="11.0"/>
    <col customWidth="1" min="22" max="22" width="7.57"/>
    <col customWidth="1" min="23" max="23" width="9.86"/>
    <col customWidth="1" min="24" max="24" width="10.43"/>
    <col customWidth="1" min="25" max="30" width="9.14"/>
  </cols>
  <sheetData>
    <row r="1" ht="12.75" customHeight="1">
      <c r="A1" s="4" t="str">
        <f>+'P&amp;L Summary'!A1:V1</f>
        <v/>
      </c>
      <c r="W1" s="8"/>
      <c r="X1" s="8"/>
      <c r="Y1" s="8"/>
      <c r="Z1" s="8"/>
      <c r="AA1" s="8"/>
      <c r="AB1" s="8"/>
      <c r="AC1" s="8"/>
      <c r="AD1" s="8"/>
    </row>
    <row r="2" ht="12.75" customHeight="1">
      <c r="A2" s="24"/>
      <c r="B2" s="4" t="s">
        <v>86</v>
      </c>
      <c r="X2" s="8"/>
      <c r="Y2" s="8"/>
      <c r="Z2" s="8"/>
      <c r="AA2" s="8"/>
      <c r="AB2" s="8"/>
      <c r="AC2" s="8"/>
      <c r="AD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2.75" customHeight="1">
      <c r="A4" s="24"/>
      <c r="B4" s="8" t="str">
        <f>CELL("FILENAME",D9)</f>
        <v>#VALUE!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2.75" customHeight="1">
      <c r="A5" s="3" t="str">
        <f>+'P&amp;L Summary'!A4:V4</f>
        <v/>
      </c>
      <c r="W5" s="8"/>
      <c r="X5" s="8"/>
      <c r="Y5" s="8"/>
      <c r="Z5" s="8"/>
      <c r="AA5" s="8"/>
      <c r="AB5" s="8"/>
      <c r="AC5" s="8"/>
      <c r="AD5" s="8"/>
    </row>
    <row r="6" ht="12.75" customHeight="1">
      <c r="A6" s="14">
        <f>'P&amp;L Summary'!A5</f>
        <v>43221</v>
      </c>
      <c r="B6" s="2"/>
      <c r="C6" s="119">
        <f>$A$6-2006993</f>
        <v>-1963772</v>
      </c>
      <c r="D6" s="2"/>
      <c r="E6" s="8"/>
      <c r="F6" s="119">
        <f>$A$6-2006995</f>
        <v>-1963774</v>
      </c>
      <c r="G6" s="2"/>
      <c r="H6" s="2"/>
      <c r="I6" s="119">
        <f>$A$6-2005980</f>
        <v>-1962759</v>
      </c>
      <c r="J6" s="119">
        <f>$A$6-2006980</f>
        <v>-1963759</v>
      </c>
      <c r="K6" s="2"/>
      <c r="L6" s="2"/>
      <c r="M6" s="2"/>
      <c r="N6" s="2">
        <v>20.0</v>
      </c>
      <c r="O6" s="2"/>
      <c r="P6" s="2"/>
      <c r="Q6" s="2">
        <v>19.0</v>
      </c>
      <c r="R6" s="2"/>
      <c r="S6" s="2"/>
      <c r="T6" s="2"/>
      <c r="U6" s="2">
        <v>33.0</v>
      </c>
      <c r="V6" s="2"/>
      <c r="W6" s="2"/>
      <c r="X6" s="2" t="s">
        <v>89</v>
      </c>
      <c r="Y6" s="2" t="s">
        <v>90</v>
      </c>
      <c r="Z6" s="2"/>
      <c r="AA6" s="2"/>
      <c r="AB6" s="2"/>
      <c r="AC6" s="8"/>
      <c r="AD6" s="8"/>
    </row>
    <row r="7" ht="12.75" customHeight="1">
      <c r="A7" s="2"/>
      <c r="B7" s="8"/>
      <c r="C7" s="120" t="s">
        <v>3</v>
      </c>
      <c r="D7" s="11"/>
      <c r="E7" s="11"/>
      <c r="F7" s="11"/>
      <c r="G7" s="11"/>
      <c r="H7" s="11"/>
      <c r="I7" s="11"/>
      <c r="J7" s="11"/>
      <c r="K7" s="11"/>
      <c r="L7" s="12"/>
      <c r="M7" s="111"/>
      <c r="N7" s="121" t="s">
        <v>4</v>
      </c>
      <c r="O7" s="11"/>
      <c r="P7" s="11"/>
      <c r="Q7" s="11"/>
      <c r="R7" s="11"/>
      <c r="S7" s="11"/>
      <c r="T7" s="11"/>
      <c r="U7" s="11"/>
      <c r="V7" s="11"/>
      <c r="W7" s="12"/>
      <c r="X7" s="2"/>
      <c r="Y7" s="2"/>
      <c r="Z7" s="2"/>
      <c r="AA7" s="2"/>
      <c r="AB7" s="2"/>
      <c r="AC7" s="8"/>
      <c r="AD7" s="8"/>
    </row>
    <row r="8" ht="12.75" customHeight="1">
      <c r="A8" s="2"/>
      <c r="B8" s="8"/>
      <c r="C8" s="19" t="s">
        <v>5</v>
      </c>
      <c r="E8" s="16"/>
      <c r="F8" s="16" t="s">
        <v>6</v>
      </c>
      <c r="I8" s="16"/>
      <c r="J8" s="16" t="s">
        <v>7</v>
      </c>
      <c r="L8" s="122"/>
      <c r="M8" s="111"/>
      <c r="N8" s="19" t="s">
        <v>5</v>
      </c>
      <c r="P8" s="16"/>
      <c r="Q8" s="16" t="s">
        <v>6</v>
      </c>
      <c r="T8" s="16"/>
      <c r="U8" s="16" t="s">
        <v>7</v>
      </c>
      <c r="W8" s="122"/>
      <c r="X8" s="2"/>
      <c r="Y8" s="2"/>
      <c r="Z8" s="2"/>
      <c r="AA8" s="2"/>
      <c r="AB8" s="2"/>
      <c r="AC8" s="8"/>
      <c r="AD8" s="8"/>
    </row>
    <row r="9" ht="12.75" customHeight="1">
      <c r="A9" s="47" t="s">
        <v>89</v>
      </c>
      <c r="B9" s="8"/>
      <c r="C9" s="19" t="s">
        <v>8</v>
      </c>
      <c r="D9" s="20" t="s">
        <v>9</v>
      </c>
      <c r="E9" s="20"/>
      <c r="F9" s="16" t="s">
        <v>8</v>
      </c>
      <c r="G9" s="20" t="s">
        <v>9</v>
      </c>
      <c r="H9" s="20" t="s">
        <v>10</v>
      </c>
      <c r="I9" s="20"/>
      <c r="J9" s="16" t="s">
        <v>8</v>
      </c>
      <c r="K9" s="20" t="s">
        <v>9</v>
      </c>
      <c r="L9" s="112" t="s">
        <v>11</v>
      </c>
      <c r="M9" s="111"/>
      <c r="N9" s="19" t="s">
        <v>8</v>
      </c>
      <c r="O9" s="20" t="s">
        <v>9</v>
      </c>
      <c r="P9" s="20"/>
      <c r="Q9" s="16" t="s">
        <v>8</v>
      </c>
      <c r="R9" s="20" t="s">
        <v>9</v>
      </c>
      <c r="S9" s="20" t="s">
        <v>10</v>
      </c>
      <c r="T9" s="20"/>
      <c r="U9" s="16" t="s">
        <v>8</v>
      </c>
      <c r="V9" s="20" t="s">
        <v>9</v>
      </c>
      <c r="W9" s="112" t="s">
        <v>11</v>
      </c>
      <c r="X9" s="2"/>
      <c r="Y9" s="2"/>
      <c r="Z9" s="2"/>
      <c r="AA9" s="2"/>
      <c r="AB9" s="2"/>
      <c r="AC9" s="8"/>
      <c r="AD9" s="8"/>
    </row>
    <row r="10" ht="12.75" customHeight="1">
      <c r="A10" s="47" t="s">
        <v>89</v>
      </c>
      <c r="B10" s="8"/>
      <c r="C10" s="109"/>
      <c r="D10" s="110" t="s">
        <v>12</v>
      </c>
      <c r="E10" s="110"/>
      <c r="F10" s="111"/>
      <c r="G10" s="110" t="s">
        <v>12</v>
      </c>
      <c r="H10" s="110" t="s">
        <v>13</v>
      </c>
      <c r="I10" s="110"/>
      <c r="J10" s="111"/>
      <c r="K10" s="110" t="s">
        <v>12</v>
      </c>
      <c r="L10" s="112" t="s">
        <v>14</v>
      </c>
      <c r="M10" s="111"/>
      <c r="N10" s="109"/>
      <c r="O10" s="110" t="s">
        <v>12</v>
      </c>
      <c r="P10" s="110"/>
      <c r="Q10" s="111"/>
      <c r="R10" s="110" t="s">
        <v>12</v>
      </c>
      <c r="S10" s="110" t="s">
        <v>13</v>
      </c>
      <c r="T10" s="110"/>
      <c r="U10" s="111"/>
      <c r="V10" s="110" t="s">
        <v>12</v>
      </c>
      <c r="W10" s="112" t="s">
        <v>14</v>
      </c>
      <c r="X10" s="2"/>
      <c r="Y10" s="2"/>
      <c r="Z10" s="2"/>
      <c r="AA10" s="2"/>
      <c r="AB10" s="2"/>
      <c r="AC10" s="8"/>
      <c r="AD10" s="8"/>
    </row>
    <row r="11" ht="12.75" customHeight="1">
      <c r="A11" s="123" t="s">
        <v>92</v>
      </c>
      <c r="B11" s="8"/>
      <c r="C11" s="109"/>
      <c r="D11" s="110"/>
      <c r="E11" s="110"/>
      <c r="F11" s="111"/>
      <c r="G11" s="110"/>
      <c r="H11" s="110"/>
      <c r="I11" s="110"/>
      <c r="J11" s="111"/>
      <c r="K11" s="110"/>
      <c r="L11" s="112"/>
      <c r="M11" s="111"/>
      <c r="N11" s="109"/>
      <c r="O11" s="110"/>
      <c r="P11" s="110"/>
      <c r="Q11" s="111"/>
      <c r="R11" s="110"/>
      <c r="S11" s="110"/>
      <c r="T11" s="110"/>
      <c r="U11" s="111"/>
      <c r="V11" s="110"/>
      <c r="W11" s="112"/>
      <c r="X11" s="2"/>
      <c r="Y11" s="2"/>
      <c r="Z11" s="2"/>
      <c r="AA11" s="2"/>
      <c r="AB11" s="2"/>
      <c r="AC11" s="8"/>
      <c r="AD11" s="8"/>
    </row>
    <row r="12" ht="12.75" customHeight="1">
      <c r="A12" s="47" t="s">
        <v>93</v>
      </c>
      <c r="B12" s="24" t="s">
        <v>78</v>
      </c>
      <c r="C12" s="113"/>
      <c r="D12" s="114"/>
      <c r="E12" s="114"/>
      <c r="F12" s="115"/>
      <c r="G12" s="114"/>
      <c r="H12" s="114"/>
      <c r="I12" s="114"/>
      <c r="J12" s="115"/>
      <c r="K12" s="114"/>
      <c r="L12" s="116"/>
      <c r="M12" s="115"/>
      <c r="N12" s="113"/>
      <c r="O12" s="114"/>
      <c r="P12" s="114"/>
      <c r="Q12" s="115"/>
      <c r="R12" s="114"/>
      <c r="S12" s="114"/>
      <c r="T12" s="114"/>
      <c r="U12" s="115"/>
      <c r="V12" s="114"/>
      <c r="W12" s="116"/>
      <c r="X12" s="2"/>
      <c r="Y12" s="2"/>
      <c r="Z12" s="2"/>
      <c r="AA12" s="2"/>
      <c r="AB12" s="2"/>
      <c r="AC12" s="8"/>
      <c r="AD12" s="8"/>
    </row>
    <row r="13" ht="12.75" customHeight="1">
      <c r="A13" s="124">
        <v>42200.0</v>
      </c>
      <c r="B13" s="8" t="s">
        <v>79</v>
      </c>
      <c r="C13" s="125">
        <f t="shared" ref="C13:C40" si="1">IF(ISERROR(VLOOKUP($X13,ess_act,C$6,FALSE)),0,VLOOKUP($X13,ess_act,C$6,FALSE))+IF(ISERROR(VLOOKUP($Z13,ess_act,C$6,FALSE)),0,VLOOKUP($Z13,ess_act,C$6,FALSE))+IF(ISERROR(VLOOKUP($Y13,ess_act,C$6,FALSE)),0,VLOOKUP($Y13,ess_act,C$6,FALSE))+IF(ISERROR(VLOOKUP($AA13,ess_act,C$6,FALSE)),0,VLOOKUP($AA13,ess_act,C$6,FALSE))</f>
        <v>0</v>
      </c>
      <c r="D13" s="114">
        <f>+C13/'P&amp;L Summary'!B$21</f>
        <v>0</v>
      </c>
      <c r="E13" s="114"/>
      <c r="F13" s="118">
        <f>IF(ISERROR(VLOOKUP($X13,ess_bud,F$6,FALSE)),0,VLOOKUP($X13,ess_bud,F$6,FALSE))+IF(ISERROR(VLOOKUP($Z13,ess_bud,F$6,FALSE)),0,VLOOKUP($Z13,ess_bud,F$6,FALSE))+IF(ISERROR(VLOOKUP($Y13,ess_bud,F$6,FALSE)),0,VLOOKUP($Y13,ess_bud,F$6,FALSE))+IF(ISERROR(VLOOKUP($AA13,ess_bud,F$6,FALSE)),0,VLOOKUP($AA13,ess_bud,F$6,FALSE))</f>
        <v>0</v>
      </c>
      <c r="G13" s="114">
        <f>+F13/'P&amp;L Summary'!E$21</f>
        <v>0</v>
      </c>
      <c r="H13" s="114">
        <f t="shared" ref="H13:H27" si="2">IF(F13=0,0,+(C13-F13)/F13)</f>
        <v>0</v>
      </c>
      <c r="I13" s="114"/>
      <c r="J13" s="118">
        <f t="shared" ref="J13:J40" si="3">IF(ISERROR(VLOOKUP($X13,ess_act,J$6,FALSE)),0,VLOOKUP($X13,ess_act,J$6,FALSE))+IF(ISERROR(VLOOKUP($Z13,ess_act,J$6,FALSE)),0,VLOOKUP($Z13,ess_act,J$6,FALSE))+IF(ISERROR(VLOOKUP($Y13,ess_act,J$6,FALSE)),0,VLOOKUP($Y13,ess_act,J$6,FALSE))+IF(ISERROR(VLOOKUP($AA13,ess_act,J$6,FALSE)),0,VLOOKUP($AA13,ess_act,J$6,FALSE))</f>
        <v>0</v>
      </c>
      <c r="K13" s="114">
        <f>+J13/'P&amp;L Summary'!I$21</f>
        <v>0</v>
      </c>
      <c r="L13" s="116">
        <f t="shared" ref="L13:L27" si="4">IF(J13=0,0,+(C13-J13)/J13)</f>
        <v>0</v>
      </c>
      <c r="M13" s="115"/>
      <c r="N13" s="125">
        <f t="shared" ref="N13:N40" si="5">IF(ISERROR(VLOOKUP($X13,ess_act,N$6,FALSE)),0,VLOOKUP($X13,ess_act,N$6,FALSE))+IF(ISERROR(VLOOKUP($Z13,ess_act,N$6,FALSE)),0,VLOOKUP($Z13,ess_act,N$6,FALSE))+IF(ISERROR(VLOOKUP($Y13,ess_act,N$6,FALSE)),0,VLOOKUP($Y13,ess_act,N$6,FALSE))+IF(ISERROR(VLOOKUP($AA13,ess_act,N$6,FALSE)),0,VLOOKUP($AA13,ess_act,N$6,FALSE))</f>
        <v>0</v>
      </c>
      <c r="O13" s="114">
        <f>+N13/'P&amp;L Summary'!M$21</f>
        <v>0</v>
      </c>
      <c r="P13" s="114"/>
      <c r="Q13" s="74">
        <f>IF(ISERROR(VLOOKUP($X13,ess_bud,Q$6,FALSE)),0,VLOOKUP($X13,ess_bud,Q$6,FALSE))+IF(ISERROR(VLOOKUP($Z13,ess_bud,Q$6,FALSE)),0,VLOOKUP($Z13,ess_bud,Q$6,FALSE))+IF(ISERROR(VLOOKUP($Y13,ess_bud,Q$6,FALSE)),0,VLOOKUP($Y13,ess_bud,Q$6,FALSE))+IF(ISERROR(VLOOKUP($AA13,ess_bud,Q$6,FALSE)),0,VLOOKUP($AA13,ess_bud,Q$6,FALSE))</f>
        <v>0</v>
      </c>
      <c r="R13" s="114">
        <f>+Q13/'P&amp;L Summary'!P$21</f>
        <v>0</v>
      </c>
      <c r="S13" s="114">
        <f t="shared" ref="S13:S27" si="6">+IF(Q13=0,0,(N13-Q13)/Q13)</f>
        <v>0</v>
      </c>
      <c r="T13" s="114"/>
      <c r="U13" s="126">
        <f t="shared" ref="U13:U40" si="7">IF(ISERROR(VLOOKUP($X13,ess_act,U$6,FALSE)),0,VLOOKUP($X13,ess_act,U$6,FALSE))+IF(ISERROR(VLOOKUP($Z13,ess_act,U$6,FALSE)),0,VLOOKUP($Z13,ess_act,U$6,FALSE))+IF(ISERROR(VLOOKUP($Y13,ess_act,U$6,FALSE)),0,VLOOKUP($Y13,ess_act,U$6,FALSE))+IF(ISERROR(VLOOKUP($AA13,ess_act,U$6,FALSE)),0,VLOOKUP($AA13,ess_act,U$6,FALSE))</f>
        <v>0</v>
      </c>
      <c r="V13" s="114">
        <f>+U13/'P&amp;L Summary'!T$21</f>
        <v>0</v>
      </c>
      <c r="W13" s="116">
        <f t="shared" ref="W13:W24" si="8">+IF(U13=0,0,(N13-U13)/U13)</f>
        <v>0</v>
      </c>
      <c r="X13" s="2" t="str">
        <f t="shared" ref="X13:X40" si="9">A13&amp;$A$9</f>
        <v>42200CS</v>
      </c>
      <c r="Y13" s="2"/>
      <c r="Z13" s="2"/>
      <c r="AA13" s="2"/>
      <c r="AB13" s="2"/>
      <c r="AC13" s="8"/>
      <c r="AD13" s="8"/>
    </row>
    <row r="14" ht="12.75" customHeight="1">
      <c r="A14" s="124">
        <v>43500.0</v>
      </c>
      <c r="B14" s="8" t="s">
        <v>98</v>
      </c>
      <c r="C14" s="125">
        <f t="shared" si="1"/>
        <v>0</v>
      </c>
      <c r="D14" s="114">
        <f>+C14/'P&amp;L Summary'!B$21</f>
        <v>0</v>
      </c>
      <c r="E14" s="114"/>
      <c r="F14" s="118">
        <f>IF(ISERROR(VLOOKUP($X14,ess_bud,F$6,FALSE)),0,VLOOKUP($X14,ess_bud,F$6,FALSE))+IF(ISERROR(VLOOKUP($Z14,ess_bud,F$6,FALSE)),0,VLOOKUP($Z14,ess_bud,F$6,FALSE))+IF(ISERROR(VLOOKUP($Y14,ess_bud,F$6,FALSE)),0,VLOOKUP($Y14,ess_bud,F$6,FALSE))+IF(ISERROR(VLOOKUP($AA14,ess_bud,F$6,FALSE)),0,VLOOKUP($AA14,ess_bud,F$6,FALSE))</f>
        <v>0</v>
      </c>
      <c r="G14" s="114">
        <f>+F14/'P&amp;L Summary'!E$21</f>
        <v>0</v>
      </c>
      <c r="H14" s="114">
        <f t="shared" si="2"/>
        <v>0</v>
      </c>
      <c r="I14" s="114"/>
      <c r="J14" s="118">
        <f t="shared" si="3"/>
        <v>0</v>
      </c>
      <c r="K14" s="114">
        <f>+J14/'P&amp;L Summary'!I$21</f>
        <v>0</v>
      </c>
      <c r="L14" s="116">
        <f t="shared" si="4"/>
        <v>0</v>
      </c>
      <c r="M14" s="115"/>
      <c r="N14" s="125">
        <f t="shared" si="5"/>
        <v>0</v>
      </c>
      <c r="O14" s="114">
        <f>+N14/'P&amp;L Summary'!M$21</f>
        <v>0</v>
      </c>
      <c r="P14" s="114"/>
      <c r="Q14" s="74">
        <f>IF(ISERROR(VLOOKUP($X14,ess_bud,Q$6,FALSE)),0,VLOOKUP($X14,ess_bud,Q$6,FALSE))+IF(ISERROR(VLOOKUP($Z14,ess_bud,Q$6,FALSE)),0,VLOOKUP($Z14,ess_bud,Q$6,FALSE))+IF(ISERROR(VLOOKUP($Y14,ess_bud,Q$6,FALSE)),0,VLOOKUP($Y14,ess_bud,Q$6,FALSE))+IF(ISERROR(VLOOKUP($AA14,ess_bud,Q$6,FALSE)),0,VLOOKUP($AA14,ess_bud,Q$6,FALSE))</f>
        <v>0</v>
      </c>
      <c r="R14" s="114">
        <f>+Q14/'P&amp;L Summary'!P$21</f>
        <v>0</v>
      </c>
      <c r="S14" s="114">
        <f t="shared" si="6"/>
        <v>0</v>
      </c>
      <c r="T14" s="114"/>
      <c r="U14" s="126">
        <f t="shared" si="7"/>
        <v>0</v>
      </c>
      <c r="V14" s="114">
        <f>+U14/'P&amp;L Summary'!T$21</f>
        <v>0</v>
      </c>
      <c r="W14" s="116">
        <f t="shared" si="8"/>
        <v>0</v>
      </c>
      <c r="X14" s="2" t="str">
        <f t="shared" si="9"/>
        <v>43500CS</v>
      </c>
      <c r="Y14" s="2"/>
      <c r="Z14" s="2"/>
      <c r="AA14" s="2"/>
      <c r="AB14" s="2"/>
      <c r="AC14" s="8"/>
      <c r="AD14" s="8"/>
    </row>
    <row r="15" ht="12.75" customHeight="1">
      <c r="A15" s="124">
        <v>45101.0</v>
      </c>
      <c r="B15" s="8" t="s">
        <v>100</v>
      </c>
      <c r="C15" s="125">
        <f t="shared" si="1"/>
        <v>0</v>
      </c>
      <c r="D15" s="114">
        <f>+C15/'P&amp;L Summary'!B$21</f>
        <v>0</v>
      </c>
      <c r="E15" s="114"/>
      <c r="F15" s="118">
        <f>IF(ISERROR(VLOOKUP($X15,ess_bud,F$6,FALSE)),0,VLOOKUP($X15,ess_bud,F$6,FALSE))+IF(ISERROR(VLOOKUP($Z15,ess_bud,F$6,FALSE)),0,VLOOKUP($Z15,ess_bud,F$6,FALSE))+IF(ISERROR(VLOOKUP($Y15,ess_bud,F$6,FALSE)),0,VLOOKUP($Y15,ess_bud,F$6,FALSE))+IF(ISERROR(VLOOKUP($AA15,ess_bud,F$6,FALSE)),0,VLOOKUP($AA15,ess_bud,F$6,FALSE))</f>
        <v>0</v>
      </c>
      <c r="G15" s="114">
        <f>+F15/'P&amp;L Summary'!E$21</f>
        <v>0</v>
      </c>
      <c r="H15" s="114">
        <f t="shared" si="2"/>
        <v>0</v>
      </c>
      <c r="I15" s="114"/>
      <c r="J15" s="118">
        <f t="shared" si="3"/>
        <v>0</v>
      </c>
      <c r="K15" s="114">
        <f>+J15/'P&amp;L Summary'!I$21</f>
        <v>0</v>
      </c>
      <c r="L15" s="116">
        <f t="shared" si="4"/>
        <v>0</v>
      </c>
      <c r="M15" s="115"/>
      <c r="N15" s="125">
        <f t="shared" si="5"/>
        <v>0</v>
      </c>
      <c r="O15" s="114">
        <f>+N15/'P&amp;L Summary'!M$21</f>
        <v>0</v>
      </c>
      <c r="P15" s="114"/>
      <c r="Q15" s="74">
        <f>IF(ISERROR(VLOOKUP($X15,ess_bud,Q$6,FALSE)),0,VLOOKUP($X15,ess_bud,Q$6,FALSE))+IF(ISERROR(VLOOKUP($Z15,ess_bud,Q$6,FALSE)),0,VLOOKUP($Z15,ess_bud,Q$6,FALSE))+IF(ISERROR(VLOOKUP($Y15,ess_bud,Q$6,FALSE)),0,VLOOKUP($Y15,ess_bud,Q$6,FALSE))+IF(ISERROR(VLOOKUP($AA15,ess_bud,Q$6,FALSE)),0,VLOOKUP($AA15,ess_bud,Q$6,FALSE))</f>
        <v>1750</v>
      </c>
      <c r="R15" s="114">
        <f>+Q15/'P&amp;L Summary'!P$21</f>
        <v>0.0008263455976</v>
      </c>
      <c r="S15" s="114">
        <f t="shared" si="6"/>
        <v>-1</v>
      </c>
      <c r="T15" s="114"/>
      <c r="U15" s="126">
        <f t="shared" si="7"/>
        <v>0</v>
      </c>
      <c r="V15" s="114">
        <f>+U15/'P&amp;L Summary'!T$21</f>
        <v>0</v>
      </c>
      <c r="W15" s="116">
        <f t="shared" si="8"/>
        <v>0</v>
      </c>
      <c r="X15" s="2" t="str">
        <f t="shared" si="9"/>
        <v>45101CS</v>
      </c>
      <c r="Y15" s="2"/>
      <c r="Z15" s="2"/>
      <c r="AA15" s="2"/>
      <c r="AB15" s="2"/>
      <c r="AC15" s="8"/>
      <c r="AD15" s="8"/>
    </row>
    <row r="16" ht="12.75" customHeight="1">
      <c r="A16" s="124">
        <v>45303.0</v>
      </c>
      <c r="B16" s="8" t="s">
        <v>80</v>
      </c>
      <c r="C16" s="125">
        <f t="shared" si="1"/>
        <v>0</v>
      </c>
      <c r="D16" s="114">
        <f>+C16/'P&amp;L Summary'!B$21</f>
        <v>0</v>
      </c>
      <c r="E16" s="114"/>
      <c r="F16" s="118">
        <f>IF(ISERROR(VLOOKUP($X16,ess_bud,F$6,FALSE)),0,VLOOKUP($X16,ess_bud,F$6,FALSE))+IF(ISERROR(VLOOKUP($Z16,ess_bud,F$6,FALSE)),0,VLOOKUP($Z16,ess_bud,F$6,FALSE))+IF(ISERROR(VLOOKUP($Y16,ess_bud,F$6,FALSE)),0,VLOOKUP($Y16,ess_bud,F$6,FALSE))+IF(ISERROR(VLOOKUP($AA16,ess_bud,F$6,FALSE)),0,VLOOKUP($AA16,ess_bud,F$6,FALSE))</f>
        <v>0</v>
      </c>
      <c r="G16" s="114">
        <f>+F16/'P&amp;L Summary'!E$21</f>
        <v>0</v>
      </c>
      <c r="H16" s="114">
        <f t="shared" si="2"/>
        <v>0</v>
      </c>
      <c r="I16" s="114"/>
      <c r="J16" s="118">
        <f t="shared" si="3"/>
        <v>0</v>
      </c>
      <c r="K16" s="114">
        <f>+J16/'P&amp;L Summary'!I$21</f>
        <v>0</v>
      </c>
      <c r="L16" s="116">
        <f t="shared" si="4"/>
        <v>0</v>
      </c>
      <c r="M16" s="115"/>
      <c r="N16" s="125">
        <f t="shared" si="5"/>
        <v>0</v>
      </c>
      <c r="O16" s="114">
        <f>+N16/'P&amp;L Summary'!M$21</f>
        <v>0</v>
      </c>
      <c r="P16" s="114"/>
      <c r="Q16" s="74">
        <f>IF(ISERROR(VLOOKUP($X16,ess_bud,Q$6,FALSE)),0,VLOOKUP($X16,ess_bud,Q$6,FALSE))+IF(ISERROR(VLOOKUP($Z16,ess_bud,Q$6,FALSE)),0,VLOOKUP($Z16,ess_bud,Q$6,FALSE))+IF(ISERROR(VLOOKUP($Y16,ess_bud,Q$6,FALSE)),0,VLOOKUP($Y16,ess_bud,Q$6,FALSE))+IF(ISERROR(VLOOKUP($AA16,ess_bud,Q$6,FALSE)),0,VLOOKUP($AA16,ess_bud,Q$6,FALSE))</f>
        <v>0</v>
      </c>
      <c r="R16" s="114">
        <f>+Q16/'P&amp;L Summary'!P$21</f>
        <v>0</v>
      </c>
      <c r="S16" s="114">
        <f t="shared" si="6"/>
        <v>0</v>
      </c>
      <c r="T16" s="114"/>
      <c r="U16" s="126">
        <f t="shared" si="7"/>
        <v>0</v>
      </c>
      <c r="V16" s="114">
        <f>+U16/'P&amp;L Summary'!T$21</f>
        <v>0</v>
      </c>
      <c r="W16" s="116">
        <f t="shared" si="8"/>
        <v>0</v>
      </c>
      <c r="X16" s="2" t="str">
        <f t="shared" si="9"/>
        <v>45303CS</v>
      </c>
      <c r="Y16" s="2"/>
      <c r="Z16" s="2"/>
      <c r="AA16" s="2"/>
      <c r="AB16" s="2"/>
      <c r="AC16" s="8"/>
      <c r="AD16" s="8"/>
    </row>
    <row r="17" ht="12.75" customHeight="1">
      <c r="A17" s="124">
        <v>45403.0</v>
      </c>
      <c r="B17" s="8" t="s">
        <v>104</v>
      </c>
      <c r="C17" s="125">
        <f t="shared" si="1"/>
        <v>0</v>
      </c>
      <c r="D17" s="114">
        <f>+C17/'P&amp;L Summary'!B$21</f>
        <v>0</v>
      </c>
      <c r="E17" s="114"/>
      <c r="F17" s="118">
        <f>IF(ISERROR(VLOOKUP($X17,ess_bud,F$6,FALSE)),0,VLOOKUP($X17,ess_bud,F$6,FALSE))+IF(ISERROR(VLOOKUP($Z17,ess_bud,F$6,FALSE)),0,VLOOKUP($Z17,ess_bud,F$6,FALSE))+IF(ISERROR(VLOOKUP($Y17,ess_bud,F$6,FALSE)),0,VLOOKUP($Y17,ess_bud,F$6,FALSE))+IF(ISERROR(VLOOKUP($AA17,ess_bud,F$6,FALSE)),0,VLOOKUP($AA17,ess_bud,F$6,FALSE))</f>
        <v>0</v>
      </c>
      <c r="G17" s="114">
        <f>+F17/'P&amp;L Summary'!E$21</f>
        <v>0</v>
      </c>
      <c r="H17" s="114">
        <f t="shared" si="2"/>
        <v>0</v>
      </c>
      <c r="I17" s="114"/>
      <c r="J17" s="118">
        <f t="shared" si="3"/>
        <v>0</v>
      </c>
      <c r="K17" s="114">
        <f>+J17/'P&amp;L Summary'!I$21</f>
        <v>0</v>
      </c>
      <c r="L17" s="116">
        <f t="shared" si="4"/>
        <v>0</v>
      </c>
      <c r="M17" s="115"/>
      <c r="N17" s="125">
        <f t="shared" si="5"/>
        <v>0</v>
      </c>
      <c r="O17" s="114">
        <f>+N17/'P&amp;L Summary'!M$21</f>
        <v>0</v>
      </c>
      <c r="P17" s="114"/>
      <c r="Q17" s="74">
        <f>IF(ISERROR(VLOOKUP($X17,ess_bud,Q$6,FALSE)),0,VLOOKUP($X17,ess_bud,Q$6,FALSE))+IF(ISERROR(VLOOKUP($Z17,ess_bud,Q$6,FALSE)),0,VLOOKUP($Z17,ess_bud,Q$6,FALSE))+IF(ISERROR(VLOOKUP($Y17,ess_bud,Q$6,FALSE)),0,VLOOKUP($Y17,ess_bud,Q$6,FALSE))+IF(ISERROR(VLOOKUP($AA17,ess_bud,Q$6,FALSE)),0,VLOOKUP($AA17,ess_bud,Q$6,FALSE))</f>
        <v>0</v>
      </c>
      <c r="R17" s="114">
        <f>+Q17/'P&amp;L Summary'!P$21</f>
        <v>0</v>
      </c>
      <c r="S17" s="114">
        <f t="shared" si="6"/>
        <v>0</v>
      </c>
      <c r="T17" s="114"/>
      <c r="U17" s="126">
        <f t="shared" si="7"/>
        <v>0</v>
      </c>
      <c r="V17" s="114">
        <f>+U17/'P&amp;L Summary'!T$21</f>
        <v>0</v>
      </c>
      <c r="W17" s="116">
        <f t="shared" si="8"/>
        <v>0</v>
      </c>
      <c r="X17" s="2" t="str">
        <f t="shared" si="9"/>
        <v>45403CS</v>
      </c>
      <c r="Y17" s="2"/>
      <c r="Z17" s="2"/>
      <c r="AA17" s="2"/>
      <c r="AB17" s="2"/>
      <c r="AC17" s="8"/>
      <c r="AD17" s="8"/>
    </row>
    <row r="18" ht="12.75" customHeight="1">
      <c r="A18" s="124">
        <v>45700.0</v>
      </c>
      <c r="B18" s="8" t="s">
        <v>81</v>
      </c>
      <c r="C18" s="125">
        <f t="shared" si="1"/>
        <v>0</v>
      </c>
      <c r="D18" s="114">
        <f>+C18/'P&amp;L Summary'!B$21</f>
        <v>0</v>
      </c>
      <c r="E18" s="114"/>
      <c r="F18" s="118">
        <f>IF(ISERROR(VLOOKUP($X18,ess_bud,F$6,FALSE)),0,VLOOKUP($X18,ess_bud,F$6,FALSE))+IF(ISERROR(VLOOKUP($Z18,ess_bud,F$6,FALSE)),0,VLOOKUP($Z18,ess_bud,F$6,FALSE))+IF(ISERROR(VLOOKUP($Y18,ess_bud,F$6,FALSE)),0,VLOOKUP($Y18,ess_bud,F$6,FALSE))+IF(ISERROR(VLOOKUP($AA18,ess_bud,F$6,FALSE)),0,VLOOKUP($AA18,ess_bud,F$6,FALSE))</f>
        <v>0</v>
      </c>
      <c r="G18" s="114">
        <f>+F18/'P&amp;L Summary'!E$21</f>
        <v>0</v>
      </c>
      <c r="H18" s="114">
        <f t="shared" si="2"/>
        <v>0</v>
      </c>
      <c r="I18" s="114"/>
      <c r="J18" s="118">
        <f t="shared" si="3"/>
        <v>0</v>
      </c>
      <c r="K18" s="114">
        <f>+J18/'P&amp;L Summary'!I$21</f>
        <v>0</v>
      </c>
      <c r="L18" s="116">
        <f t="shared" si="4"/>
        <v>0</v>
      </c>
      <c r="M18" s="115"/>
      <c r="N18" s="125">
        <f t="shared" si="5"/>
        <v>0</v>
      </c>
      <c r="O18" s="114">
        <f>+N18/'P&amp;L Summary'!M$21</f>
        <v>0</v>
      </c>
      <c r="P18" s="114"/>
      <c r="Q18" s="74">
        <f>IF(ISERROR(VLOOKUP($X18,ess_bud,Q$6,FALSE)),0,VLOOKUP($X18,ess_bud,Q$6,FALSE))+IF(ISERROR(VLOOKUP($Z18,ess_bud,Q$6,FALSE)),0,VLOOKUP($Z18,ess_bud,Q$6,FALSE))+IF(ISERROR(VLOOKUP($Y18,ess_bud,Q$6,FALSE)),0,VLOOKUP($Y18,ess_bud,Q$6,FALSE))+IF(ISERROR(VLOOKUP($AA18,ess_bud,Q$6,FALSE)),0,VLOOKUP($AA18,ess_bud,Q$6,FALSE))</f>
        <v>2750</v>
      </c>
      <c r="R18" s="114">
        <f>+Q18/'P&amp;L Summary'!P$21</f>
        <v>0.001298543082</v>
      </c>
      <c r="S18" s="114">
        <f t="shared" si="6"/>
        <v>-1</v>
      </c>
      <c r="T18" s="114"/>
      <c r="U18" s="126">
        <f t="shared" si="7"/>
        <v>0</v>
      </c>
      <c r="V18" s="114">
        <f>+U18/'P&amp;L Summary'!T$21</f>
        <v>0</v>
      </c>
      <c r="W18" s="116">
        <f t="shared" si="8"/>
        <v>0</v>
      </c>
      <c r="X18" s="2" t="str">
        <f t="shared" si="9"/>
        <v>45700CS</v>
      </c>
      <c r="Y18" s="2"/>
      <c r="Z18" s="2"/>
      <c r="AA18" s="2"/>
      <c r="AB18" s="2"/>
      <c r="AC18" s="8"/>
      <c r="AD18" s="8"/>
    </row>
    <row r="19" ht="12.75" customHeight="1">
      <c r="A19" s="124">
        <v>45701.0</v>
      </c>
      <c r="B19" s="8" t="s">
        <v>82</v>
      </c>
      <c r="C19" s="125">
        <f t="shared" si="1"/>
        <v>0</v>
      </c>
      <c r="D19" s="114">
        <f>+C19/'P&amp;L Summary'!B$21</f>
        <v>0</v>
      </c>
      <c r="E19" s="114"/>
      <c r="F19" s="118">
        <f>IF(ISERROR(VLOOKUP($X19,ess_bud,F$6,FALSE)),0,VLOOKUP($X19,ess_bud,F$6,FALSE))+IF(ISERROR(VLOOKUP($Z19,ess_bud,F$6,FALSE)),0,VLOOKUP($Z19,ess_bud,F$6,FALSE))+IF(ISERROR(VLOOKUP($Y19,ess_bud,F$6,FALSE)),0,VLOOKUP($Y19,ess_bud,F$6,FALSE))+IF(ISERROR(VLOOKUP($AA19,ess_bud,F$6,FALSE)),0,VLOOKUP($AA19,ess_bud,F$6,FALSE))</f>
        <v>0</v>
      </c>
      <c r="G19" s="114">
        <f>+F19/'P&amp;L Summary'!E$21</f>
        <v>0</v>
      </c>
      <c r="H19" s="114">
        <f t="shared" si="2"/>
        <v>0</v>
      </c>
      <c r="I19" s="114"/>
      <c r="J19" s="118">
        <f t="shared" si="3"/>
        <v>0</v>
      </c>
      <c r="K19" s="114">
        <f>+J19/'P&amp;L Summary'!I$21</f>
        <v>0</v>
      </c>
      <c r="L19" s="116">
        <f t="shared" si="4"/>
        <v>0</v>
      </c>
      <c r="M19" s="115"/>
      <c r="N19" s="125">
        <f t="shared" si="5"/>
        <v>0</v>
      </c>
      <c r="O19" s="114">
        <f>+N19/'P&amp;L Summary'!M$21</f>
        <v>0</v>
      </c>
      <c r="P19" s="114"/>
      <c r="Q19" s="74">
        <f>IF(ISERROR(VLOOKUP($X19,ess_bud,Q$6,FALSE)),0,VLOOKUP($X19,ess_bud,Q$6,FALSE))+IF(ISERROR(VLOOKUP($Z19,ess_bud,Q$6,FALSE)),0,VLOOKUP($Z19,ess_bud,Q$6,FALSE))+IF(ISERROR(VLOOKUP($Y19,ess_bud,Q$6,FALSE)),0,VLOOKUP($Y19,ess_bud,Q$6,FALSE))+IF(ISERROR(VLOOKUP($AA19,ess_bud,Q$6,FALSE)),0,VLOOKUP($AA19,ess_bud,Q$6,FALSE))</f>
        <v>3000</v>
      </c>
      <c r="R19" s="114">
        <f>+Q19/'P&amp;L Summary'!P$21</f>
        <v>0.001416592453</v>
      </c>
      <c r="S19" s="114">
        <f t="shared" si="6"/>
        <v>-1</v>
      </c>
      <c r="T19" s="114"/>
      <c r="U19" s="126">
        <f t="shared" si="7"/>
        <v>0</v>
      </c>
      <c r="V19" s="114">
        <f>+U19/'P&amp;L Summary'!T$21</f>
        <v>0</v>
      </c>
      <c r="W19" s="116">
        <f t="shared" si="8"/>
        <v>0</v>
      </c>
      <c r="X19" s="2" t="str">
        <f t="shared" si="9"/>
        <v>45701CS</v>
      </c>
      <c r="Y19" s="2"/>
      <c r="Z19" s="2"/>
      <c r="AA19" s="2"/>
      <c r="AB19" s="2"/>
      <c r="AC19" s="8"/>
      <c r="AD19" s="8"/>
    </row>
    <row r="20" ht="12.75" customHeight="1">
      <c r="A20" s="124">
        <v>45702.0</v>
      </c>
      <c r="B20" s="8" t="s">
        <v>112</v>
      </c>
      <c r="C20" s="125">
        <f t="shared" si="1"/>
        <v>0</v>
      </c>
      <c r="D20" s="114">
        <f>+C20/'P&amp;L Summary'!B$21</f>
        <v>0</v>
      </c>
      <c r="E20" s="114"/>
      <c r="F20" s="118">
        <f>IF(ISERROR(VLOOKUP($X20,ess_bud,F$6,FALSE)),0,VLOOKUP($X20,ess_bud,F$6,FALSE))+IF(ISERROR(VLOOKUP($Z20,ess_bud,F$6,FALSE)),0,VLOOKUP($Z20,ess_bud,F$6,FALSE))+IF(ISERROR(VLOOKUP($Y20,ess_bud,F$6,FALSE)),0,VLOOKUP($Y20,ess_bud,F$6,FALSE))+IF(ISERROR(VLOOKUP($AA20,ess_bud,F$6,FALSE)),0,VLOOKUP($AA20,ess_bud,F$6,FALSE))</f>
        <v>0</v>
      </c>
      <c r="G20" s="114">
        <f>+F20/'P&amp;L Summary'!E$21</f>
        <v>0</v>
      </c>
      <c r="H20" s="114">
        <f t="shared" si="2"/>
        <v>0</v>
      </c>
      <c r="I20" s="114"/>
      <c r="J20" s="118">
        <f t="shared" si="3"/>
        <v>0</v>
      </c>
      <c r="K20" s="114">
        <f>+J20/'P&amp;L Summary'!I$21</f>
        <v>0</v>
      </c>
      <c r="L20" s="116">
        <f t="shared" si="4"/>
        <v>0</v>
      </c>
      <c r="M20" s="115"/>
      <c r="N20" s="125">
        <f t="shared" si="5"/>
        <v>0</v>
      </c>
      <c r="O20" s="114">
        <f>+N20/'P&amp;L Summary'!M$21</f>
        <v>0</v>
      </c>
      <c r="P20" s="114"/>
      <c r="Q20" s="74">
        <f>IF(ISERROR(VLOOKUP($X20,ess_bud,Q$6,FALSE)),0,VLOOKUP($X20,ess_bud,Q$6,FALSE))+IF(ISERROR(VLOOKUP($Z20,ess_bud,Q$6,FALSE)),0,VLOOKUP($Z20,ess_bud,Q$6,FALSE))+IF(ISERROR(VLOOKUP($Y20,ess_bud,Q$6,FALSE)),0,VLOOKUP($Y20,ess_bud,Q$6,FALSE))+IF(ISERROR(VLOOKUP($AA20,ess_bud,Q$6,FALSE)),0,VLOOKUP($AA20,ess_bud,Q$6,FALSE))</f>
        <v>4</v>
      </c>
      <c r="R20" s="114">
        <f>+Q20/'P&amp;L Summary'!P$21</f>
        <v>0.000001888789937</v>
      </c>
      <c r="S20" s="114">
        <f t="shared" si="6"/>
        <v>-1</v>
      </c>
      <c r="T20" s="114"/>
      <c r="U20" s="126">
        <f t="shared" si="7"/>
        <v>0</v>
      </c>
      <c r="V20" s="114">
        <f>+U20/'P&amp;L Summary'!T$21</f>
        <v>0</v>
      </c>
      <c r="W20" s="116">
        <f t="shared" si="8"/>
        <v>0</v>
      </c>
      <c r="X20" s="2" t="str">
        <f t="shared" si="9"/>
        <v>45702CS</v>
      </c>
      <c r="Y20" s="2"/>
      <c r="Z20" s="2"/>
      <c r="AA20" s="2"/>
      <c r="AB20" s="2"/>
      <c r="AC20" s="8"/>
      <c r="AD20" s="8"/>
    </row>
    <row r="21" ht="12.75" customHeight="1">
      <c r="A21" s="124">
        <v>45703.0</v>
      </c>
      <c r="B21" s="8" t="s">
        <v>113</v>
      </c>
      <c r="C21" s="125">
        <f t="shared" si="1"/>
        <v>0</v>
      </c>
      <c r="D21" s="114">
        <f>+C21/'P&amp;L Summary'!B$21</f>
        <v>0</v>
      </c>
      <c r="E21" s="114"/>
      <c r="F21" s="118">
        <f>IF(ISERROR(VLOOKUP($X21,ess_bud,F$6,FALSE)),0,VLOOKUP($X21,ess_bud,F$6,FALSE))+IF(ISERROR(VLOOKUP($Z21,ess_bud,F$6,FALSE)),0,VLOOKUP($Z21,ess_bud,F$6,FALSE))+IF(ISERROR(VLOOKUP($Y21,ess_bud,F$6,FALSE)),0,VLOOKUP($Y21,ess_bud,F$6,FALSE))+IF(ISERROR(VLOOKUP($AA21,ess_bud,F$6,FALSE)),0,VLOOKUP($AA21,ess_bud,F$6,FALSE))</f>
        <v>0</v>
      </c>
      <c r="G21" s="114">
        <f>+F21/'P&amp;L Summary'!E$21</f>
        <v>0</v>
      </c>
      <c r="H21" s="114">
        <f t="shared" si="2"/>
        <v>0</v>
      </c>
      <c r="I21" s="114"/>
      <c r="J21" s="118">
        <f t="shared" si="3"/>
        <v>0</v>
      </c>
      <c r="K21" s="114">
        <f>+J21/'P&amp;L Summary'!I$21</f>
        <v>0</v>
      </c>
      <c r="L21" s="116">
        <f t="shared" si="4"/>
        <v>0</v>
      </c>
      <c r="M21" s="115"/>
      <c r="N21" s="125">
        <f t="shared" si="5"/>
        <v>0</v>
      </c>
      <c r="O21" s="114">
        <f>+N21/'P&amp;L Summary'!M$21</f>
        <v>0</v>
      </c>
      <c r="P21" s="114"/>
      <c r="Q21" s="74">
        <f>IF(ISERROR(VLOOKUP($X21,ess_bud,Q$6,FALSE)),0,VLOOKUP($X21,ess_bud,Q$6,FALSE))+IF(ISERROR(VLOOKUP($Z21,ess_bud,Q$6,FALSE)),0,VLOOKUP($Z21,ess_bud,Q$6,FALSE))+IF(ISERROR(VLOOKUP($Y21,ess_bud,Q$6,FALSE)),0,VLOOKUP($Y21,ess_bud,Q$6,FALSE))+IF(ISERROR(VLOOKUP($AA21,ess_bud,Q$6,FALSE)),0,VLOOKUP($AA21,ess_bud,Q$6,FALSE))</f>
        <v>375</v>
      </c>
      <c r="R21" s="114">
        <f>+Q21/'P&amp;L Summary'!P$21</f>
        <v>0.0001770740566</v>
      </c>
      <c r="S21" s="114">
        <f t="shared" si="6"/>
        <v>-1</v>
      </c>
      <c r="T21" s="114"/>
      <c r="U21" s="126">
        <f t="shared" si="7"/>
        <v>0</v>
      </c>
      <c r="V21" s="114">
        <f>+U21/'P&amp;L Summary'!T$21</f>
        <v>0</v>
      </c>
      <c r="W21" s="116">
        <f t="shared" si="8"/>
        <v>0</v>
      </c>
      <c r="X21" s="2" t="str">
        <f t="shared" si="9"/>
        <v>45703CS</v>
      </c>
      <c r="Y21" s="2"/>
      <c r="Z21" s="2"/>
      <c r="AA21" s="2"/>
      <c r="AB21" s="2"/>
      <c r="AC21" s="8"/>
      <c r="AD21" s="8"/>
    </row>
    <row r="22" ht="12.75" customHeight="1">
      <c r="A22" s="124">
        <v>45704.0</v>
      </c>
      <c r="B22" s="8" t="s">
        <v>114</v>
      </c>
      <c r="C22" s="125">
        <f t="shared" si="1"/>
        <v>0</v>
      </c>
      <c r="D22" s="114">
        <f>+C22/'P&amp;L Summary'!B$21</f>
        <v>0</v>
      </c>
      <c r="E22" s="114"/>
      <c r="F22" s="118">
        <f>IF(ISERROR(VLOOKUP($X22,ess_bud,F$6,FALSE)),0,VLOOKUP($X22,ess_bud,F$6,FALSE))+IF(ISERROR(VLOOKUP($Z22,ess_bud,F$6,FALSE)),0,VLOOKUP($Z22,ess_bud,F$6,FALSE))+IF(ISERROR(VLOOKUP($Y22,ess_bud,F$6,FALSE)),0,VLOOKUP($Y22,ess_bud,F$6,FALSE))+IF(ISERROR(VLOOKUP($AA22,ess_bud,F$6,FALSE)),0,VLOOKUP($AA22,ess_bud,F$6,FALSE))</f>
        <v>0</v>
      </c>
      <c r="G22" s="114">
        <f>+F22/'P&amp;L Summary'!E$21</f>
        <v>0</v>
      </c>
      <c r="H22" s="114">
        <f t="shared" si="2"/>
        <v>0</v>
      </c>
      <c r="I22" s="114"/>
      <c r="J22" s="118">
        <f t="shared" si="3"/>
        <v>0</v>
      </c>
      <c r="K22" s="114">
        <f>+J22/'P&amp;L Summary'!I$21</f>
        <v>0</v>
      </c>
      <c r="L22" s="116">
        <f t="shared" si="4"/>
        <v>0</v>
      </c>
      <c r="M22" s="115"/>
      <c r="N22" s="125">
        <f t="shared" si="5"/>
        <v>0</v>
      </c>
      <c r="O22" s="114">
        <f>+N22/'P&amp;L Summary'!M$21</f>
        <v>0</v>
      </c>
      <c r="P22" s="114"/>
      <c r="Q22" s="74">
        <f>IF(ISERROR(VLOOKUP($X22,ess_bud,Q$6,FALSE)),0,VLOOKUP($X22,ess_bud,Q$6,FALSE))+IF(ISERROR(VLOOKUP($Z22,ess_bud,Q$6,FALSE)),0,VLOOKUP($Z22,ess_bud,Q$6,FALSE))+IF(ISERROR(VLOOKUP($Y22,ess_bud,Q$6,FALSE)),0,VLOOKUP($Y22,ess_bud,Q$6,FALSE))+IF(ISERROR(VLOOKUP($AA22,ess_bud,Q$6,FALSE)),0,VLOOKUP($AA22,ess_bud,Q$6,FALSE))</f>
        <v>0</v>
      </c>
      <c r="R22" s="114">
        <f>+Q22/'P&amp;L Summary'!P$21</f>
        <v>0</v>
      </c>
      <c r="S22" s="114">
        <f t="shared" si="6"/>
        <v>0</v>
      </c>
      <c r="T22" s="114"/>
      <c r="U22" s="126">
        <f t="shared" si="7"/>
        <v>0</v>
      </c>
      <c r="V22" s="114">
        <f>+U22/'P&amp;L Summary'!T$21</f>
        <v>0</v>
      </c>
      <c r="W22" s="116">
        <f t="shared" si="8"/>
        <v>0</v>
      </c>
      <c r="X22" s="2" t="str">
        <f t="shared" si="9"/>
        <v>45704CS</v>
      </c>
      <c r="Y22" s="2"/>
      <c r="Z22" s="2"/>
      <c r="AA22" s="2"/>
      <c r="AB22" s="2"/>
      <c r="AC22" s="8"/>
      <c r="AD22" s="8"/>
    </row>
    <row r="23" ht="12.75" customHeight="1">
      <c r="A23" s="124">
        <v>45705.0</v>
      </c>
      <c r="B23" s="8" t="s">
        <v>116</v>
      </c>
      <c r="C23" s="125">
        <f t="shared" si="1"/>
        <v>0</v>
      </c>
      <c r="D23" s="114">
        <f>+C23/'P&amp;L Summary'!B$21</f>
        <v>0</v>
      </c>
      <c r="E23" s="114"/>
      <c r="F23" s="118">
        <f>IF(ISERROR(VLOOKUP($X23,ess_bud,F$6,FALSE)),0,VLOOKUP($X23,ess_bud,F$6,FALSE))+IF(ISERROR(VLOOKUP($Z23,ess_bud,F$6,FALSE)),0,VLOOKUP($Z23,ess_bud,F$6,FALSE))+IF(ISERROR(VLOOKUP($Y23,ess_bud,F$6,FALSE)),0,VLOOKUP($Y23,ess_bud,F$6,FALSE))+IF(ISERROR(VLOOKUP($AA23,ess_bud,F$6,FALSE)),0,VLOOKUP($AA23,ess_bud,F$6,FALSE))</f>
        <v>0</v>
      </c>
      <c r="G23" s="114">
        <f>+F23/'P&amp;L Summary'!E$21</f>
        <v>0</v>
      </c>
      <c r="H23" s="114">
        <f t="shared" si="2"/>
        <v>0</v>
      </c>
      <c r="I23" s="114"/>
      <c r="J23" s="118">
        <f t="shared" si="3"/>
        <v>0</v>
      </c>
      <c r="K23" s="114">
        <f>+J23/'P&amp;L Summary'!I$21</f>
        <v>0</v>
      </c>
      <c r="L23" s="116">
        <f t="shared" si="4"/>
        <v>0</v>
      </c>
      <c r="M23" s="115"/>
      <c r="N23" s="125">
        <f t="shared" si="5"/>
        <v>0</v>
      </c>
      <c r="O23" s="114">
        <f>+N23/'P&amp;L Summary'!M$21</f>
        <v>0</v>
      </c>
      <c r="P23" s="114"/>
      <c r="Q23" s="74">
        <f>IF(ISERROR(VLOOKUP($X23,ess_bud,Q$6,FALSE)),0,VLOOKUP($X23,ess_bud,Q$6,FALSE))+IF(ISERROR(VLOOKUP($Z23,ess_bud,Q$6,FALSE)),0,VLOOKUP($Z23,ess_bud,Q$6,FALSE))+IF(ISERROR(VLOOKUP($Y23,ess_bud,Q$6,FALSE)),0,VLOOKUP($Y23,ess_bud,Q$6,FALSE))+IF(ISERROR(VLOOKUP($AA23,ess_bud,Q$6,FALSE)),0,VLOOKUP($AA23,ess_bud,Q$6,FALSE))</f>
        <v>2383.75</v>
      </c>
      <c r="R23" s="114">
        <f>+Q23/'P&amp;L Summary'!P$21</f>
        <v>0.001125600753</v>
      </c>
      <c r="S23" s="114">
        <f t="shared" si="6"/>
        <v>-1</v>
      </c>
      <c r="T23" s="114"/>
      <c r="U23" s="126">
        <f t="shared" si="7"/>
        <v>0</v>
      </c>
      <c r="V23" s="114">
        <f>+U23/'P&amp;L Summary'!T$21</f>
        <v>0</v>
      </c>
      <c r="W23" s="116">
        <f t="shared" si="8"/>
        <v>0</v>
      </c>
      <c r="X23" s="2" t="str">
        <f t="shared" si="9"/>
        <v>45705CS</v>
      </c>
      <c r="Y23" s="2"/>
      <c r="Z23" s="2"/>
      <c r="AA23" s="2"/>
      <c r="AB23" s="2"/>
      <c r="AC23" s="8"/>
      <c r="AD23" s="8"/>
    </row>
    <row r="24" ht="12.75" customHeight="1">
      <c r="A24" s="124">
        <v>45710.0</v>
      </c>
      <c r="B24" s="8" t="s">
        <v>119</v>
      </c>
      <c r="C24" s="125">
        <f t="shared" si="1"/>
        <v>0</v>
      </c>
      <c r="D24" s="114">
        <f>+C24/'P&amp;L Summary'!B$21</f>
        <v>0</v>
      </c>
      <c r="E24" s="114"/>
      <c r="F24" s="118">
        <f>IF(ISERROR(VLOOKUP($X24,ess_bud,F$6,FALSE)),0,VLOOKUP($X24,ess_bud,F$6,FALSE))+IF(ISERROR(VLOOKUP($Z24,ess_bud,F$6,FALSE)),0,VLOOKUP($Z24,ess_bud,F$6,FALSE))+IF(ISERROR(VLOOKUP($Y24,ess_bud,F$6,FALSE)),0,VLOOKUP($Y24,ess_bud,F$6,FALSE))+IF(ISERROR(VLOOKUP($AA24,ess_bud,F$6,FALSE)),0,VLOOKUP($AA24,ess_bud,F$6,FALSE))</f>
        <v>0</v>
      </c>
      <c r="G24" s="114">
        <f>+F24/'P&amp;L Summary'!E$21</f>
        <v>0</v>
      </c>
      <c r="H24" s="114">
        <f t="shared" si="2"/>
        <v>0</v>
      </c>
      <c r="I24" s="114"/>
      <c r="J24" s="118">
        <f t="shared" si="3"/>
        <v>0</v>
      </c>
      <c r="K24" s="114">
        <f>+J24/'P&amp;L Summary'!I$21</f>
        <v>0</v>
      </c>
      <c r="L24" s="116">
        <f t="shared" si="4"/>
        <v>0</v>
      </c>
      <c r="M24" s="115"/>
      <c r="N24" s="125">
        <f t="shared" si="5"/>
        <v>0</v>
      </c>
      <c r="O24" s="114">
        <f>+N24/'P&amp;L Summary'!M$21</f>
        <v>0</v>
      </c>
      <c r="P24" s="114"/>
      <c r="Q24" s="74">
        <f>IF(ISERROR(VLOOKUP($X24,ess_bud,Q$6,FALSE)),0,VLOOKUP($X24,ess_bud,Q$6,FALSE))+IF(ISERROR(VLOOKUP($Z24,ess_bud,Q$6,FALSE)),0,VLOOKUP($Z24,ess_bud,Q$6,FALSE))+IF(ISERROR(VLOOKUP($Y24,ess_bud,Q$6,FALSE)),0,VLOOKUP($Y24,ess_bud,Q$6,FALSE))+IF(ISERROR(VLOOKUP($AA24,ess_bud,Q$6,FALSE)),0,VLOOKUP($AA24,ess_bud,Q$6,FALSE))</f>
        <v>16750</v>
      </c>
      <c r="R24" s="114">
        <f>+Q24/'P&amp;L Summary'!P$21</f>
        <v>0.007909307862</v>
      </c>
      <c r="S24" s="114">
        <f t="shared" si="6"/>
        <v>-1</v>
      </c>
      <c r="T24" s="114"/>
      <c r="U24" s="126">
        <f t="shared" si="7"/>
        <v>0</v>
      </c>
      <c r="V24" s="114">
        <f>+U24/'P&amp;L Summary'!T$21</f>
        <v>0</v>
      </c>
      <c r="W24" s="116">
        <f t="shared" si="8"/>
        <v>0</v>
      </c>
      <c r="X24" s="2" t="str">
        <f t="shared" si="9"/>
        <v>45710CS</v>
      </c>
      <c r="Y24" s="2"/>
      <c r="Z24" s="2"/>
      <c r="AA24" s="2"/>
      <c r="AB24" s="2"/>
      <c r="AC24" s="8"/>
      <c r="AD24" s="8"/>
    </row>
    <row r="25" ht="12.75" customHeight="1">
      <c r="A25" s="124">
        <v>45711.0</v>
      </c>
      <c r="B25" s="8" t="s">
        <v>121</v>
      </c>
      <c r="C25" s="125">
        <f t="shared" si="1"/>
        <v>0</v>
      </c>
      <c r="D25" s="114">
        <f>+C25/'P&amp;L Summary'!B$21</f>
        <v>0</v>
      </c>
      <c r="E25" s="114"/>
      <c r="F25" s="118">
        <f>IF(ISERROR(VLOOKUP($X25,ess_bud,F$6,FALSE)),0,VLOOKUP($X25,ess_bud,F$6,FALSE))+IF(ISERROR(VLOOKUP($Z25,ess_bud,F$6,FALSE)),0,VLOOKUP($Z25,ess_bud,F$6,FALSE))+IF(ISERROR(VLOOKUP($Y25,ess_bud,F$6,FALSE)),0,VLOOKUP($Y25,ess_bud,F$6,FALSE))+IF(ISERROR(VLOOKUP($AA25,ess_bud,F$6,FALSE)),0,VLOOKUP($AA25,ess_bud,F$6,FALSE))</f>
        <v>0</v>
      </c>
      <c r="G25" s="114">
        <f>+F25/'P&amp;L Summary'!E$21</f>
        <v>0</v>
      </c>
      <c r="H25" s="114">
        <f t="shared" si="2"/>
        <v>0</v>
      </c>
      <c r="I25" s="114"/>
      <c r="J25" s="118">
        <f t="shared" si="3"/>
        <v>0</v>
      </c>
      <c r="K25" s="114">
        <f>+J25/'P&amp;L Summary'!I$21</f>
        <v>0</v>
      </c>
      <c r="L25" s="116">
        <f t="shared" si="4"/>
        <v>0</v>
      </c>
      <c r="M25" s="115"/>
      <c r="N25" s="125">
        <f t="shared" si="5"/>
        <v>0</v>
      </c>
      <c r="O25" s="114">
        <f>+N25/'P&amp;L Summary'!M$21</f>
        <v>0</v>
      </c>
      <c r="P25" s="114"/>
      <c r="Q25" s="74">
        <f>IF(ISERROR(VLOOKUP($X25,ess_bud,Q$6,FALSE)),0,VLOOKUP($X25,ess_bud,Q$6,FALSE))+IF(ISERROR(VLOOKUP($Z25,ess_bud,Q$6,FALSE)),0,VLOOKUP($Z25,ess_bud,Q$6,FALSE))+IF(ISERROR(VLOOKUP($Y25,ess_bud,Q$6,FALSE)),0,VLOOKUP($Y25,ess_bud,Q$6,FALSE))+IF(ISERROR(VLOOKUP($AA25,ess_bud,Q$6,FALSE)),0,VLOOKUP($AA25,ess_bud,Q$6,FALSE))</f>
        <v>0</v>
      </c>
      <c r="R25" s="114">
        <f>+Q25/'P&amp;L Summary'!P$21</f>
        <v>0</v>
      </c>
      <c r="S25" s="114">
        <f t="shared" si="6"/>
        <v>0</v>
      </c>
      <c r="T25" s="114"/>
      <c r="U25" s="126">
        <f t="shared" si="7"/>
        <v>0</v>
      </c>
      <c r="V25" s="114">
        <f>+U25/'P&amp;L Summary'!T$21</f>
        <v>0</v>
      </c>
      <c r="W25" s="116"/>
      <c r="X25" s="2" t="str">
        <f t="shared" si="9"/>
        <v>45711CS</v>
      </c>
      <c r="Y25" s="2"/>
      <c r="Z25" s="2"/>
      <c r="AA25" s="2"/>
      <c r="AB25" s="2"/>
      <c r="AC25" s="8"/>
      <c r="AD25" s="8"/>
    </row>
    <row r="26" ht="12.75" customHeight="1">
      <c r="A26" s="124">
        <v>45712.0</v>
      </c>
      <c r="B26" s="8" t="s">
        <v>85</v>
      </c>
      <c r="C26" s="125">
        <f t="shared" si="1"/>
        <v>0</v>
      </c>
      <c r="D26" s="114">
        <f>+C26/'P&amp;L Summary'!B$21</f>
        <v>0</v>
      </c>
      <c r="E26" s="114"/>
      <c r="F26" s="118">
        <f>IF(ISERROR(VLOOKUP($X26,ess_bud,F$6,FALSE)),0,VLOOKUP($X26,ess_bud,F$6,FALSE))+IF(ISERROR(VLOOKUP($Z26,ess_bud,F$6,FALSE)),0,VLOOKUP($Z26,ess_bud,F$6,FALSE))+IF(ISERROR(VLOOKUP($Y26,ess_bud,F$6,FALSE)),0,VLOOKUP($Y26,ess_bud,F$6,FALSE))+IF(ISERROR(VLOOKUP($AA26,ess_bud,F$6,FALSE)),0,VLOOKUP($AA26,ess_bud,F$6,FALSE))</f>
        <v>0</v>
      </c>
      <c r="G26" s="114">
        <f>+F26/'P&amp;L Summary'!E$21</f>
        <v>0</v>
      </c>
      <c r="H26" s="114">
        <f t="shared" si="2"/>
        <v>0</v>
      </c>
      <c r="I26" s="114"/>
      <c r="J26" s="118">
        <f t="shared" si="3"/>
        <v>0</v>
      </c>
      <c r="K26" s="114">
        <f>+J26/'P&amp;L Summary'!I$21</f>
        <v>0</v>
      </c>
      <c r="L26" s="116">
        <f t="shared" si="4"/>
        <v>0</v>
      </c>
      <c r="M26" s="115"/>
      <c r="N26" s="125">
        <f t="shared" si="5"/>
        <v>0</v>
      </c>
      <c r="O26" s="114">
        <f>+N26/'P&amp;L Summary'!M$21</f>
        <v>0</v>
      </c>
      <c r="P26" s="114"/>
      <c r="Q26" s="74">
        <f>IF(ISERROR(VLOOKUP($X26,ess_bud,Q$6,FALSE)),0,VLOOKUP($X26,ess_bud,Q$6,FALSE))+IF(ISERROR(VLOOKUP($Z26,ess_bud,Q$6,FALSE)),0,VLOOKUP($Z26,ess_bud,Q$6,FALSE))+IF(ISERROR(VLOOKUP($Y26,ess_bud,Q$6,FALSE)),0,VLOOKUP($Y26,ess_bud,Q$6,FALSE))+IF(ISERROR(VLOOKUP($AA26,ess_bud,Q$6,FALSE)),0,VLOOKUP($AA26,ess_bud,Q$6,FALSE))</f>
        <v>2175</v>
      </c>
      <c r="R26" s="114">
        <f>+Q26/'P&amp;L Summary'!P$21</f>
        <v>0.001027029528</v>
      </c>
      <c r="S26" s="114">
        <f t="shared" si="6"/>
        <v>-1</v>
      </c>
      <c r="T26" s="114"/>
      <c r="U26" s="126">
        <f t="shared" si="7"/>
        <v>0</v>
      </c>
      <c r="V26" s="114">
        <f>+U26/'P&amp;L Summary'!T$21</f>
        <v>0</v>
      </c>
      <c r="W26" s="116">
        <f t="shared" ref="W26:W27" si="10">+IF(U26=0,0,(N26-U26)/U26)</f>
        <v>0</v>
      </c>
      <c r="X26" s="2" t="str">
        <f t="shared" si="9"/>
        <v>45712CS</v>
      </c>
      <c r="Y26" s="2"/>
      <c r="Z26" s="2"/>
      <c r="AA26" s="2"/>
      <c r="AB26" s="2"/>
      <c r="AC26" s="8"/>
      <c r="AD26" s="8"/>
    </row>
    <row r="27" ht="12.75" customHeight="1">
      <c r="A27" s="124">
        <v>45713.0</v>
      </c>
      <c r="B27" s="8" t="s">
        <v>124</v>
      </c>
      <c r="C27" s="125">
        <f t="shared" si="1"/>
        <v>0</v>
      </c>
      <c r="D27" s="114">
        <f>+C27/'P&amp;L Summary'!B$21</f>
        <v>0</v>
      </c>
      <c r="E27" s="114"/>
      <c r="F27" s="118">
        <f>IF(ISERROR(VLOOKUP($X27,ess_bud,F$6,FALSE)),0,VLOOKUP($X27,ess_bud,F$6,FALSE))+IF(ISERROR(VLOOKUP($Z27,ess_bud,F$6,FALSE)),0,VLOOKUP($Z27,ess_bud,F$6,FALSE))+IF(ISERROR(VLOOKUP($Y27,ess_bud,F$6,FALSE)),0,VLOOKUP($Y27,ess_bud,F$6,FALSE))+IF(ISERROR(VLOOKUP($AA27,ess_bud,F$6,FALSE)),0,VLOOKUP($AA27,ess_bud,F$6,FALSE))</f>
        <v>0</v>
      </c>
      <c r="G27" s="114">
        <f>+F27/'P&amp;L Summary'!E$21</f>
        <v>0</v>
      </c>
      <c r="H27" s="114">
        <f t="shared" si="2"/>
        <v>0</v>
      </c>
      <c r="I27" s="114"/>
      <c r="J27" s="118">
        <f t="shared" si="3"/>
        <v>0</v>
      </c>
      <c r="K27" s="114">
        <f>+J27/'P&amp;L Summary'!I$21</f>
        <v>0</v>
      </c>
      <c r="L27" s="116">
        <f t="shared" si="4"/>
        <v>0</v>
      </c>
      <c r="M27" s="115"/>
      <c r="N27" s="125">
        <f t="shared" si="5"/>
        <v>0</v>
      </c>
      <c r="O27" s="114">
        <f>+N27/'P&amp;L Summary'!M$21</f>
        <v>0</v>
      </c>
      <c r="P27" s="114"/>
      <c r="Q27" s="74">
        <f>IF(ISERROR(VLOOKUP($X27,ess_bud,Q$6,FALSE)),0,VLOOKUP($X27,ess_bud,Q$6,FALSE))+IF(ISERROR(VLOOKUP($Z27,ess_bud,Q$6,FALSE)),0,VLOOKUP($Z27,ess_bud,Q$6,FALSE))+IF(ISERROR(VLOOKUP($Y27,ess_bud,Q$6,FALSE)),0,VLOOKUP($Y27,ess_bud,Q$6,FALSE))+IF(ISERROR(VLOOKUP($AA27,ess_bud,Q$6,FALSE)),0,VLOOKUP($AA27,ess_bud,Q$6,FALSE))</f>
        <v>1012.5</v>
      </c>
      <c r="R27" s="114">
        <f>+Q27/'P&amp;L Summary'!P$21</f>
        <v>0.0004780999529</v>
      </c>
      <c r="S27" s="114">
        <f t="shared" si="6"/>
        <v>-1</v>
      </c>
      <c r="T27" s="114"/>
      <c r="U27" s="126">
        <f t="shared" si="7"/>
        <v>0</v>
      </c>
      <c r="V27" s="114">
        <f>+U27/'P&amp;L Summary'!T$21</f>
        <v>0</v>
      </c>
      <c r="W27" s="116">
        <f t="shared" si="10"/>
        <v>0</v>
      </c>
      <c r="X27" s="2" t="str">
        <f t="shared" si="9"/>
        <v>45713CS</v>
      </c>
      <c r="Y27" s="2"/>
      <c r="Z27" s="2"/>
      <c r="AA27" s="2"/>
      <c r="AB27" s="2"/>
      <c r="AC27" s="8"/>
      <c r="AD27" s="8"/>
    </row>
    <row r="28" ht="12.75" customHeight="1">
      <c r="A28" s="124">
        <v>45714.0</v>
      </c>
      <c r="B28" s="8" t="s">
        <v>127</v>
      </c>
      <c r="C28" s="125">
        <f t="shared" si="1"/>
        <v>0</v>
      </c>
      <c r="D28" s="114">
        <f>+C28/'P&amp;L Summary'!B$21</f>
        <v>0</v>
      </c>
      <c r="E28" s="114"/>
      <c r="F28" s="118">
        <f>IF(ISERROR(VLOOKUP($X28,ess_bud,F$6,FALSE)),0,VLOOKUP($X28,ess_bud,F$6,FALSE))+IF(ISERROR(VLOOKUP($Z28,ess_bud,F$6,FALSE)),0,VLOOKUP($Z28,ess_bud,F$6,FALSE))+IF(ISERROR(VLOOKUP($Y28,ess_bud,F$6,FALSE)),0,VLOOKUP($Y28,ess_bud,F$6,FALSE))+IF(ISERROR(VLOOKUP($AA28,ess_bud,F$6,FALSE)),0,VLOOKUP($AA28,ess_bud,F$6,FALSE))</f>
        <v>0</v>
      </c>
      <c r="G28" s="114">
        <f>+F28/'P&amp;L Summary'!E$21</f>
        <v>0</v>
      </c>
      <c r="H28" s="114"/>
      <c r="I28" s="114"/>
      <c r="J28" s="118">
        <f t="shared" si="3"/>
        <v>0</v>
      </c>
      <c r="K28" s="114">
        <f>+J28/'P&amp;L Summary'!I$21</f>
        <v>0</v>
      </c>
      <c r="L28" s="116"/>
      <c r="M28" s="115"/>
      <c r="N28" s="125">
        <f t="shared" si="5"/>
        <v>0</v>
      </c>
      <c r="O28" s="114">
        <f>+N28/'P&amp;L Summary'!M$21</f>
        <v>0</v>
      </c>
      <c r="P28" s="114"/>
      <c r="Q28" s="74">
        <f>IF(ISERROR(VLOOKUP($X28,ess_bud,Q$6,FALSE)),0,VLOOKUP($X28,ess_bud,Q$6,FALSE))+IF(ISERROR(VLOOKUP($Z28,ess_bud,Q$6,FALSE)),0,VLOOKUP($Z28,ess_bud,Q$6,FALSE))+IF(ISERROR(VLOOKUP($Y28,ess_bud,Q$6,FALSE)),0,VLOOKUP($Y28,ess_bud,Q$6,FALSE))+IF(ISERROR(VLOOKUP($AA28,ess_bud,Q$6,FALSE)),0,VLOOKUP($AA28,ess_bud,Q$6,FALSE))</f>
        <v>0</v>
      </c>
      <c r="R28" s="114">
        <f>+Q28/'P&amp;L Summary'!P$21</f>
        <v>0</v>
      </c>
      <c r="S28" s="114"/>
      <c r="T28" s="114"/>
      <c r="U28" s="126">
        <f t="shared" si="7"/>
        <v>0</v>
      </c>
      <c r="V28" s="114">
        <f>+U28/'P&amp;L Summary'!T$21</f>
        <v>0</v>
      </c>
      <c r="W28" s="116"/>
      <c r="X28" s="2" t="str">
        <f t="shared" si="9"/>
        <v>45714CS</v>
      </c>
      <c r="Y28" s="2"/>
      <c r="Z28" s="2"/>
      <c r="AA28" s="2"/>
      <c r="AB28" s="2"/>
      <c r="AC28" s="8"/>
      <c r="AD28" s="8"/>
    </row>
    <row r="29" ht="12.75" customHeight="1">
      <c r="A29" s="124">
        <v>45715.0</v>
      </c>
      <c r="B29" s="8" t="s">
        <v>129</v>
      </c>
      <c r="C29" s="125">
        <f t="shared" si="1"/>
        <v>0</v>
      </c>
      <c r="D29" s="114">
        <f>+C29/'P&amp;L Summary'!B$21</f>
        <v>0</v>
      </c>
      <c r="E29" s="114"/>
      <c r="F29" s="118">
        <f>IF(ISERROR(VLOOKUP($X29,ess_bud,F$6,FALSE)),0,VLOOKUP($X29,ess_bud,F$6,FALSE))+IF(ISERROR(VLOOKUP($Z29,ess_bud,F$6,FALSE)),0,VLOOKUP($Z29,ess_bud,F$6,FALSE))+IF(ISERROR(VLOOKUP($Y29,ess_bud,F$6,FALSE)),0,VLOOKUP($Y29,ess_bud,F$6,FALSE))+IF(ISERROR(VLOOKUP($AA29,ess_bud,F$6,FALSE)),0,VLOOKUP($AA29,ess_bud,F$6,FALSE))</f>
        <v>0</v>
      </c>
      <c r="G29" s="114">
        <f>+F29/'P&amp;L Summary'!E$21</f>
        <v>0</v>
      </c>
      <c r="H29" s="114">
        <f t="shared" ref="H29:H41" si="11">IF(F29=0,0,+(C29-F29)/F29)</f>
        <v>0</v>
      </c>
      <c r="I29" s="114"/>
      <c r="J29" s="118">
        <f t="shared" si="3"/>
        <v>0</v>
      </c>
      <c r="K29" s="114">
        <f>+J29/'P&amp;L Summary'!I$21</f>
        <v>0</v>
      </c>
      <c r="L29" s="116">
        <f t="shared" ref="L29:L41" si="12">IF(J29=0,0,+(C29-J29)/J29)</f>
        <v>0</v>
      </c>
      <c r="M29" s="115"/>
      <c r="N29" s="125">
        <f t="shared" si="5"/>
        <v>0</v>
      </c>
      <c r="O29" s="114">
        <f>+N29/'P&amp;L Summary'!M$21</f>
        <v>0</v>
      </c>
      <c r="P29" s="114"/>
      <c r="Q29" s="74">
        <f>IF(ISERROR(VLOOKUP($X29,ess_bud,Q$6,FALSE)),0,VLOOKUP($X29,ess_bud,Q$6,FALSE))+IF(ISERROR(VLOOKUP($Z29,ess_bud,Q$6,FALSE)),0,VLOOKUP($Z29,ess_bud,Q$6,FALSE))+IF(ISERROR(VLOOKUP($Y29,ess_bud,Q$6,FALSE)),0,VLOOKUP($Y29,ess_bud,Q$6,FALSE))+IF(ISERROR(VLOOKUP($AA29,ess_bud,Q$6,FALSE)),0,VLOOKUP($AA29,ess_bud,Q$6,FALSE))</f>
        <v>0</v>
      </c>
      <c r="R29" s="114">
        <f>+Q29/'P&amp;L Summary'!P$21</f>
        <v>0</v>
      </c>
      <c r="S29" s="114">
        <f t="shared" ref="S29:S41" si="13">+IF(Q29=0,0,(N29-Q29)/Q29)</f>
        <v>0</v>
      </c>
      <c r="T29" s="114"/>
      <c r="U29" s="126">
        <f t="shared" si="7"/>
        <v>0</v>
      </c>
      <c r="V29" s="114">
        <f>+U29/'P&amp;L Summary'!T$21</f>
        <v>0</v>
      </c>
      <c r="W29" s="116">
        <f t="shared" ref="W29:W38" si="14">+IF(U29=0,0,(N29-U29)/U29)</f>
        <v>0</v>
      </c>
      <c r="X29" s="2" t="str">
        <f t="shared" si="9"/>
        <v>45715CS</v>
      </c>
      <c r="Y29" s="2"/>
      <c r="Z29" s="2"/>
      <c r="AA29" s="2"/>
      <c r="AB29" s="2"/>
      <c r="AC29" s="8"/>
      <c r="AD29" s="8"/>
    </row>
    <row r="30" ht="12.75" customHeight="1">
      <c r="A30" s="124">
        <v>45716.0</v>
      </c>
      <c r="B30" s="8" t="s">
        <v>131</v>
      </c>
      <c r="C30" s="125">
        <f t="shared" si="1"/>
        <v>0</v>
      </c>
      <c r="D30" s="114">
        <f>+C30/'P&amp;L Summary'!B$21</f>
        <v>0</v>
      </c>
      <c r="E30" s="114"/>
      <c r="F30" s="118">
        <f>IF(ISERROR(VLOOKUP($X30,ess_bud,F$6,FALSE)),0,VLOOKUP($X30,ess_bud,F$6,FALSE))+IF(ISERROR(VLOOKUP($Z30,ess_bud,F$6,FALSE)),0,VLOOKUP($Z30,ess_bud,F$6,FALSE))+IF(ISERROR(VLOOKUP($Y30,ess_bud,F$6,FALSE)),0,VLOOKUP($Y30,ess_bud,F$6,FALSE))+IF(ISERROR(VLOOKUP($AA30,ess_bud,F$6,FALSE)),0,VLOOKUP($AA30,ess_bud,F$6,FALSE))</f>
        <v>0</v>
      </c>
      <c r="G30" s="114">
        <f>+F30/'P&amp;L Summary'!E$21</f>
        <v>0</v>
      </c>
      <c r="H30" s="114">
        <f t="shared" si="11"/>
        <v>0</v>
      </c>
      <c r="I30" s="114"/>
      <c r="J30" s="118">
        <f t="shared" si="3"/>
        <v>0</v>
      </c>
      <c r="K30" s="114">
        <f>+J30/'P&amp;L Summary'!I$21</f>
        <v>0</v>
      </c>
      <c r="L30" s="116">
        <f t="shared" si="12"/>
        <v>0</v>
      </c>
      <c r="M30" s="115"/>
      <c r="N30" s="125">
        <f t="shared" si="5"/>
        <v>0</v>
      </c>
      <c r="O30" s="114">
        <f>+N30/'P&amp;L Summary'!M$21</f>
        <v>0</v>
      </c>
      <c r="P30" s="114"/>
      <c r="Q30" s="74">
        <f>IF(ISERROR(VLOOKUP($X30,ess_bud,Q$6,FALSE)),0,VLOOKUP($X30,ess_bud,Q$6,FALSE))+IF(ISERROR(VLOOKUP($Z30,ess_bud,Q$6,FALSE)),0,VLOOKUP($Z30,ess_bud,Q$6,FALSE))+IF(ISERROR(VLOOKUP($Y30,ess_bud,Q$6,FALSE)),0,VLOOKUP($Y30,ess_bud,Q$6,FALSE))+IF(ISERROR(VLOOKUP($AA30,ess_bud,Q$6,FALSE)),0,VLOOKUP($AA30,ess_bud,Q$6,FALSE))</f>
        <v>0</v>
      </c>
      <c r="R30" s="114">
        <f>+Q30/'P&amp;L Summary'!P$21</f>
        <v>0</v>
      </c>
      <c r="S30" s="114">
        <f t="shared" si="13"/>
        <v>0</v>
      </c>
      <c r="T30" s="114"/>
      <c r="U30" s="126">
        <f t="shared" si="7"/>
        <v>0</v>
      </c>
      <c r="V30" s="114">
        <f>+U30/'P&amp;L Summary'!T$21</f>
        <v>0</v>
      </c>
      <c r="W30" s="116">
        <f t="shared" si="14"/>
        <v>0</v>
      </c>
      <c r="X30" s="2" t="str">
        <f t="shared" si="9"/>
        <v>45716CS</v>
      </c>
      <c r="Y30" s="2"/>
      <c r="Z30" s="2"/>
      <c r="AA30" s="2"/>
      <c r="AB30" s="2"/>
      <c r="AC30" s="8"/>
      <c r="AD30" s="8"/>
    </row>
    <row r="31" ht="12.75" customHeight="1">
      <c r="A31" s="124">
        <v>45717.0</v>
      </c>
      <c r="B31" s="8" t="s">
        <v>133</v>
      </c>
      <c r="C31" s="125">
        <f t="shared" si="1"/>
        <v>0</v>
      </c>
      <c r="D31" s="114">
        <f>+C31/'P&amp;L Summary'!B$21</f>
        <v>0</v>
      </c>
      <c r="E31" s="114"/>
      <c r="F31" s="118">
        <f>IF(ISERROR(VLOOKUP($X31,ess_bud,F$6,FALSE)),0,VLOOKUP($X31,ess_bud,F$6,FALSE))+IF(ISERROR(VLOOKUP($Z31,ess_bud,F$6,FALSE)),0,VLOOKUP($Z31,ess_bud,F$6,FALSE))+IF(ISERROR(VLOOKUP($Y31,ess_bud,F$6,FALSE)),0,VLOOKUP($Y31,ess_bud,F$6,FALSE))+IF(ISERROR(VLOOKUP($AA31,ess_bud,F$6,FALSE)),0,VLOOKUP($AA31,ess_bud,F$6,FALSE))</f>
        <v>0</v>
      </c>
      <c r="G31" s="114">
        <f>+F31/'P&amp;L Summary'!E$21</f>
        <v>0</v>
      </c>
      <c r="H31" s="114">
        <f t="shared" si="11"/>
        <v>0</v>
      </c>
      <c r="I31" s="114"/>
      <c r="J31" s="118">
        <f t="shared" si="3"/>
        <v>0</v>
      </c>
      <c r="K31" s="114">
        <f>+J31/'P&amp;L Summary'!I$21</f>
        <v>0</v>
      </c>
      <c r="L31" s="116">
        <f t="shared" si="12"/>
        <v>0</v>
      </c>
      <c r="M31" s="115"/>
      <c r="N31" s="125">
        <f t="shared" si="5"/>
        <v>0</v>
      </c>
      <c r="O31" s="114">
        <f>+N31/'P&amp;L Summary'!M$21</f>
        <v>0</v>
      </c>
      <c r="P31" s="114"/>
      <c r="Q31" s="74">
        <f>IF(ISERROR(VLOOKUP($X31,ess_bud,Q$6,FALSE)),0,VLOOKUP($X31,ess_bud,Q$6,FALSE))+IF(ISERROR(VLOOKUP($Z31,ess_bud,Q$6,FALSE)),0,VLOOKUP($Z31,ess_bud,Q$6,FALSE))+IF(ISERROR(VLOOKUP($Y31,ess_bud,Q$6,FALSE)),0,VLOOKUP($Y31,ess_bud,Q$6,FALSE))+IF(ISERROR(VLOOKUP($AA31,ess_bud,Q$6,FALSE)),0,VLOOKUP($AA31,ess_bud,Q$6,FALSE))</f>
        <v>0</v>
      </c>
      <c r="R31" s="114">
        <f>+Q31/'P&amp;L Summary'!P$21</f>
        <v>0</v>
      </c>
      <c r="S31" s="114">
        <f t="shared" si="13"/>
        <v>0</v>
      </c>
      <c r="T31" s="114"/>
      <c r="U31" s="126">
        <f t="shared" si="7"/>
        <v>0</v>
      </c>
      <c r="V31" s="114">
        <f>+U31/'P&amp;L Summary'!T$21</f>
        <v>0</v>
      </c>
      <c r="W31" s="116">
        <f t="shared" si="14"/>
        <v>0</v>
      </c>
      <c r="X31" s="2" t="str">
        <f t="shared" si="9"/>
        <v>45717CS</v>
      </c>
      <c r="Y31" s="2"/>
      <c r="Z31" s="2"/>
      <c r="AA31" s="2"/>
      <c r="AB31" s="2"/>
      <c r="AC31" s="8"/>
      <c r="AD31" s="8"/>
    </row>
    <row r="32" ht="12.75" customHeight="1">
      <c r="A32" s="124">
        <v>45718.0</v>
      </c>
      <c r="B32" s="8" t="s">
        <v>135</v>
      </c>
      <c r="C32" s="125">
        <f t="shared" si="1"/>
        <v>0</v>
      </c>
      <c r="D32" s="114">
        <f>+C32/'P&amp;L Summary'!B$21</f>
        <v>0</v>
      </c>
      <c r="E32" s="114"/>
      <c r="F32" s="118">
        <f>IF(ISERROR(VLOOKUP($X32,ess_bud,F$6,FALSE)),0,VLOOKUP($X32,ess_bud,F$6,FALSE))+IF(ISERROR(VLOOKUP($Z32,ess_bud,F$6,FALSE)),0,VLOOKUP($Z32,ess_bud,F$6,FALSE))+IF(ISERROR(VLOOKUP($Y32,ess_bud,F$6,FALSE)),0,VLOOKUP($Y32,ess_bud,F$6,FALSE))+IF(ISERROR(VLOOKUP($AA32,ess_bud,F$6,FALSE)),0,VLOOKUP($AA32,ess_bud,F$6,FALSE))</f>
        <v>0</v>
      </c>
      <c r="G32" s="114">
        <f>+F32/'P&amp;L Summary'!E$21</f>
        <v>0</v>
      </c>
      <c r="H32" s="114">
        <f t="shared" si="11"/>
        <v>0</v>
      </c>
      <c r="I32" s="114"/>
      <c r="J32" s="118">
        <f t="shared" si="3"/>
        <v>0</v>
      </c>
      <c r="K32" s="114">
        <f>+J32/'P&amp;L Summary'!I$21</f>
        <v>0</v>
      </c>
      <c r="L32" s="116">
        <f t="shared" si="12"/>
        <v>0</v>
      </c>
      <c r="M32" s="115"/>
      <c r="N32" s="125">
        <f t="shared" si="5"/>
        <v>0</v>
      </c>
      <c r="O32" s="114">
        <f>+N32/'P&amp;L Summary'!M$21</f>
        <v>0</v>
      </c>
      <c r="P32" s="114"/>
      <c r="Q32" s="74">
        <f>IF(ISERROR(VLOOKUP($X32,ess_bud,Q$6,FALSE)),0,VLOOKUP($X32,ess_bud,Q$6,FALSE))+IF(ISERROR(VLOOKUP($Z32,ess_bud,Q$6,FALSE)),0,VLOOKUP($Z32,ess_bud,Q$6,FALSE))+IF(ISERROR(VLOOKUP($Y32,ess_bud,Q$6,FALSE)),0,VLOOKUP($Y32,ess_bud,Q$6,FALSE))+IF(ISERROR(VLOOKUP($AA32,ess_bud,Q$6,FALSE)),0,VLOOKUP($AA32,ess_bud,Q$6,FALSE))</f>
        <v>0</v>
      </c>
      <c r="R32" s="114">
        <f>+Q32/'P&amp;L Summary'!P$21</f>
        <v>0</v>
      </c>
      <c r="S32" s="114">
        <f t="shared" si="13"/>
        <v>0</v>
      </c>
      <c r="T32" s="114"/>
      <c r="U32" s="126">
        <f t="shared" si="7"/>
        <v>0</v>
      </c>
      <c r="V32" s="114">
        <f>+U32/'P&amp;L Summary'!T$21</f>
        <v>0</v>
      </c>
      <c r="W32" s="116">
        <f t="shared" si="14"/>
        <v>0</v>
      </c>
      <c r="X32" s="2" t="str">
        <f t="shared" si="9"/>
        <v>45718CS</v>
      </c>
      <c r="Y32" s="2"/>
      <c r="Z32" s="2"/>
      <c r="AA32" s="2"/>
      <c r="AB32" s="2"/>
      <c r="AC32" s="8"/>
      <c r="AD32" s="8"/>
    </row>
    <row r="33" ht="12.75" customHeight="1">
      <c r="A33" s="124">
        <v>45719.0</v>
      </c>
      <c r="B33" s="8" t="s">
        <v>87</v>
      </c>
      <c r="C33" s="125">
        <f t="shared" si="1"/>
        <v>0</v>
      </c>
      <c r="D33" s="114">
        <f>+C33/'P&amp;L Summary'!B$21</f>
        <v>0</v>
      </c>
      <c r="E33" s="114"/>
      <c r="F33" s="118">
        <f>IF(ISERROR(VLOOKUP($X33,ess_bud,F$6,FALSE)),0,VLOOKUP($X33,ess_bud,F$6,FALSE))+IF(ISERROR(VLOOKUP($Z33,ess_bud,F$6,FALSE)),0,VLOOKUP($Z33,ess_bud,F$6,FALSE))+IF(ISERROR(VLOOKUP($Y33,ess_bud,F$6,FALSE)),0,VLOOKUP($Y33,ess_bud,F$6,FALSE))+IF(ISERROR(VLOOKUP($AA33,ess_bud,F$6,FALSE)),0,VLOOKUP($AA33,ess_bud,F$6,FALSE))</f>
        <v>0</v>
      </c>
      <c r="G33" s="114">
        <f>+F33/'P&amp;L Summary'!E$21</f>
        <v>0</v>
      </c>
      <c r="H33" s="114">
        <f t="shared" si="11"/>
        <v>0</v>
      </c>
      <c r="I33" s="114"/>
      <c r="J33" s="118">
        <f t="shared" si="3"/>
        <v>0</v>
      </c>
      <c r="K33" s="114">
        <f>+J33/'P&amp;L Summary'!I$21</f>
        <v>0</v>
      </c>
      <c r="L33" s="116">
        <f t="shared" si="12"/>
        <v>0</v>
      </c>
      <c r="M33" s="115"/>
      <c r="N33" s="125">
        <f t="shared" si="5"/>
        <v>0</v>
      </c>
      <c r="O33" s="114">
        <f>+N33/'P&amp;L Summary'!M$21</f>
        <v>0</v>
      </c>
      <c r="P33" s="114"/>
      <c r="Q33" s="74">
        <f>IF(ISERROR(VLOOKUP($X33,ess_bud,Q$6,FALSE)),0,VLOOKUP($X33,ess_bud,Q$6,FALSE))+IF(ISERROR(VLOOKUP($Z33,ess_bud,Q$6,FALSE)),0,VLOOKUP($Z33,ess_bud,Q$6,FALSE))+IF(ISERROR(VLOOKUP($Y33,ess_bud,Q$6,FALSE)),0,VLOOKUP($Y33,ess_bud,Q$6,FALSE))+IF(ISERROR(VLOOKUP($AA33,ess_bud,Q$6,FALSE)),0,VLOOKUP($AA33,ess_bud,Q$6,FALSE))</f>
        <v>400</v>
      </c>
      <c r="R33" s="114">
        <f>+Q33/'P&amp;L Summary'!P$21</f>
        <v>0.0001888789937</v>
      </c>
      <c r="S33" s="114">
        <f t="shared" si="13"/>
        <v>-1</v>
      </c>
      <c r="T33" s="114"/>
      <c r="U33" s="126">
        <f t="shared" si="7"/>
        <v>0</v>
      </c>
      <c r="V33" s="114">
        <f>+U33/'P&amp;L Summary'!T$21</f>
        <v>0</v>
      </c>
      <c r="W33" s="116">
        <f t="shared" si="14"/>
        <v>0</v>
      </c>
      <c r="X33" s="2" t="str">
        <f t="shared" si="9"/>
        <v>45719CS</v>
      </c>
      <c r="Y33" s="2"/>
      <c r="Z33" s="2"/>
      <c r="AA33" s="2"/>
      <c r="AB33" s="2"/>
      <c r="AC33" s="8"/>
      <c r="AD33" s="8"/>
    </row>
    <row r="34" ht="12.75" customHeight="1">
      <c r="A34" s="124">
        <v>45720.0</v>
      </c>
      <c r="B34" s="8" t="s">
        <v>88</v>
      </c>
      <c r="C34" s="125">
        <f t="shared" si="1"/>
        <v>0</v>
      </c>
      <c r="D34" s="114">
        <f>+C34/'P&amp;L Summary'!B$21</f>
        <v>0</v>
      </c>
      <c r="E34" s="114"/>
      <c r="F34" s="118">
        <f>IF(ISERROR(VLOOKUP($X34,ess_bud,F$6,FALSE)),0,VLOOKUP($X34,ess_bud,F$6,FALSE))+IF(ISERROR(VLOOKUP($Z34,ess_bud,F$6,FALSE)),0,VLOOKUP($Z34,ess_bud,F$6,FALSE))+IF(ISERROR(VLOOKUP($Y34,ess_bud,F$6,FALSE)),0,VLOOKUP($Y34,ess_bud,F$6,FALSE))+IF(ISERROR(VLOOKUP($AA34,ess_bud,F$6,FALSE)),0,VLOOKUP($AA34,ess_bud,F$6,FALSE))</f>
        <v>0</v>
      </c>
      <c r="G34" s="114">
        <f>+F34/'P&amp;L Summary'!E$21</f>
        <v>0</v>
      </c>
      <c r="H34" s="114">
        <f t="shared" si="11"/>
        <v>0</v>
      </c>
      <c r="I34" s="114"/>
      <c r="J34" s="118">
        <f t="shared" si="3"/>
        <v>0</v>
      </c>
      <c r="K34" s="114">
        <f>+J34/'P&amp;L Summary'!I$21</f>
        <v>0</v>
      </c>
      <c r="L34" s="116">
        <f t="shared" si="12"/>
        <v>0</v>
      </c>
      <c r="M34" s="115"/>
      <c r="N34" s="125">
        <f t="shared" si="5"/>
        <v>0</v>
      </c>
      <c r="O34" s="114">
        <f>+N34/'P&amp;L Summary'!M$21</f>
        <v>0</v>
      </c>
      <c r="P34" s="114"/>
      <c r="Q34" s="74">
        <f>IF(ISERROR(VLOOKUP($X34,ess_bud,Q$6,FALSE)),0,VLOOKUP($X34,ess_bud,Q$6,FALSE))+IF(ISERROR(VLOOKUP($Z34,ess_bud,Q$6,FALSE)),0,VLOOKUP($Z34,ess_bud,Q$6,FALSE))+IF(ISERROR(VLOOKUP($Y34,ess_bud,Q$6,FALSE)),0,VLOOKUP($Y34,ess_bud,Q$6,FALSE))+IF(ISERROR(VLOOKUP($AA34,ess_bud,Q$6,FALSE)),0,VLOOKUP($AA34,ess_bud,Q$6,FALSE))</f>
        <v>0</v>
      </c>
      <c r="R34" s="114">
        <f>+Q34/'P&amp;L Summary'!P$21</f>
        <v>0</v>
      </c>
      <c r="S34" s="114">
        <f t="shared" si="13"/>
        <v>0</v>
      </c>
      <c r="T34" s="114"/>
      <c r="U34" s="126">
        <f t="shared" si="7"/>
        <v>0</v>
      </c>
      <c r="V34" s="114">
        <f>+U34/'P&amp;L Summary'!T$21</f>
        <v>0</v>
      </c>
      <c r="W34" s="116">
        <f t="shared" si="14"/>
        <v>0</v>
      </c>
      <c r="X34" s="2" t="str">
        <f t="shared" si="9"/>
        <v>45720CS</v>
      </c>
      <c r="Y34" s="2"/>
      <c r="Z34" s="2"/>
      <c r="AA34" s="2"/>
      <c r="AB34" s="2"/>
      <c r="AC34" s="8"/>
      <c r="AD34" s="8"/>
    </row>
    <row r="35" ht="12.75" customHeight="1">
      <c r="A35" s="124">
        <v>45721.0</v>
      </c>
      <c r="B35" s="8" t="s">
        <v>141</v>
      </c>
      <c r="C35" s="125">
        <f t="shared" si="1"/>
        <v>0</v>
      </c>
      <c r="D35" s="114">
        <f>+C35/'P&amp;L Summary'!B$21</f>
        <v>0</v>
      </c>
      <c r="E35" s="114"/>
      <c r="F35" s="118">
        <f>IF(ISERROR(VLOOKUP($X35,ess_bud,F$6,FALSE)),0,VLOOKUP($X35,ess_bud,F$6,FALSE))+IF(ISERROR(VLOOKUP($Z35,ess_bud,F$6,FALSE)),0,VLOOKUP($Z35,ess_bud,F$6,FALSE))+IF(ISERROR(VLOOKUP($Y35,ess_bud,F$6,FALSE)),0,VLOOKUP($Y35,ess_bud,F$6,FALSE))+IF(ISERROR(VLOOKUP($AA35,ess_bud,F$6,FALSE)),0,VLOOKUP($AA35,ess_bud,F$6,FALSE))</f>
        <v>0</v>
      </c>
      <c r="G35" s="114">
        <f>+F35/'P&amp;L Summary'!E$21</f>
        <v>0</v>
      </c>
      <c r="H35" s="114">
        <f t="shared" si="11"/>
        <v>0</v>
      </c>
      <c r="I35" s="114"/>
      <c r="J35" s="118">
        <f t="shared" si="3"/>
        <v>0</v>
      </c>
      <c r="K35" s="114">
        <f>+J35/'P&amp;L Summary'!I$21</f>
        <v>0</v>
      </c>
      <c r="L35" s="116">
        <f t="shared" si="12"/>
        <v>0</v>
      </c>
      <c r="M35" s="115"/>
      <c r="N35" s="125">
        <f t="shared" si="5"/>
        <v>0</v>
      </c>
      <c r="O35" s="114">
        <f>+N35/'P&amp;L Summary'!M$21</f>
        <v>0</v>
      </c>
      <c r="P35" s="114"/>
      <c r="Q35" s="74">
        <f>IF(ISERROR(VLOOKUP($X35,ess_bud,Q$6,FALSE)),0,VLOOKUP($X35,ess_bud,Q$6,FALSE))+IF(ISERROR(VLOOKUP($Z35,ess_bud,Q$6,FALSE)),0,VLOOKUP($Z35,ess_bud,Q$6,FALSE))+IF(ISERROR(VLOOKUP($Y35,ess_bud,Q$6,FALSE)),0,VLOOKUP($Y35,ess_bud,Q$6,FALSE))+IF(ISERROR(VLOOKUP($AA35,ess_bud,Q$6,FALSE)),0,VLOOKUP($AA35,ess_bud,Q$6,FALSE))</f>
        <v>0</v>
      </c>
      <c r="R35" s="114">
        <f>+Q35/'P&amp;L Summary'!P$21</f>
        <v>0</v>
      </c>
      <c r="S35" s="114">
        <f t="shared" si="13"/>
        <v>0</v>
      </c>
      <c r="T35" s="114"/>
      <c r="U35" s="126">
        <f t="shared" si="7"/>
        <v>0</v>
      </c>
      <c r="V35" s="114">
        <f>+U35/'P&amp;L Summary'!T$21</f>
        <v>0</v>
      </c>
      <c r="W35" s="116">
        <f t="shared" si="14"/>
        <v>0</v>
      </c>
      <c r="X35" s="2" t="str">
        <f t="shared" si="9"/>
        <v>45721CS</v>
      </c>
      <c r="Y35" s="2"/>
      <c r="Z35" s="2"/>
      <c r="AA35" s="2"/>
      <c r="AB35" s="2"/>
      <c r="AC35" s="8"/>
      <c r="AD35" s="8"/>
    </row>
    <row r="36" ht="12.75" customHeight="1">
      <c r="A36" s="124">
        <v>45722.0</v>
      </c>
      <c r="B36" s="8" t="s">
        <v>143</v>
      </c>
      <c r="C36" s="125">
        <f t="shared" si="1"/>
        <v>0</v>
      </c>
      <c r="D36" s="114">
        <f>+C36/'P&amp;L Summary'!B$21</f>
        <v>0</v>
      </c>
      <c r="E36" s="114"/>
      <c r="F36" s="118">
        <f>IF(ISERROR(VLOOKUP($X36,ess_bud,F$6,FALSE)),0,VLOOKUP($X36,ess_bud,F$6,FALSE))+IF(ISERROR(VLOOKUP($Z36,ess_bud,F$6,FALSE)),0,VLOOKUP($Z36,ess_bud,F$6,FALSE))+IF(ISERROR(VLOOKUP($Y36,ess_bud,F$6,FALSE)),0,VLOOKUP($Y36,ess_bud,F$6,FALSE))+IF(ISERROR(VLOOKUP($AA36,ess_bud,F$6,FALSE)),0,VLOOKUP($AA36,ess_bud,F$6,FALSE))</f>
        <v>0</v>
      </c>
      <c r="G36" s="114">
        <f>+F36/'P&amp;L Summary'!E$21</f>
        <v>0</v>
      </c>
      <c r="H36" s="114">
        <f t="shared" si="11"/>
        <v>0</v>
      </c>
      <c r="I36" s="114"/>
      <c r="J36" s="118">
        <f t="shared" si="3"/>
        <v>0</v>
      </c>
      <c r="K36" s="114">
        <f>+J36/'P&amp;L Summary'!I$21</f>
        <v>0</v>
      </c>
      <c r="L36" s="116">
        <f t="shared" si="12"/>
        <v>0</v>
      </c>
      <c r="M36" s="115"/>
      <c r="N36" s="125">
        <f t="shared" si="5"/>
        <v>0</v>
      </c>
      <c r="O36" s="114">
        <f>+N36/'P&amp;L Summary'!M$21</f>
        <v>0</v>
      </c>
      <c r="P36" s="114"/>
      <c r="Q36" s="74">
        <f>IF(ISERROR(VLOOKUP($X36,ess_bud,Q$6,FALSE)),0,VLOOKUP($X36,ess_bud,Q$6,FALSE))+IF(ISERROR(VLOOKUP($Z36,ess_bud,Q$6,FALSE)),0,VLOOKUP($Z36,ess_bud,Q$6,FALSE))+IF(ISERROR(VLOOKUP($Y36,ess_bud,Q$6,FALSE)),0,VLOOKUP($Y36,ess_bud,Q$6,FALSE))+IF(ISERROR(VLOOKUP($AA36,ess_bud,Q$6,FALSE)),0,VLOOKUP($AA36,ess_bud,Q$6,FALSE))</f>
        <v>0</v>
      </c>
      <c r="R36" s="114">
        <f>+Q36/'P&amp;L Summary'!P$21</f>
        <v>0</v>
      </c>
      <c r="S36" s="114">
        <f t="shared" si="13"/>
        <v>0</v>
      </c>
      <c r="T36" s="114"/>
      <c r="U36" s="126">
        <f t="shared" si="7"/>
        <v>0</v>
      </c>
      <c r="V36" s="114">
        <f>+U36/'P&amp;L Summary'!T$21</f>
        <v>0</v>
      </c>
      <c r="W36" s="116">
        <f t="shared" si="14"/>
        <v>0</v>
      </c>
      <c r="X36" s="2" t="str">
        <f t="shared" si="9"/>
        <v>45722CS</v>
      </c>
      <c r="Y36" s="2"/>
      <c r="Z36" s="2"/>
      <c r="AA36" s="2"/>
      <c r="AB36" s="2"/>
      <c r="AC36" s="8"/>
      <c r="AD36" s="8"/>
    </row>
    <row r="37" ht="12.75" customHeight="1">
      <c r="A37" s="124">
        <v>45723.0</v>
      </c>
      <c r="B37" s="8" t="s">
        <v>147</v>
      </c>
      <c r="C37" s="125">
        <f t="shared" si="1"/>
        <v>0</v>
      </c>
      <c r="D37" s="114">
        <f>+C37/'P&amp;L Summary'!B$21</f>
        <v>0</v>
      </c>
      <c r="E37" s="114"/>
      <c r="F37" s="118">
        <f>IF(ISERROR(VLOOKUP($X37,ess_bud,F$6,FALSE)),0,VLOOKUP($X37,ess_bud,F$6,FALSE))+IF(ISERROR(VLOOKUP($Z37,ess_bud,F$6,FALSE)),0,VLOOKUP($Z37,ess_bud,F$6,FALSE))+IF(ISERROR(VLOOKUP($Y37,ess_bud,F$6,FALSE)),0,VLOOKUP($Y37,ess_bud,F$6,FALSE))+IF(ISERROR(VLOOKUP($AA37,ess_bud,F$6,FALSE)),0,VLOOKUP($AA37,ess_bud,F$6,FALSE))</f>
        <v>0</v>
      </c>
      <c r="G37" s="114">
        <f>+F37/'P&amp;L Summary'!E$21</f>
        <v>0</v>
      </c>
      <c r="H37" s="114">
        <f t="shared" si="11"/>
        <v>0</v>
      </c>
      <c r="I37" s="114"/>
      <c r="J37" s="118">
        <f t="shared" si="3"/>
        <v>0</v>
      </c>
      <c r="K37" s="114">
        <f>+J37/'P&amp;L Summary'!I$21</f>
        <v>0</v>
      </c>
      <c r="L37" s="116">
        <f t="shared" si="12"/>
        <v>0</v>
      </c>
      <c r="M37" s="115"/>
      <c r="N37" s="125">
        <f t="shared" si="5"/>
        <v>0</v>
      </c>
      <c r="O37" s="114">
        <f>+N37/'P&amp;L Summary'!M$21</f>
        <v>0</v>
      </c>
      <c r="P37" s="114"/>
      <c r="Q37" s="74">
        <f>IF(ISERROR(VLOOKUP($X37,ess_bud,Q$6,FALSE)),0,VLOOKUP($X37,ess_bud,Q$6,FALSE))+IF(ISERROR(VLOOKUP($Z37,ess_bud,Q$6,FALSE)),0,VLOOKUP($Z37,ess_bud,Q$6,FALSE))+IF(ISERROR(VLOOKUP($Y37,ess_bud,Q$6,FALSE)),0,VLOOKUP($Y37,ess_bud,Q$6,FALSE))+IF(ISERROR(VLOOKUP($AA37,ess_bud,Q$6,FALSE)),0,VLOOKUP($AA37,ess_bud,Q$6,FALSE))</f>
        <v>120</v>
      </c>
      <c r="R37" s="114">
        <f>+Q37/'P&amp;L Summary'!P$21</f>
        <v>0.00005666369812</v>
      </c>
      <c r="S37" s="114">
        <f t="shared" si="13"/>
        <v>-1</v>
      </c>
      <c r="T37" s="114"/>
      <c r="U37" s="126">
        <f t="shared" si="7"/>
        <v>0</v>
      </c>
      <c r="V37" s="114">
        <f>+U37/'P&amp;L Summary'!T$21</f>
        <v>0</v>
      </c>
      <c r="W37" s="116">
        <f t="shared" si="14"/>
        <v>0</v>
      </c>
      <c r="X37" s="2" t="str">
        <f t="shared" si="9"/>
        <v>45723CS</v>
      </c>
      <c r="Y37" s="2"/>
      <c r="Z37" s="2"/>
      <c r="AA37" s="2"/>
      <c r="AB37" s="2"/>
      <c r="AC37" s="8"/>
      <c r="AD37" s="8"/>
    </row>
    <row r="38" ht="12.75" customHeight="1">
      <c r="A38" s="124">
        <v>45724.0</v>
      </c>
      <c r="B38" s="8" t="s">
        <v>94</v>
      </c>
      <c r="C38" s="125">
        <f t="shared" si="1"/>
        <v>0</v>
      </c>
      <c r="D38" s="114">
        <f>+C38/'P&amp;L Summary'!B$21</f>
        <v>0</v>
      </c>
      <c r="E38" s="114"/>
      <c r="F38" s="118">
        <f>IF(ISERROR(VLOOKUP($X38,ess_bud,F$6,FALSE)),0,VLOOKUP($X38,ess_bud,F$6,FALSE))+IF(ISERROR(VLOOKUP($Z38,ess_bud,F$6,FALSE)),0,VLOOKUP($Z38,ess_bud,F$6,FALSE))+IF(ISERROR(VLOOKUP($Y38,ess_bud,F$6,FALSE)),0,VLOOKUP($Y38,ess_bud,F$6,FALSE))+IF(ISERROR(VLOOKUP($AA38,ess_bud,F$6,FALSE)),0,VLOOKUP($AA38,ess_bud,F$6,FALSE))</f>
        <v>0</v>
      </c>
      <c r="G38" s="114">
        <f>+F38/'P&amp;L Summary'!E$21</f>
        <v>0</v>
      </c>
      <c r="H38" s="114">
        <f t="shared" si="11"/>
        <v>0</v>
      </c>
      <c r="I38" s="114"/>
      <c r="J38" s="118">
        <f t="shared" si="3"/>
        <v>0</v>
      </c>
      <c r="K38" s="114">
        <f>+J38/'P&amp;L Summary'!I$21</f>
        <v>0</v>
      </c>
      <c r="L38" s="116">
        <f t="shared" si="12"/>
        <v>0</v>
      </c>
      <c r="M38" s="115"/>
      <c r="N38" s="125">
        <f t="shared" si="5"/>
        <v>0</v>
      </c>
      <c r="O38" s="114">
        <f>+N38/'P&amp;L Summary'!M$21</f>
        <v>0</v>
      </c>
      <c r="P38" s="114"/>
      <c r="Q38" s="74">
        <f>IF(ISERROR(VLOOKUP($X38,ess_bud,Q$6,FALSE)),0,VLOOKUP($X38,ess_bud,Q$6,FALSE))+IF(ISERROR(VLOOKUP($Z38,ess_bud,Q$6,FALSE)),0,VLOOKUP($Z38,ess_bud,Q$6,FALSE))+IF(ISERROR(VLOOKUP($Y38,ess_bud,Q$6,FALSE)),0,VLOOKUP($Y38,ess_bud,Q$6,FALSE))+IF(ISERROR(VLOOKUP($AA38,ess_bud,Q$6,FALSE)),0,VLOOKUP($AA38,ess_bud,Q$6,FALSE))</f>
        <v>625</v>
      </c>
      <c r="R38" s="114">
        <f>+Q38/'P&amp;L Summary'!P$21</f>
        <v>0.0002951234277</v>
      </c>
      <c r="S38" s="114">
        <f t="shared" si="13"/>
        <v>-1</v>
      </c>
      <c r="T38" s="114"/>
      <c r="U38" s="126">
        <f t="shared" si="7"/>
        <v>0</v>
      </c>
      <c r="V38" s="114">
        <f>+U38/'P&amp;L Summary'!T$21</f>
        <v>0</v>
      </c>
      <c r="W38" s="116">
        <f t="shared" si="14"/>
        <v>0</v>
      </c>
      <c r="X38" s="2" t="str">
        <f t="shared" si="9"/>
        <v>45724CS</v>
      </c>
      <c r="Y38" s="2"/>
      <c r="Z38" s="2"/>
      <c r="AA38" s="2"/>
      <c r="AB38" s="2"/>
      <c r="AC38" s="8"/>
      <c r="AD38" s="8"/>
    </row>
    <row r="39" ht="12.75" customHeight="1">
      <c r="A39" s="124">
        <v>49109.0</v>
      </c>
      <c r="B39" s="8" t="s">
        <v>150</v>
      </c>
      <c r="C39" s="125">
        <f t="shared" si="1"/>
        <v>0</v>
      </c>
      <c r="D39" s="114">
        <f>+C39/'P&amp;L Summary'!B$21</f>
        <v>0</v>
      </c>
      <c r="E39" s="114"/>
      <c r="F39" s="118">
        <f>IF(ISERROR(VLOOKUP($X39,ess_bud,F$6,FALSE)),0,VLOOKUP($X39,ess_bud,F$6,FALSE))+IF(ISERROR(VLOOKUP($Z39,ess_bud,F$6,FALSE)),0,VLOOKUP($Z39,ess_bud,F$6,FALSE))+IF(ISERROR(VLOOKUP($Y39,ess_bud,F$6,FALSE)),0,VLOOKUP($Y39,ess_bud,F$6,FALSE))+IF(ISERROR(VLOOKUP($AA39,ess_bud,F$6,FALSE)),0,VLOOKUP($AA39,ess_bud,F$6,FALSE))</f>
        <v>0</v>
      </c>
      <c r="G39" s="114">
        <f>+F39/'P&amp;L Summary'!E$21</f>
        <v>0</v>
      </c>
      <c r="H39" s="114">
        <f t="shared" si="11"/>
        <v>0</v>
      </c>
      <c r="I39" s="114"/>
      <c r="J39" s="118">
        <f t="shared" si="3"/>
        <v>0</v>
      </c>
      <c r="K39" s="114">
        <f>+J39/'P&amp;L Summary'!I$21</f>
        <v>0</v>
      </c>
      <c r="L39" s="116">
        <f t="shared" si="12"/>
        <v>0</v>
      </c>
      <c r="M39" s="115"/>
      <c r="N39" s="125">
        <f t="shared" si="5"/>
        <v>0</v>
      </c>
      <c r="O39" s="114">
        <f>+N39/'P&amp;L Summary'!M$21</f>
        <v>0</v>
      </c>
      <c r="P39" s="114"/>
      <c r="Q39" s="74">
        <f>IF(ISERROR(VLOOKUP($X39,ess_bud,Q$6,FALSE)),0,VLOOKUP($X39,ess_bud,Q$6,FALSE))+IF(ISERROR(VLOOKUP($Z39,ess_bud,Q$6,FALSE)),0,VLOOKUP($Z39,ess_bud,Q$6,FALSE))+IF(ISERROR(VLOOKUP($Y39,ess_bud,Q$6,FALSE)),0,VLOOKUP($Y39,ess_bud,Q$6,FALSE))+IF(ISERROR(VLOOKUP($AA39,ess_bud,Q$6,FALSE)),0,VLOOKUP($AA39,ess_bud,Q$6,FALSE))</f>
        <v>0</v>
      </c>
      <c r="R39" s="114">
        <f>+Q39/'P&amp;L Summary'!P$21</f>
        <v>0</v>
      </c>
      <c r="S39" s="114">
        <f t="shared" si="13"/>
        <v>0</v>
      </c>
      <c r="T39" s="114"/>
      <c r="U39" s="126">
        <f t="shared" si="7"/>
        <v>0</v>
      </c>
      <c r="V39" s="114">
        <f>+U39/'P&amp;L Summary'!T$21</f>
        <v>0</v>
      </c>
      <c r="W39" s="116"/>
      <c r="X39" s="2" t="str">
        <f t="shared" si="9"/>
        <v>49109CS</v>
      </c>
      <c r="Y39" s="2"/>
      <c r="Z39" s="2" t="str">
        <f>49107&amp;$A$9</f>
        <v>49107CS</v>
      </c>
      <c r="AA39" s="2"/>
      <c r="AB39" s="2"/>
      <c r="AC39" s="8"/>
      <c r="AD39" s="8"/>
    </row>
    <row r="40" ht="12.75" customHeight="1">
      <c r="A40" s="124">
        <v>45725.0</v>
      </c>
      <c r="B40" s="8" t="s">
        <v>95</v>
      </c>
      <c r="C40" s="125">
        <f t="shared" si="1"/>
        <v>0</v>
      </c>
      <c r="D40" s="114">
        <f>+C40/'P&amp;L Summary'!B$21</f>
        <v>0</v>
      </c>
      <c r="E40" s="114"/>
      <c r="F40" s="118">
        <f>IF(ISERROR(VLOOKUP($X40,ess_bud,F$6,FALSE)),0,VLOOKUP($X40,ess_bud,F$6,FALSE))+IF(ISERROR(VLOOKUP($Z40,ess_bud,F$6,FALSE)),0,VLOOKUP($Z40,ess_bud,F$6,FALSE))+IF(ISERROR(VLOOKUP($Y40,ess_bud,F$6,FALSE)),0,VLOOKUP($Y40,ess_bud,F$6,FALSE))+IF(ISERROR(VLOOKUP($AA40,ess_bud,F$6,FALSE)),0,VLOOKUP($AA40,ess_bud,F$6,FALSE))</f>
        <v>0</v>
      </c>
      <c r="G40" s="114">
        <f>+F40/'P&amp;L Summary'!E$21</f>
        <v>0</v>
      </c>
      <c r="H40" s="114">
        <f t="shared" si="11"/>
        <v>0</v>
      </c>
      <c r="I40" s="114"/>
      <c r="J40" s="118">
        <f t="shared" si="3"/>
        <v>0</v>
      </c>
      <c r="K40" s="114">
        <f>+J40/'P&amp;L Summary'!I$21</f>
        <v>0</v>
      </c>
      <c r="L40" s="116">
        <f t="shared" si="12"/>
        <v>0</v>
      </c>
      <c r="M40" s="115"/>
      <c r="N40" s="125">
        <f t="shared" si="5"/>
        <v>0</v>
      </c>
      <c r="O40" s="114">
        <f>+N40/'P&amp;L Summary'!M$21</f>
        <v>0</v>
      </c>
      <c r="P40" s="114"/>
      <c r="Q40" s="74">
        <f>IF(ISERROR(VLOOKUP($X40,ess_bud,Q$6,FALSE)),0,VLOOKUP($X40,ess_bud,Q$6,FALSE))+IF(ISERROR(VLOOKUP($Z40,ess_bud,Q$6,FALSE)),0,VLOOKUP($Z40,ess_bud,Q$6,FALSE))+IF(ISERROR(VLOOKUP($Y40,ess_bud,Q$6,FALSE)),0,VLOOKUP($Y40,ess_bud,Q$6,FALSE))+IF(ISERROR(VLOOKUP($AA40,ess_bud,Q$6,FALSE)),0,VLOOKUP($AA40,ess_bud,Q$6,FALSE))</f>
        <v>375</v>
      </c>
      <c r="R40" s="114">
        <f>+Q40/'P&amp;L Summary'!P$21</f>
        <v>0.0001770740566</v>
      </c>
      <c r="S40" s="114">
        <f t="shared" si="13"/>
        <v>-1</v>
      </c>
      <c r="T40" s="114"/>
      <c r="U40" s="126">
        <f t="shared" si="7"/>
        <v>0</v>
      </c>
      <c r="V40" s="114">
        <f>+U40/'P&amp;L Summary'!T$21</f>
        <v>0</v>
      </c>
      <c r="W40" s="116">
        <f t="shared" ref="W40:W41" si="15">+IF(U40=0,0,(N40-U40)/U40)</f>
        <v>0</v>
      </c>
      <c r="X40" s="2" t="str">
        <f t="shared" si="9"/>
        <v>45725CS</v>
      </c>
      <c r="Y40" s="2"/>
      <c r="Z40" s="2"/>
      <c r="AA40" s="2"/>
      <c r="AB40" s="2"/>
      <c r="AC40" s="8"/>
      <c r="AD40" s="8"/>
    </row>
    <row r="41" ht="12.75" customHeight="1">
      <c r="A41" s="2"/>
      <c r="B41" s="24" t="s">
        <v>40</v>
      </c>
      <c r="C41" s="144">
        <f>SUM(C13:C40)</f>
        <v>0</v>
      </c>
      <c r="D41" s="145">
        <f>+C41/'P&amp;L Summary'!B$21</f>
        <v>0</v>
      </c>
      <c r="E41" s="145"/>
      <c r="F41" s="146">
        <f>SUM(F13:F40)</f>
        <v>0</v>
      </c>
      <c r="G41" s="145">
        <f>+F41/'P&amp;L Summary'!E$21</f>
        <v>0</v>
      </c>
      <c r="H41" s="145">
        <f t="shared" si="11"/>
        <v>0</v>
      </c>
      <c r="I41" s="145"/>
      <c r="J41" s="147">
        <f>SUM(J13:J40)</f>
        <v>0</v>
      </c>
      <c r="K41" s="145">
        <f>+J41/'P&amp;L Summary'!I$21</f>
        <v>0</v>
      </c>
      <c r="L41" s="148">
        <f t="shared" si="12"/>
        <v>0</v>
      </c>
      <c r="M41" s="149"/>
      <c r="N41" s="144">
        <f>SUM(N13:N40)</f>
        <v>0</v>
      </c>
      <c r="O41" s="145">
        <f>+N41/'P&amp;L Summary'!M$21</f>
        <v>0</v>
      </c>
      <c r="P41" s="145"/>
      <c r="Q41" s="146">
        <f>SUM(Q13:Q40)</f>
        <v>31720.25</v>
      </c>
      <c r="R41" s="145">
        <f>+Q41/'P&amp;L Summary'!P$21</f>
        <v>0.01497822225</v>
      </c>
      <c r="S41" s="145">
        <f t="shared" si="13"/>
        <v>-1</v>
      </c>
      <c r="T41" s="145"/>
      <c r="U41" s="146">
        <f>SUM(U13:U40)</f>
        <v>0</v>
      </c>
      <c r="V41" s="145">
        <f>+U41/'P&amp;L Summary'!T$21</f>
        <v>0</v>
      </c>
      <c r="W41" s="148">
        <f t="shared" si="15"/>
        <v>0</v>
      </c>
      <c r="X41" s="2"/>
      <c r="Y41" s="2"/>
      <c r="Z41" s="2"/>
      <c r="AA41" s="2"/>
      <c r="AB41" s="2"/>
      <c r="AC41" s="8"/>
      <c r="AD41" s="8"/>
    </row>
    <row r="42" ht="12.75" customHeight="1">
      <c r="A42" s="2"/>
      <c r="B42" s="8"/>
      <c r="C42" s="125"/>
      <c r="D42" s="114"/>
      <c r="E42" s="114"/>
      <c r="F42" s="74"/>
      <c r="G42" s="114"/>
      <c r="H42" s="137"/>
      <c r="I42" s="137"/>
      <c r="J42" s="118"/>
      <c r="K42" s="114"/>
      <c r="L42" s="116"/>
      <c r="M42" s="115"/>
      <c r="N42" s="125"/>
      <c r="O42" s="114"/>
      <c r="P42" s="114"/>
      <c r="Q42" s="74"/>
      <c r="R42" s="114"/>
      <c r="S42" s="137"/>
      <c r="T42" s="137"/>
      <c r="U42" s="74"/>
      <c r="V42" s="114"/>
      <c r="W42" s="116"/>
      <c r="X42" s="2"/>
      <c r="Y42" s="2"/>
      <c r="Z42" s="2"/>
      <c r="AA42" s="2"/>
      <c r="AB42" s="2"/>
      <c r="AC42" s="8"/>
      <c r="AD42" s="8"/>
    </row>
    <row r="43" ht="12.75" customHeight="1">
      <c r="A43" s="2"/>
      <c r="B43" s="24" t="s">
        <v>33</v>
      </c>
      <c r="C43" s="125"/>
      <c r="D43" s="137"/>
      <c r="E43" s="137"/>
      <c r="F43" s="74"/>
      <c r="G43" s="137"/>
      <c r="H43" s="137"/>
      <c r="I43" s="137"/>
      <c r="J43" s="118"/>
      <c r="K43" s="137"/>
      <c r="L43" s="138"/>
      <c r="M43" s="115"/>
      <c r="N43" s="125"/>
      <c r="O43" s="137"/>
      <c r="P43" s="137"/>
      <c r="Q43" s="74"/>
      <c r="R43" s="137"/>
      <c r="S43" s="137"/>
      <c r="T43" s="137"/>
      <c r="U43" s="74"/>
      <c r="V43" s="137"/>
      <c r="W43" s="138"/>
      <c r="X43" s="2"/>
      <c r="Y43" s="2"/>
      <c r="Z43" s="2"/>
      <c r="AA43" s="2"/>
      <c r="AB43" s="2"/>
      <c r="AC43" s="8"/>
      <c r="AD43" s="8"/>
    </row>
    <row r="44" ht="12.75" customHeight="1">
      <c r="A44" s="32">
        <v>45102.0</v>
      </c>
      <c r="B44" s="8" t="s">
        <v>154</v>
      </c>
      <c r="C44" s="125">
        <f t="shared" ref="C44:C65" si="16">IF(ISERROR(VLOOKUP($X44,ess_act,C$6,FALSE)),0,VLOOKUP($X44,ess_act,C$6,FALSE))+IF(ISERROR(VLOOKUP($Z44,ess_act,C$6,FALSE)),0,VLOOKUP($Z44,ess_act,C$6,FALSE))+IF(ISERROR(VLOOKUP($Y44,ess_act,C$6,FALSE)),0,VLOOKUP($Y44,ess_act,C$6,FALSE))+IF(ISERROR(VLOOKUP($AA44,ess_act,C$6,FALSE)),0,VLOOKUP($AA44,ess_act,C$6,FALSE))</f>
        <v>0</v>
      </c>
      <c r="D44" s="114">
        <f>+C44/'P&amp;L Summary'!B$21</f>
        <v>0</v>
      </c>
      <c r="E44" s="114"/>
      <c r="F44" s="118">
        <f>IF(ISERROR(VLOOKUP($X44,ess_bud,F$6,FALSE)),0,VLOOKUP($X44,ess_bud,F$6,FALSE))+IF(ISERROR(VLOOKUP($Z44,ess_bud,F$6,FALSE)),0,VLOOKUP($Z44,ess_bud,F$6,FALSE))+IF(ISERROR(VLOOKUP($Y44,ess_bud,F$6,FALSE)),0,VLOOKUP($Y44,ess_bud,F$6,FALSE))+IF(ISERROR(VLOOKUP($AA44,ess_bud,F$6,FALSE)),0,VLOOKUP($AA44,ess_bud,F$6,FALSE))</f>
        <v>0</v>
      </c>
      <c r="G44" s="114">
        <f>+F44/'P&amp;L Summary'!E$21</f>
        <v>0</v>
      </c>
      <c r="H44" s="114">
        <f t="shared" ref="H44:H65" si="17">IF(F44=0,0,+(C44-F44)/F44)</f>
        <v>0</v>
      </c>
      <c r="I44" s="114"/>
      <c r="J44" s="118">
        <f t="shared" ref="J44:J65" si="18">IF(ISERROR(VLOOKUP($X44,ess_act,J$6,FALSE)),0,VLOOKUP($X44,ess_act,J$6,FALSE))+IF(ISERROR(VLOOKUP($Z44,ess_act,J$6,FALSE)),0,VLOOKUP($Z44,ess_act,J$6,FALSE))+IF(ISERROR(VLOOKUP($Y44,ess_act,J$6,FALSE)),0,VLOOKUP($Y44,ess_act,J$6,FALSE))+IF(ISERROR(VLOOKUP($AA44,ess_act,J$6,FALSE)),0,VLOOKUP($AA44,ess_act,J$6,FALSE))</f>
        <v>0</v>
      </c>
      <c r="K44" s="114">
        <f>+J44/'P&amp;L Summary'!I$21</f>
        <v>0</v>
      </c>
      <c r="L44" s="116">
        <f t="shared" ref="L44:L65" si="19">IF(J44=0,0,+(C44-J44)/J44)</f>
        <v>0</v>
      </c>
      <c r="M44" s="115"/>
      <c r="N44" s="125">
        <f t="shared" ref="N44:N65" si="20">IF(ISERROR(VLOOKUP($X44,ess_act,N$6,FALSE)),0,VLOOKUP($X44,ess_act,N$6,FALSE))+IF(ISERROR(VLOOKUP($Z44,ess_act,N$6,FALSE)),0,VLOOKUP($Z44,ess_act,N$6,FALSE))+IF(ISERROR(VLOOKUP($Y44,ess_act,N$6,FALSE)),0,VLOOKUP($Y44,ess_act,N$6,FALSE))+IF(ISERROR(VLOOKUP($AA44,ess_act,N$6,FALSE)),0,VLOOKUP($AA44,ess_act,N$6,FALSE))</f>
        <v>0</v>
      </c>
      <c r="O44" s="114">
        <f>+N44/'P&amp;L Summary'!M$21</f>
        <v>0</v>
      </c>
      <c r="P44" s="114"/>
      <c r="Q44" s="74">
        <f>IF(ISERROR(VLOOKUP($X44,ess_bud,Q$6,FALSE)),0,VLOOKUP($X44,ess_bud,Q$6,FALSE))+IF(ISERROR(VLOOKUP($Z44,ess_bud,Q$6,FALSE)),0,VLOOKUP($Z44,ess_bud,Q$6,FALSE))+IF(ISERROR(VLOOKUP($Y44,ess_bud,Q$6,FALSE)),0,VLOOKUP($Y44,ess_bud,Q$6,FALSE))+IF(ISERROR(VLOOKUP($AA44,ess_bud,Q$6,FALSE)),0,VLOOKUP($AA44,ess_bud,Q$6,FALSE))</f>
        <v>0</v>
      </c>
      <c r="R44" s="114">
        <f>+Q44/'P&amp;L Summary'!P$21</f>
        <v>0</v>
      </c>
      <c r="S44" s="114">
        <f t="shared" ref="S44:S65" si="21">+IF(Q44=0,0,(N44-Q44)/Q44)</f>
        <v>0</v>
      </c>
      <c r="T44" s="114"/>
      <c r="U44" s="126">
        <f t="shared" ref="U44:U65" si="22">IF(ISERROR(VLOOKUP($X44,ess_act,U$6,FALSE)),0,VLOOKUP($X44,ess_act,U$6,FALSE))+IF(ISERROR(VLOOKUP($Z44,ess_act,U$6,FALSE)),0,VLOOKUP($Z44,ess_act,U$6,FALSE))+IF(ISERROR(VLOOKUP($Y44,ess_act,U$6,FALSE)),0,VLOOKUP($Y44,ess_act,U$6,FALSE))+IF(ISERROR(VLOOKUP($AA44,ess_act,U$6,FALSE)),0,VLOOKUP($AA44,ess_act,U$6,FALSE))</f>
        <v>0</v>
      </c>
      <c r="V44" s="114">
        <f>+U44/'P&amp;L Summary'!T$21</f>
        <v>0</v>
      </c>
      <c r="W44" s="116">
        <f t="shared" ref="W44:W62" si="23">+IF(U44=0,0,(N44-U44)/U44)</f>
        <v>0</v>
      </c>
      <c r="X44" s="2" t="str">
        <f t="shared" ref="X44:X65" si="24">A44&amp;$A$9</f>
        <v>45102CS</v>
      </c>
      <c r="Y44" s="2"/>
      <c r="Z44" s="2"/>
      <c r="AA44" s="2"/>
      <c r="AB44" s="2"/>
      <c r="AC44" s="8"/>
      <c r="AD44" s="8"/>
    </row>
    <row r="45" ht="12.75" customHeight="1">
      <c r="A45" s="32">
        <v>45103.0</v>
      </c>
      <c r="B45" s="8" t="s">
        <v>123</v>
      </c>
      <c r="C45" s="125">
        <f t="shared" si="16"/>
        <v>0</v>
      </c>
      <c r="D45" s="114">
        <f>+C45/'P&amp;L Summary'!B$21</f>
        <v>0</v>
      </c>
      <c r="E45" s="114"/>
      <c r="F45" s="118">
        <f>IF(ISERROR(VLOOKUP($X45,ess_bud,F$6,FALSE)),0,VLOOKUP($X45,ess_bud,F$6,FALSE))+IF(ISERROR(VLOOKUP($Z45,ess_bud,F$6,FALSE)),0,VLOOKUP($Z45,ess_bud,F$6,FALSE))+IF(ISERROR(VLOOKUP($Y45,ess_bud,F$6,FALSE)),0,VLOOKUP($Y45,ess_bud,F$6,FALSE))+IF(ISERROR(VLOOKUP($AA45,ess_bud,F$6,FALSE)),0,VLOOKUP($AA45,ess_bud,F$6,FALSE))</f>
        <v>0</v>
      </c>
      <c r="G45" s="114">
        <f>+F45/'P&amp;L Summary'!E$21</f>
        <v>0</v>
      </c>
      <c r="H45" s="114">
        <f t="shared" si="17"/>
        <v>0</v>
      </c>
      <c r="I45" s="114"/>
      <c r="J45" s="118">
        <f t="shared" si="18"/>
        <v>0</v>
      </c>
      <c r="K45" s="114">
        <f>+J45/'P&amp;L Summary'!I$21</f>
        <v>0</v>
      </c>
      <c r="L45" s="116">
        <f t="shared" si="19"/>
        <v>0</v>
      </c>
      <c r="M45" s="115"/>
      <c r="N45" s="125">
        <f t="shared" si="20"/>
        <v>0</v>
      </c>
      <c r="O45" s="114">
        <f>+N45/'P&amp;L Summary'!M$21</f>
        <v>0</v>
      </c>
      <c r="P45" s="114"/>
      <c r="Q45" s="74">
        <f>IF(ISERROR(VLOOKUP($X45,ess_bud,Q$6,FALSE)),0,VLOOKUP($X45,ess_bud,Q$6,FALSE))+IF(ISERROR(VLOOKUP($Z45,ess_bud,Q$6,FALSE)),0,VLOOKUP($Z45,ess_bud,Q$6,FALSE))+IF(ISERROR(VLOOKUP($Y45,ess_bud,Q$6,FALSE)),0,VLOOKUP($Y45,ess_bud,Q$6,FALSE))+IF(ISERROR(VLOOKUP($AA45,ess_bud,Q$6,FALSE)),0,VLOOKUP($AA45,ess_bud,Q$6,FALSE))</f>
        <v>0</v>
      </c>
      <c r="R45" s="114">
        <f>+Q45/'P&amp;L Summary'!P$21</f>
        <v>0</v>
      </c>
      <c r="S45" s="114">
        <f t="shared" si="21"/>
        <v>0</v>
      </c>
      <c r="T45" s="114"/>
      <c r="U45" s="126">
        <f t="shared" si="22"/>
        <v>0</v>
      </c>
      <c r="V45" s="114">
        <f>+U45/'P&amp;L Summary'!T$21</f>
        <v>0</v>
      </c>
      <c r="W45" s="116">
        <f t="shared" si="23"/>
        <v>0</v>
      </c>
      <c r="X45" s="2" t="str">
        <f t="shared" si="24"/>
        <v>45103CS</v>
      </c>
      <c r="Y45" s="2"/>
      <c r="Z45" s="2"/>
      <c r="AA45" s="2"/>
      <c r="AB45" s="2"/>
      <c r="AC45" s="8"/>
      <c r="AD45" s="8"/>
    </row>
    <row r="46" ht="12.75" customHeight="1">
      <c r="A46" s="32">
        <v>46200.0</v>
      </c>
      <c r="B46" s="8" t="s">
        <v>126</v>
      </c>
      <c r="C46" s="125">
        <f t="shared" si="16"/>
        <v>0</v>
      </c>
      <c r="D46" s="114">
        <f>+C46/'P&amp;L Summary'!B$21</f>
        <v>0</v>
      </c>
      <c r="E46" s="114"/>
      <c r="F46" s="118">
        <f>IF(ISERROR(VLOOKUP($X46,ess_bud,F$6,FALSE)),0,VLOOKUP($X46,ess_bud,F$6,FALSE))+IF(ISERROR(VLOOKUP($Z46,ess_bud,F$6,FALSE)),0,VLOOKUP($Z46,ess_bud,F$6,FALSE))+IF(ISERROR(VLOOKUP($Y46,ess_bud,F$6,FALSE)),0,VLOOKUP($Y46,ess_bud,F$6,FALSE))+IF(ISERROR(VLOOKUP($AA46,ess_bud,F$6,FALSE)),0,VLOOKUP($AA46,ess_bud,F$6,FALSE))</f>
        <v>0</v>
      </c>
      <c r="G46" s="114">
        <f>+F46/'P&amp;L Summary'!E$21</f>
        <v>0</v>
      </c>
      <c r="H46" s="114">
        <f t="shared" si="17"/>
        <v>0</v>
      </c>
      <c r="I46" s="114"/>
      <c r="J46" s="118">
        <f t="shared" si="18"/>
        <v>0</v>
      </c>
      <c r="K46" s="114">
        <f>+J46/'P&amp;L Summary'!I$21</f>
        <v>0</v>
      </c>
      <c r="L46" s="116">
        <f t="shared" si="19"/>
        <v>0</v>
      </c>
      <c r="M46" s="115"/>
      <c r="N46" s="125">
        <f t="shared" si="20"/>
        <v>0</v>
      </c>
      <c r="O46" s="114">
        <f>+N46/'P&amp;L Summary'!M$21</f>
        <v>0</v>
      </c>
      <c r="P46" s="114"/>
      <c r="Q46" s="74">
        <f>IF(ISERROR(VLOOKUP($X46,ess_bud,Q$6,FALSE)),0,VLOOKUP($X46,ess_bud,Q$6,FALSE))+IF(ISERROR(VLOOKUP($Z46,ess_bud,Q$6,FALSE)),0,VLOOKUP($Z46,ess_bud,Q$6,FALSE))+IF(ISERROR(VLOOKUP($Y46,ess_bud,Q$6,FALSE)),0,VLOOKUP($Y46,ess_bud,Q$6,FALSE))+IF(ISERROR(VLOOKUP($AA46,ess_bud,Q$6,FALSE)),0,VLOOKUP($AA46,ess_bud,Q$6,FALSE))</f>
        <v>6572.25</v>
      </c>
      <c r="R46" s="114">
        <f>+Q46/'P&amp;L Summary'!P$21</f>
        <v>0.003103399916</v>
      </c>
      <c r="S46" s="114">
        <f t="shared" si="21"/>
        <v>-1</v>
      </c>
      <c r="T46" s="114"/>
      <c r="U46" s="126">
        <f t="shared" si="22"/>
        <v>0</v>
      </c>
      <c r="V46" s="114">
        <f>+U46/'P&amp;L Summary'!T$21</f>
        <v>0</v>
      </c>
      <c r="W46" s="116">
        <f t="shared" si="23"/>
        <v>0</v>
      </c>
      <c r="X46" s="2" t="str">
        <f t="shared" si="24"/>
        <v>46200CS</v>
      </c>
      <c r="Y46" s="2"/>
      <c r="Z46" s="2"/>
      <c r="AA46" s="2"/>
      <c r="AB46" s="2"/>
      <c r="AC46" s="8"/>
      <c r="AD46" s="8"/>
    </row>
    <row r="47" ht="12.75" customHeight="1">
      <c r="A47" s="32">
        <v>46201.0</v>
      </c>
      <c r="B47" s="8" t="s">
        <v>118</v>
      </c>
      <c r="C47" s="125">
        <f t="shared" si="16"/>
        <v>0</v>
      </c>
      <c r="D47" s="114">
        <f>+C47/'P&amp;L Summary'!B$21</f>
        <v>0</v>
      </c>
      <c r="E47" s="114"/>
      <c r="F47" s="118">
        <f>IF(ISERROR(VLOOKUP($X47,ess_bud,F$6,FALSE)),0,VLOOKUP($X47,ess_bud,F$6,FALSE))+IF(ISERROR(VLOOKUP($Z47,ess_bud,F$6,FALSE)),0,VLOOKUP($Z47,ess_bud,F$6,FALSE))+IF(ISERROR(VLOOKUP($Y47,ess_bud,F$6,FALSE)),0,VLOOKUP($Y47,ess_bud,F$6,FALSE))+IF(ISERROR(VLOOKUP($AA47,ess_bud,F$6,FALSE)),0,VLOOKUP($AA47,ess_bud,F$6,FALSE))</f>
        <v>0</v>
      </c>
      <c r="G47" s="114">
        <f>+F47/'P&amp;L Summary'!E$21</f>
        <v>0</v>
      </c>
      <c r="H47" s="114">
        <f t="shared" si="17"/>
        <v>0</v>
      </c>
      <c r="I47" s="114"/>
      <c r="J47" s="118">
        <f t="shared" si="18"/>
        <v>0</v>
      </c>
      <c r="K47" s="114">
        <f>+J47/'P&amp;L Summary'!I$21</f>
        <v>0</v>
      </c>
      <c r="L47" s="116">
        <f t="shared" si="19"/>
        <v>0</v>
      </c>
      <c r="M47" s="115"/>
      <c r="N47" s="125">
        <f t="shared" si="20"/>
        <v>0</v>
      </c>
      <c r="O47" s="114">
        <f>+N47/'P&amp;L Summary'!M$21</f>
        <v>0</v>
      </c>
      <c r="P47" s="114"/>
      <c r="Q47" s="74">
        <f>IF(ISERROR(VLOOKUP($X47,ess_bud,Q$6,FALSE)),0,VLOOKUP($X47,ess_bud,Q$6,FALSE))+IF(ISERROR(VLOOKUP($Z47,ess_bud,Q$6,FALSE)),0,VLOOKUP($Z47,ess_bud,Q$6,FALSE))+IF(ISERROR(VLOOKUP($Y47,ess_bud,Q$6,FALSE)),0,VLOOKUP($Y47,ess_bud,Q$6,FALSE))+IF(ISERROR(VLOOKUP($AA47,ess_bud,Q$6,FALSE)),0,VLOOKUP($AA47,ess_bud,Q$6,FALSE))</f>
        <v>0</v>
      </c>
      <c r="R47" s="114">
        <f>+Q47/'P&amp;L Summary'!P$21</f>
        <v>0</v>
      </c>
      <c r="S47" s="114">
        <f t="shared" si="21"/>
        <v>0</v>
      </c>
      <c r="T47" s="114"/>
      <c r="U47" s="126">
        <f t="shared" si="22"/>
        <v>0</v>
      </c>
      <c r="V47" s="114">
        <f>+U47/'P&amp;L Summary'!T$21</f>
        <v>0</v>
      </c>
      <c r="W47" s="116">
        <f t="shared" si="23"/>
        <v>0</v>
      </c>
      <c r="X47" s="2" t="str">
        <f t="shared" si="24"/>
        <v>46201CS</v>
      </c>
      <c r="Y47" s="2"/>
      <c r="Z47" s="8" t="str">
        <f>46203&amp;$X$6</f>
        <v>46203CS</v>
      </c>
      <c r="AA47" s="2"/>
      <c r="AB47" s="2"/>
      <c r="AC47" s="8"/>
      <c r="AD47" s="8"/>
    </row>
    <row r="48" ht="12.75" customHeight="1">
      <c r="A48" s="32">
        <v>46202.0</v>
      </c>
      <c r="B48" s="8" t="s">
        <v>115</v>
      </c>
      <c r="C48" s="125">
        <f t="shared" si="16"/>
        <v>0</v>
      </c>
      <c r="D48" s="114">
        <f>+C48/'P&amp;L Summary'!B$21</f>
        <v>0</v>
      </c>
      <c r="E48" s="114"/>
      <c r="F48" s="118">
        <f>IF(ISERROR(VLOOKUP($X48,ess_bud,F$6,FALSE)),0,VLOOKUP($X48,ess_bud,F$6,FALSE))+IF(ISERROR(VLOOKUP($Z48,ess_bud,F$6,FALSE)),0,VLOOKUP($Z48,ess_bud,F$6,FALSE))+IF(ISERROR(VLOOKUP($Y48,ess_bud,F$6,FALSE)),0,VLOOKUP($Y48,ess_bud,F$6,FALSE))+IF(ISERROR(VLOOKUP($AA48,ess_bud,F$6,FALSE)),0,VLOOKUP($AA48,ess_bud,F$6,FALSE))</f>
        <v>0</v>
      </c>
      <c r="G48" s="114">
        <f>+F48/'P&amp;L Summary'!E$21</f>
        <v>0</v>
      </c>
      <c r="H48" s="114">
        <f t="shared" si="17"/>
        <v>0</v>
      </c>
      <c r="I48" s="114"/>
      <c r="J48" s="118">
        <f t="shared" si="18"/>
        <v>0</v>
      </c>
      <c r="K48" s="114">
        <f>+J48/'P&amp;L Summary'!I$21</f>
        <v>0</v>
      </c>
      <c r="L48" s="116">
        <f t="shared" si="19"/>
        <v>0</v>
      </c>
      <c r="M48" s="115"/>
      <c r="N48" s="125">
        <f t="shared" si="20"/>
        <v>0</v>
      </c>
      <c r="O48" s="114">
        <f>+N48/'P&amp;L Summary'!M$21</f>
        <v>0</v>
      </c>
      <c r="P48" s="114"/>
      <c r="Q48" s="74">
        <f>IF(ISERROR(VLOOKUP($X48,ess_bud,Q$6,FALSE)),0,VLOOKUP($X48,ess_bud,Q$6,FALSE))+IF(ISERROR(VLOOKUP($Z48,ess_bud,Q$6,FALSE)),0,VLOOKUP($Z48,ess_bud,Q$6,FALSE))+IF(ISERROR(VLOOKUP($Y48,ess_bud,Q$6,FALSE)),0,VLOOKUP($Y48,ess_bud,Q$6,FALSE))+IF(ISERROR(VLOOKUP($AA48,ess_bud,Q$6,FALSE)),0,VLOOKUP($AA48,ess_bud,Q$6,FALSE))</f>
        <v>0</v>
      </c>
      <c r="R48" s="114">
        <f>+Q48/'P&amp;L Summary'!P$21</f>
        <v>0</v>
      </c>
      <c r="S48" s="114">
        <f t="shared" si="21"/>
        <v>0</v>
      </c>
      <c r="T48" s="114"/>
      <c r="U48" s="126">
        <f t="shared" si="22"/>
        <v>0</v>
      </c>
      <c r="V48" s="114">
        <f>+U48/'P&amp;L Summary'!T$21</f>
        <v>0</v>
      </c>
      <c r="W48" s="116">
        <f t="shared" si="23"/>
        <v>0</v>
      </c>
      <c r="X48" s="2" t="str">
        <f t="shared" si="24"/>
        <v>46202CS</v>
      </c>
      <c r="Y48" s="2"/>
      <c r="Z48" s="2"/>
      <c r="AA48" s="2"/>
      <c r="AB48" s="2"/>
      <c r="AC48" s="8"/>
      <c r="AD48" s="8"/>
    </row>
    <row r="49" ht="12.75" customHeight="1">
      <c r="A49" s="32">
        <v>47304.0</v>
      </c>
      <c r="B49" s="8" t="s">
        <v>155</v>
      </c>
      <c r="C49" s="125">
        <f t="shared" si="16"/>
        <v>0</v>
      </c>
      <c r="D49" s="114">
        <f>+C49/'P&amp;L Summary'!B$21</f>
        <v>0</v>
      </c>
      <c r="E49" s="114"/>
      <c r="F49" s="118">
        <f>IF(ISERROR(VLOOKUP($X49,ess_bud,F$6,FALSE)),0,VLOOKUP($X49,ess_bud,F$6,FALSE))+IF(ISERROR(VLOOKUP($Z49,ess_bud,F$6,FALSE)),0,VLOOKUP($Z49,ess_bud,F$6,FALSE))+IF(ISERROR(VLOOKUP($Y49,ess_bud,F$6,FALSE)),0,VLOOKUP($Y49,ess_bud,F$6,FALSE))+IF(ISERROR(VLOOKUP($AA49,ess_bud,F$6,FALSE)),0,VLOOKUP($AA49,ess_bud,F$6,FALSE))</f>
        <v>0</v>
      </c>
      <c r="G49" s="114">
        <f>+F49/'P&amp;L Summary'!E$21</f>
        <v>0</v>
      </c>
      <c r="H49" s="114">
        <f t="shared" si="17"/>
        <v>0</v>
      </c>
      <c r="I49" s="114"/>
      <c r="J49" s="118">
        <f t="shared" si="18"/>
        <v>0</v>
      </c>
      <c r="K49" s="114">
        <f>+J49/'P&amp;L Summary'!I$21</f>
        <v>0</v>
      </c>
      <c r="L49" s="116">
        <f t="shared" si="19"/>
        <v>0</v>
      </c>
      <c r="M49" s="115"/>
      <c r="N49" s="125">
        <f t="shared" si="20"/>
        <v>0</v>
      </c>
      <c r="O49" s="114">
        <f>+N49/'P&amp;L Summary'!M$21</f>
        <v>0</v>
      </c>
      <c r="P49" s="114"/>
      <c r="Q49" s="74">
        <f>IF(ISERROR(VLOOKUP($X49,ess_bud,Q$6,FALSE)),0,VLOOKUP($X49,ess_bud,Q$6,FALSE))+IF(ISERROR(VLOOKUP($Z49,ess_bud,Q$6,FALSE)),0,VLOOKUP($Z49,ess_bud,Q$6,FALSE))+IF(ISERROR(VLOOKUP($Y49,ess_bud,Q$6,FALSE)),0,VLOOKUP($Y49,ess_bud,Q$6,FALSE))+IF(ISERROR(VLOOKUP($AA49,ess_bud,Q$6,FALSE)),0,VLOOKUP($AA49,ess_bud,Q$6,FALSE))</f>
        <v>93611.5</v>
      </c>
      <c r="R49" s="114">
        <f>+Q49/'P&amp;L Summary'!P$21</f>
        <v>0.0442031148</v>
      </c>
      <c r="S49" s="114">
        <f t="shared" si="21"/>
        <v>-1</v>
      </c>
      <c r="T49" s="114"/>
      <c r="U49" s="126">
        <f t="shared" si="22"/>
        <v>0</v>
      </c>
      <c r="V49" s="114">
        <f>+U49/'P&amp;L Summary'!T$21</f>
        <v>0</v>
      </c>
      <c r="W49" s="116">
        <f t="shared" si="23"/>
        <v>0</v>
      </c>
      <c r="X49" s="2" t="str">
        <f t="shared" si="24"/>
        <v>47304CS</v>
      </c>
      <c r="Y49" s="2"/>
      <c r="Z49" s="8" t="str">
        <f>47300&amp;$X$6</f>
        <v>47300CS</v>
      </c>
      <c r="AA49" s="2"/>
      <c r="AB49" s="2"/>
      <c r="AC49" s="8"/>
      <c r="AD49" s="8"/>
    </row>
    <row r="50" ht="12.75" customHeight="1">
      <c r="A50" s="32">
        <v>47305.0</v>
      </c>
      <c r="B50" s="8" t="s">
        <v>156</v>
      </c>
      <c r="C50" s="125">
        <f t="shared" si="16"/>
        <v>0</v>
      </c>
      <c r="D50" s="114">
        <f>+C50/'P&amp;L Summary'!B$21</f>
        <v>0</v>
      </c>
      <c r="E50" s="114"/>
      <c r="F50" s="118">
        <f>IF(ISERROR(VLOOKUP($X50,ess_bud,F$6,FALSE)),0,VLOOKUP($X50,ess_bud,F$6,FALSE))+IF(ISERROR(VLOOKUP($Z50,ess_bud,F$6,FALSE)),0,VLOOKUP($Z50,ess_bud,F$6,FALSE))+IF(ISERROR(VLOOKUP($Y50,ess_bud,F$6,FALSE)),0,VLOOKUP($Y50,ess_bud,F$6,FALSE))+IF(ISERROR(VLOOKUP($AA50,ess_bud,F$6,FALSE)),0,VLOOKUP($AA50,ess_bud,F$6,FALSE))</f>
        <v>0</v>
      </c>
      <c r="G50" s="114">
        <f>+F50/'P&amp;L Summary'!E$21</f>
        <v>0</v>
      </c>
      <c r="H50" s="114">
        <f t="shared" si="17"/>
        <v>0</v>
      </c>
      <c r="I50" s="114"/>
      <c r="J50" s="118">
        <f t="shared" si="18"/>
        <v>0</v>
      </c>
      <c r="K50" s="114">
        <f>+J50/'P&amp;L Summary'!I$21</f>
        <v>0</v>
      </c>
      <c r="L50" s="116">
        <f t="shared" si="19"/>
        <v>0</v>
      </c>
      <c r="M50" s="115"/>
      <c r="N50" s="125">
        <f t="shared" si="20"/>
        <v>0</v>
      </c>
      <c r="O50" s="114">
        <f>+N50/'P&amp;L Summary'!M$21</f>
        <v>0</v>
      </c>
      <c r="P50" s="114"/>
      <c r="Q50" s="74">
        <f>IF(ISERROR(VLOOKUP($X50,ess_bud,Q$6,FALSE)),0,VLOOKUP($X50,ess_bud,Q$6,FALSE))+IF(ISERROR(VLOOKUP($Z50,ess_bud,Q$6,FALSE)),0,VLOOKUP($Z50,ess_bud,Q$6,FALSE))+IF(ISERROR(VLOOKUP($Y50,ess_bud,Q$6,FALSE)),0,VLOOKUP($Y50,ess_bud,Q$6,FALSE))+IF(ISERROR(VLOOKUP($AA50,ess_bud,Q$6,FALSE)),0,VLOOKUP($AA50,ess_bud,Q$6,FALSE))</f>
        <v>0</v>
      </c>
      <c r="R50" s="114">
        <f>+Q50/'P&amp;L Summary'!P$21</f>
        <v>0</v>
      </c>
      <c r="S50" s="114">
        <f t="shared" si="21"/>
        <v>0</v>
      </c>
      <c r="T50" s="114"/>
      <c r="U50" s="126">
        <f t="shared" si="22"/>
        <v>0</v>
      </c>
      <c r="V50" s="114">
        <f>+U50/'P&amp;L Summary'!T$21</f>
        <v>0</v>
      </c>
      <c r="W50" s="116">
        <f t="shared" si="23"/>
        <v>0</v>
      </c>
      <c r="X50" s="2" t="str">
        <f t="shared" si="24"/>
        <v>47305CS</v>
      </c>
      <c r="Y50" s="2"/>
      <c r="Z50" s="8" t="str">
        <f>47301&amp;$X$6</f>
        <v>47301CS</v>
      </c>
      <c r="AA50" s="2"/>
      <c r="AB50" s="2"/>
      <c r="AC50" s="8"/>
      <c r="AD50" s="8"/>
    </row>
    <row r="51" ht="12.75" customHeight="1">
      <c r="A51" s="32">
        <v>47306.0</v>
      </c>
      <c r="B51" s="8" t="s">
        <v>157</v>
      </c>
      <c r="C51" s="125">
        <f t="shared" si="16"/>
        <v>0</v>
      </c>
      <c r="D51" s="114">
        <f>+C51/'P&amp;L Summary'!B$21</f>
        <v>0</v>
      </c>
      <c r="E51" s="114"/>
      <c r="F51" s="118">
        <f>IF(ISERROR(VLOOKUP($X51,ess_bud,F$6,FALSE)),0,VLOOKUP($X51,ess_bud,F$6,FALSE))+IF(ISERROR(VLOOKUP($Z51,ess_bud,F$6,FALSE)),0,VLOOKUP($Z51,ess_bud,F$6,FALSE))+IF(ISERROR(VLOOKUP($Y51,ess_bud,F$6,FALSE)),0,VLOOKUP($Y51,ess_bud,F$6,FALSE))+IF(ISERROR(VLOOKUP($AA51,ess_bud,F$6,FALSE)),0,VLOOKUP($AA51,ess_bud,F$6,FALSE))</f>
        <v>0</v>
      </c>
      <c r="G51" s="114">
        <f>+F51/'P&amp;L Summary'!E$21</f>
        <v>0</v>
      </c>
      <c r="H51" s="114">
        <f t="shared" si="17"/>
        <v>0</v>
      </c>
      <c r="I51" s="114"/>
      <c r="J51" s="118">
        <f t="shared" si="18"/>
        <v>0</v>
      </c>
      <c r="K51" s="114">
        <f>+J51/'P&amp;L Summary'!I$21</f>
        <v>0</v>
      </c>
      <c r="L51" s="116">
        <f t="shared" si="19"/>
        <v>0</v>
      </c>
      <c r="M51" s="115"/>
      <c r="N51" s="125">
        <f t="shared" si="20"/>
        <v>0</v>
      </c>
      <c r="O51" s="114">
        <f>+N51/'P&amp;L Summary'!M$21</f>
        <v>0</v>
      </c>
      <c r="P51" s="114"/>
      <c r="Q51" s="74">
        <f>IF(ISERROR(VLOOKUP($X51,ess_bud,Q$6,FALSE)),0,VLOOKUP($X51,ess_bud,Q$6,FALSE))+IF(ISERROR(VLOOKUP($Z51,ess_bud,Q$6,FALSE)),0,VLOOKUP($Z51,ess_bud,Q$6,FALSE))+IF(ISERROR(VLOOKUP($Y51,ess_bud,Q$6,FALSE)),0,VLOOKUP($Y51,ess_bud,Q$6,FALSE))+IF(ISERROR(VLOOKUP($AA51,ess_bud,Q$6,FALSE)),0,VLOOKUP($AA51,ess_bud,Q$6,FALSE))</f>
        <v>9858.25</v>
      </c>
      <c r="R51" s="114">
        <f>+Q51/'P&amp;L Summary'!P$21</f>
        <v>0.00465504085</v>
      </c>
      <c r="S51" s="114">
        <f t="shared" si="21"/>
        <v>-1</v>
      </c>
      <c r="T51" s="114"/>
      <c r="U51" s="126">
        <f t="shared" si="22"/>
        <v>0</v>
      </c>
      <c r="V51" s="114">
        <f>+U51/'P&amp;L Summary'!T$21</f>
        <v>0</v>
      </c>
      <c r="W51" s="116">
        <f t="shared" si="23"/>
        <v>0</v>
      </c>
      <c r="X51" s="2" t="str">
        <f t="shared" si="24"/>
        <v>47306CS</v>
      </c>
      <c r="Y51" s="2"/>
      <c r="Z51" s="8" t="str">
        <f>47302&amp;$X$6</f>
        <v>47302CS</v>
      </c>
      <c r="AA51" s="2"/>
      <c r="AB51" s="2"/>
      <c r="AC51" s="8"/>
      <c r="AD51" s="8"/>
    </row>
    <row r="52" ht="12.75" customHeight="1">
      <c r="A52" s="32">
        <v>47307.0</v>
      </c>
      <c r="B52" s="8" t="s">
        <v>158</v>
      </c>
      <c r="C52" s="125">
        <f t="shared" si="16"/>
        <v>0</v>
      </c>
      <c r="D52" s="114">
        <f>+C52/'P&amp;L Summary'!B$21</f>
        <v>0</v>
      </c>
      <c r="E52" s="114"/>
      <c r="F52" s="118">
        <f>IF(ISERROR(VLOOKUP($X52,ess_bud,F$6,FALSE)),0,VLOOKUP($X52,ess_bud,F$6,FALSE))+IF(ISERROR(VLOOKUP($Z52,ess_bud,F$6,FALSE)),0,VLOOKUP($Z52,ess_bud,F$6,FALSE))+IF(ISERROR(VLOOKUP($Y52,ess_bud,F$6,FALSE)),0,VLOOKUP($Y52,ess_bud,F$6,FALSE))+IF(ISERROR(VLOOKUP($AA52,ess_bud,F$6,FALSE)),0,VLOOKUP($AA52,ess_bud,F$6,FALSE))</f>
        <v>0</v>
      </c>
      <c r="G52" s="114">
        <f>+F52/'P&amp;L Summary'!E$21</f>
        <v>0</v>
      </c>
      <c r="H52" s="114">
        <f t="shared" si="17"/>
        <v>0</v>
      </c>
      <c r="I52" s="114"/>
      <c r="J52" s="118">
        <f t="shared" si="18"/>
        <v>0</v>
      </c>
      <c r="K52" s="114">
        <f>+J52/'P&amp;L Summary'!I$21</f>
        <v>0</v>
      </c>
      <c r="L52" s="116">
        <f t="shared" si="19"/>
        <v>0</v>
      </c>
      <c r="M52" s="115"/>
      <c r="N52" s="125">
        <f t="shared" si="20"/>
        <v>0</v>
      </c>
      <c r="O52" s="114">
        <f>+N52/'P&amp;L Summary'!M$21</f>
        <v>0</v>
      </c>
      <c r="P52" s="114"/>
      <c r="Q52" s="74">
        <f>IF(ISERROR(VLOOKUP($X52,ess_bud,Q$6,FALSE)),0,VLOOKUP($X52,ess_bud,Q$6,FALSE))+IF(ISERROR(VLOOKUP($Z52,ess_bud,Q$6,FALSE)),0,VLOOKUP($Z52,ess_bud,Q$6,FALSE))+IF(ISERROR(VLOOKUP($Y52,ess_bud,Q$6,FALSE)),0,VLOOKUP($Y52,ess_bud,Q$6,FALSE))+IF(ISERROR(VLOOKUP($AA52,ess_bud,Q$6,FALSE)),0,VLOOKUP($AA52,ess_bud,Q$6,FALSE))</f>
        <v>3286</v>
      </c>
      <c r="R52" s="114">
        <f>+Q52/'P&amp;L Summary'!P$21</f>
        <v>0.001551640933</v>
      </c>
      <c r="S52" s="114">
        <f t="shared" si="21"/>
        <v>-1</v>
      </c>
      <c r="T52" s="114"/>
      <c r="U52" s="126">
        <f t="shared" si="22"/>
        <v>0</v>
      </c>
      <c r="V52" s="114">
        <f>+U52/'P&amp;L Summary'!T$21</f>
        <v>0</v>
      </c>
      <c r="W52" s="116">
        <f t="shared" si="23"/>
        <v>0</v>
      </c>
      <c r="X52" s="2" t="str">
        <f t="shared" si="24"/>
        <v>47307CS</v>
      </c>
      <c r="Y52" s="2"/>
      <c r="Z52" s="8" t="str">
        <f>47303&amp;$X$6</f>
        <v>47303CS</v>
      </c>
      <c r="AA52" s="2"/>
      <c r="AB52" s="2"/>
      <c r="AC52" s="8"/>
      <c r="AD52" s="8"/>
    </row>
    <row r="53" ht="12.75" customHeight="1">
      <c r="A53" s="32">
        <v>47314.0</v>
      </c>
      <c r="B53" s="8" t="s">
        <v>159</v>
      </c>
      <c r="C53" s="125">
        <f t="shared" si="16"/>
        <v>0</v>
      </c>
      <c r="D53" s="114">
        <f>+C53/'P&amp;L Summary'!B$21</f>
        <v>0</v>
      </c>
      <c r="E53" s="114"/>
      <c r="F53" s="118">
        <f>IF(ISERROR(VLOOKUP($X53,ess_bud,F$6,FALSE)),0,VLOOKUP($X53,ess_bud,F$6,FALSE))+IF(ISERROR(VLOOKUP($Z53,ess_bud,F$6,FALSE)),0,VLOOKUP($Z53,ess_bud,F$6,FALSE))+IF(ISERROR(VLOOKUP($Y53,ess_bud,F$6,FALSE)),0,VLOOKUP($Y53,ess_bud,F$6,FALSE))+IF(ISERROR(VLOOKUP($AA53,ess_bud,F$6,FALSE)),0,VLOOKUP($AA53,ess_bud,F$6,FALSE))</f>
        <v>0</v>
      </c>
      <c r="G53" s="114">
        <f>+F53/'P&amp;L Summary'!E$21</f>
        <v>0</v>
      </c>
      <c r="H53" s="114">
        <f t="shared" si="17"/>
        <v>0</v>
      </c>
      <c r="I53" s="114"/>
      <c r="J53" s="118">
        <f t="shared" si="18"/>
        <v>0</v>
      </c>
      <c r="K53" s="114">
        <f>+J53/'P&amp;L Summary'!I$21</f>
        <v>0</v>
      </c>
      <c r="L53" s="116">
        <f t="shared" si="19"/>
        <v>0</v>
      </c>
      <c r="M53" s="115"/>
      <c r="N53" s="125">
        <f t="shared" si="20"/>
        <v>0</v>
      </c>
      <c r="O53" s="114">
        <f>+N53/'P&amp;L Summary'!M$21</f>
        <v>0</v>
      </c>
      <c r="P53" s="114"/>
      <c r="Q53" s="74">
        <f>IF(ISERROR(VLOOKUP($X53,ess_bud,Q$6,FALSE)),0,VLOOKUP($X53,ess_bud,Q$6,FALSE))+IF(ISERROR(VLOOKUP($Z53,ess_bud,Q$6,FALSE)),0,VLOOKUP($Z53,ess_bud,Q$6,FALSE))+IF(ISERROR(VLOOKUP($Y53,ess_bud,Q$6,FALSE)),0,VLOOKUP($Y53,ess_bud,Q$6,FALSE))+IF(ISERROR(VLOOKUP($AA53,ess_bud,Q$6,FALSE)),0,VLOOKUP($AA53,ess_bud,Q$6,FALSE))</f>
        <v>3839.25</v>
      </c>
      <c r="R53" s="114">
        <f>+Q53/'P&amp;L Summary'!P$21</f>
        <v>0.001812884192</v>
      </c>
      <c r="S53" s="114">
        <f t="shared" si="21"/>
        <v>-1</v>
      </c>
      <c r="T53" s="114"/>
      <c r="U53" s="126">
        <f t="shared" si="22"/>
        <v>0</v>
      </c>
      <c r="V53" s="114">
        <f>+U53/'P&amp;L Summary'!T$21</f>
        <v>0</v>
      </c>
      <c r="W53" s="116">
        <f t="shared" si="23"/>
        <v>0</v>
      </c>
      <c r="X53" s="2" t="str">
        <f t="shared" si="24"/>
        <v>47314CS</v>
      </c>
      <c r="Y53" s="2"/>
      <c r="Z53" s="8" t="str">
        <f>47310&amp;$X$6</f>
        <v>47310CS</v>
      </c>
      <c r="AA53" s="2"/>
      <c r="AB53" s="2"/>
      <c r="AC53" s="8"/>
      <c r="AD53" s="8"/>
    </row>
    <row r="54" ht="12.75" customHeight="1">
      <c r="A54" s="32">
        <v>47315.0</v>
      </c>
      <c r="B54" s="8" t="s">
        <v>160</v>
      </c>
      <c r="C54" s="125">
        <f t="shared" si="16"/>
        <v>0</v>
      </c>
      <c r="D54" s="114">
        <f>+C54/'P&amp;L Summary'!B$21</f>
        <v>0</v>
      </c>
      <c r="E54" s="114"/>
      <c r="F54" s="118">
        <f>IF(ISERROR(VLOOKUP($X54,ess_bud,F$6,FALSE)),0,VLOOKUP($X54,ess_bud,F$6,FALSE))+IF(ISERROR(VLOOKUP($Z54,ess_bud,F$6,FALSE)),0,VLOOKUP($Z54,ess_bud,F$6,FALSE))+IF(ISERROR(VLOOKUP($Y54,ess_bud,F$6,FALSE)),0,VLOOKUP($Y54,ess_bud,F$6,FALSE))+IF(ISERROR(VLOOKUP($AA54,ess_bud,F$6,FALSE)),0,VLOOKUP($AA54,ess_bud,F$6,FALSE))</f>
        <v>0</v>
      </c>
      <c r="G54" s="114">
        <f>+F54/'P&amp;L Summary'!E$21</f>
        <v>0</v>
      </c>
      <c r="H54" s="114">
        <f t="shared" si="17"/>
        <v>0</v>
      </c>
      <c r="I54" s="114"/>
      <c r="J54" s="118">
        <f t="shared" si="18"/>
        <v>0</v>
      </c>
      <c r="K54" s="114">
        <f>+J54/'P&amp;L Summary'!I$21</f>
        <v>0</v>
      </c>
      <c r="L54" s="116">
        <f t="shared" si="19"/>
        <v>0</v>
      </c>
      <c r="M54" s="115"/>
      <c r="N54" s="125">
        <f t="shared" si="20"/>
        <v>0</v>
      </c>
      <c r="O54" s="114">
        <f>+N54/'P&amp;L Summary'!M$21</f>
        <v>0</v>
      </c>
      <c r="P54" s="114"/>
      <c r="Q54" s="74">
        <f>IF(ISERROR(VLOOKUP($X54,ess_bud,Q$6,FALSE)),0,VLOOKUP($X54,ess_bud,Q$6,FALSE))+IF(ISERROR(VLOOKUP($Z54,ess_bud,Q$6,FALSE)),0,VLOOKUP($Z54,ess_bud,Q$6,FALSE))+IF(ISERROR(VLOOKUP($Y54,ess_bud,Q$6,FALSE)),0,VLOOKUP($Y54,ess_bud,Q$6,FALSE))+IF(ISERROR(VLOOKUP($AA54,ess_bud,Q$6,FALSE)),0,VLOOKUP($AA54,ess_bud,Q$6,FALSE))</f>
        <v>0</v>
      </c>
      <c r="R54" s="114">
        <f>+Q54/'P&amp;L Summary'!P$21</f>
        <v>0</v>
      </c>
      <c r="S54" s="114">
        <f t="shared" si="21"/>
        <v>0</v>
      </c>
      <c r="T54" s="114"/>
      <c r="U54" s="126">
        <f t="shared" si="22"/>
        <v>0</v>
      </c>
      <c r="V54" s="114">
        <f>+U54/'P&amp;L Summary'!T$21</f>
        <v>0</v>
      </c>
      <c r="W54" s="116">
        <f t="shared" si="23"/>
        <v>0</v>
      </c>
      <c r="X54" s="2" t="str">
        <f t="shared" si="24"/>
        <v>47315CS</v>
      </c>
      <c r="Y54" s="2"/>
      <c r="Z54" s="8" t="str">
        <f>47311&amp;$X$6</f>
        <v>47311CS</v>
      </c>
      <c r="AA54" s="2"/>
      <c r="AB54" s="2"/>
      <c r="AC54" s="8"/>
      <c r="AD54" s="8"/>
    </row>
    <row r="55" ht="12.75" customHeight="1">
      <c r="A55" s="32">
        <v>47316.0</v>
      </c>
      <c r="B55" s="8" t="s">
        <v>161</v>
      </c>
      <c r="C55" s="125">
        <f t="shared" si="16"/>
        <v>0</v>
      </c>
      <c r="D55" s="114">
        <f>+C55/'P&amp;L Summary'!B$21</f>
        <v>0</v>
      </c>
      <c r="E55" s="114"/>
      <c r="F55" s="118">
        <f>IF(ISERROR(VLOOKUP($X55,ess_bud,F$6,FALSE)),0,VLOOKUP($X55,ess_bud,F$6,FALSE))+IF(ISERROR(VLOOKUP($Z55,ess_bud,F$6,FALSE)),0,VLOOKUP($Z55,ess_bud,F$6,FALSE))+IF(ISERROR(VLOOKUP($Y55,ess_bud,F$6,FALSE)),0,VLOOKUP($Y55,ess_bud,F$6,FALSE))+IF(ISERROR(VLOOKUP($AA55,ess_bud,F$6,FALSE)),0,VLOOKUP($AA55,ess_bud,F$6,FALSE))</f>
        <v>0</v>
      </c>
      <c r="G55" s="114">
        <f>+F55/'P&amp;L Summary'!E$21</f>
        <v>0</v>
      </c>
      <c r="H55" s="115">
        <f t="shared" si="17"/>
        <v>0</v>
      </c>
      <c r="I55" s="114"/>
      <c r="J55" s="118">
        <f t="shared" si="18"/>
        <v>0</v>
      </c>
      <c r="K55" s="114">
        <f>+J55/'P&amp;L Summary'!I$21</f>
        <v>0</v>
      </c>
      <c r="L55" s="116">
        <f t="shared" si="19"/>
        <v>0</v>
      </c>
      <c r="M55" s="115"/>
      <c r="N55" s="125">
        <f t="shared" si="20"/>
        <v>0</v>
      </c>
      <c r="O55" s="114">
        <f>+N55/'P&amp;L Summary'!M$21</f>
        <v>0</v>
      </c>
      <c r="P55" s="114"/>
      <c r="Q55" s="74">
        <f>IF(ISERROR(VLOOKUP($X55,ess_bud,Q$6,FALSE)),0,VLOOKUP($X55,ess_bud,Q$6,FALSE))+IF(ISERROR(VLOOKUP($Z55,ess_bud,Q$6,FALSE)),0,VLOOKUP($Z55,ess_bud,Q$6,FALSE))+IF(ISERROR(VLOOKUP($Y55,ess_bud,Q$6,FALSE)),0,VLOOKUP($Y55,ess_bud,Q$6,FALSE))+IF(ISERROR(VLOOKUP($AA55,ess_bud,Q$6,FALSE)),0,VLOOKUP($AA55,ess_bud,Q$6,FALSE))</f>
        <v>377.5</v>
      </c>
      <c r="R55" s="114">
        <f>+Q55/'P&amp;L Summary'!P$21</f>
        <v>0.0001782545503</v>
      </c>
      <c r="S55" s="114">
        <f t="shared" si="21"/>
        <v>-1</v>
      </c>
      <c r="T55" s="114"/>
      <c r="U55" s="126">
        <f t="shared" si="22"/>
        <v>0</v>
      </c>
      <c r="V55" s="114">
        <f>+U55/'P&amp;L Summary'!T$21</f>
        <v>0</v>
      </c>
      <c r="W55" s="116">
        <f t="shared" si="23"/>
        <v>0</v>
      </c>
      <c r="X55" s="2" t="str">
        <f t="shared" si="24"/>
        <v>47316CS</v>
      </c>
      <c r="Y55" s="2"/>
      <c r="Z55" s="2"/>
      <c r="AA55" s="2"/>
      <c r="AB55" s="2"/>
      <c r="AC55" s="8"/>
      <c r="AD55" s="8"/>
    </row>
    <row r="56" ht="12.75" customHeight="1">
      <c r="A56" s="32">
        <v>47354.0</v>
      </c>
      <c r="B56" s="8" t="s">
        <v>162</v>
      </c>
      <c r="C56" s="125">
        <f t="shared" si="16"/>
        <v>0</v>
      </c>
      <c r="D56" s="114">
        <f>+C56/'P&amp;L Summary'!B$21</f>
        <v>0</v>
      </c>
      <c r="E56" s="114"/>
      <c r="F56" s="118">
        <f>IF(ISERROR(VLOOKUP($X56,ess_bud,F$6,FALSE)),0,VLOOKUP($X56,ess_bud,F$6,FALSE))+IF(ISERROR(VLOOKUP($Z56,ess_bud,F$6,FALSE)),0,VLOOKUP($Z56,ess_bud,F$6,FALSE))+IF(ISERROR(VLOOKUP($Y56,ess_bud,F$6,FALSE)),0,VLOOKUP($Y56,ess_bud,F$6,FALSE))+IF(ISERROR(VLOOKUP($AA56,ess_bud,F$6,FALSE)),0,VLOOKUP($AA56,ess_bud,F$6,FALSE))</f>
        <v>0</v>
      </c>
      <c r="G56" s="114">
        <f>+F56/'P&amp;L Summary'!E$21</f>
        <v>0</v>
      </c>
      <c r="H56" s="114">
        <f t="shared" si="17"/>
        <v>0</v>
      </c>
      <c r="I56" s="114"/>
      <c r="J56" s="118">
        <f t="shared" si="18"/>
        <v>0</v>
      </c>
      <c r="K56" s="114">
        <f>+J56/'P&amp;L Summary'!I$21</f>
        <v>0</v>
      </c>
      <c r="L56" s="116">
        <f t="shared" si="19"/>
        <v>0</v>
      </c>
      <c r="M56" s="115"/>
      <c r="N56" s="125">
        <f t="shared" si="20"/>
        <v>0</v>
      </c>
      <c r="O56" s="114">
        <f>+N56/'P&amp;L Summary'!M$21</f>
        <v>0</v>
      </c>
      <c r="P56" s="114"/>
      <c r="Q56" s="74">
        <f>IF(ISERROR(VLOOKUP($X56,ess_bud,Q$6,FALSE)),0,VLOOKUP($X56,ess_bud,Q$6,FALSE))+IF(ISERROR(VLOOKUP($Z56,ess_bud,Q$6,FALSE)),0,VLOOKUP($Z56,ess_bud,Q$6,FALSE))+IF(ISERROR(VLOOKUP($Y56,ess_bud,Q$6,FALSE)),0,VLOOKUP($Y56,ess_bud,Q$6,FALSE))+IF(ISERROR(VLOOKUP($AA56,ess_bud,Q$6,FALSE)),0,VLOOKUP($AA56,ess_bud,Q$6,FALSE))</f>
        <v>0</v>
      </c>
      <c r="R56" s="114">
        <f>+Q56/'P&amp;L Summary'!P$21</f>
        <v>0</v>
      </c>
      <c r="S56" s="114">
        <f t="shared" si="21"/>
        <v>0</v>
      </c>
      <c r="T56" s="114"/>
      <c r="U56" s="126">
        <f t="shared" si="22"/>
        <v>0</v>
      </c>
      <c r="V56" s="114">
        <f>+U56/'P&amp;L Summary'!T$21</f>
        <v>0</v>
      </c>
      <c r="W56" s="116">
        <f t="shared" si="23"/>
        <v>0</v>
      </c>
      <c r="X56" s="2" t="str">
        <f t="shared" si="24"/>
        <v>47354CS</v>
      </c>
      <c r="Y56" s="2"/>
      <c r="Z56" s="2"/>
      <c r="AA56" s="2"/>
      <c r="AB56" s="2"/>
      <c r="AC56" s="8"/>
      <c r="AD56" s="8"/>
    </row>
    <row r="57" ht="12.75" customHeight="1">
      <c r="A57" s="32">
        <v>47400.0</v>
      </c>
      <c r="B57" s="8" t="s">
        <v>148</v>
      </c>
      <c r="C57" s="125">
        <f t="shared" si="16"/>
        <v>0</v>
      </c>
      <c r="D57" s="114">
        <f>+C57/'P&amp;L Summary'!B$21</f>
        <v>0</v>
      </c>
      <c r="E57" s="114"/>
      <c r="F57" s="118">
        <f>IF(ISERROR(VLOOKUP($X57,ess_bud,F$6,FALSE)),0,VLOOKUP($X57,ess_bud,F$6,FALSE))+IF(ISERROR(VLOOKUP($Z57,ess_bud,F$6,FALSE)),0,VLOOKUP($Z57,ess_bud,F$6,FALSE))+IF(ISERROR(VLOOKUP($Y57,ess_bud,F$6,FALSE)),0,VLOOKUP($Y57,ess_bud,F$6,FALSE))+IF(ISERROR(VLOOKUP($AA57,ess_bud,F$6,FALSE)),0,VLOOKUP($AA57,ess_bud,F$6,FALSE))</f>
        <v>0</v>
      </c>
      <c r="G57" s="114">
        <f>+F57/'P&amp;L Summary'!E$21</f>
        <v>0</v>
      </c>
      <c r="H57" s="114">
        <f t="shared" si="17"/>
        <v>0</v>
      </c>
      <c r="I57" s="114"/>
      <c r="J57" s="118">
        <f t="shared" si="18"/>
        <v>0</v>
      </c>
      <c r="K57" s="114">
        <f>+J57/'P&amp;L Summary'!I$21</f>
        <v>0</v>
      </c>
      <c r="L57" s="116">
        <f t="shared" si="19"/>
        <v>0</v>
      </c>
      <c r="M57" s="115"/>
      <c r="N57" s="125">
        <f t="shared" si="20"/>
        <v>0</v>
      </c>
      <c r="O57" s="114">
        <f>+N57/'P&amp;L Summary'!M$21</f>
        <v>0</v>
      </c>
      <c r="P57" s="114"/>
      <c r="Q57" s="74">
        <f>IF(ISERROR(VLOOKUP($X57,ess_bud,Q$6,FALSE)),0,VLOOKUP($X57,ess_bud,Q$6,FALSE))+IF(ISERROR(VLOOKUP($Z57,ess_bud,Q$6,FALSE)),0,VLOOKUP($Z57,ess_bud,Q$6,FALSE))+IF(ISERROR(VLOOKUP($Y57,ess_bud,Q$6,FALSE)),0,VLOOKUP($Y57,ess_bud,Q$6,FALSE))+IF(ISERROR(VLOOKUP($AA57,ess_bud,Q$6,FALSE)),0,VLOOKUP($AA57,ess_bud,Q$6,FALSE))</f>
        <v>0</v>
      </c>
      <c r="R57" s="114">
        <f>+Q57/'P&amp;L Summary'!P$21</f>
        <v>0</v>
      </c>
      <c r="S57" s="114">
        <f t="shared" si="21"/>
        <v>0</v>
      </c>
      <c r="T57" s="114"/>
      <c r="U57" s="126">
        <f t="shared" si="22"/>
        <v>0</v>
      </c>
      <c r="V57" s="114">
        <f>+U57/'P&amp;L Summary'!T$21</f>
        <v>0</v>
      </c>
      <c r="W57" s="116">
        <f t="shared" si="23"/>
        <v>0</v>
      </c>
      <c r="X57" s="2" t="str">
        <f t="shared" si="24"/>
        <v>47400CS</v>
      </c>
      <c r="Y57" s="2"/>
      <c r="Z57" s="2"/>
      <c r="AA57" s="2"/>
      <c r="AB57" s="2"/>
      <c r="AC57" s="8"/>
      <c r="AD57" s="8"/>
    </row>
    <row r="58" ht="12.75" customHeight="1">
      <c r="A58" s="32">
        <v>47401.0</v>
      </c>
      <c r="B58" s="8" t="s">
        <v>149</v>
      </c>
      <c r="C58" s="125">
        <f t="shared" si="16"/>
        <v>0</v>
      </c>
      <c r="D58" s="114">
        <f>+C58/'P&amp;L Summary'!B$21</f>
        <v>0</v>
      </c>
      <c r="E58" s="114"/>
      <c r="F58" s="118">
        <f>IF(ISERROR(VLOOKUP($X58,ess_bud,F$6,FALSE)),0,VLOOKUP($X58,ess_bud,F$6,FALSE))+IF(ISERROR(VLOOKUP($Z58,ess_bud,F$6,FALSE)),0,VLOOKUP($Z58,ess_bud,F$6,FALSE))+IF(ISERROR(VLOOKUP($Y58,ess_bud,F$6,FALSE)),0,VLOOKUP($Y58,ess_bud,F$6,FALSE))+IF(ISERROR(VLOOKUP($AA58,ess_bud,F$6,FALSE)),0,VLOOKUP($AA58,ess_bud,F$6,FALSE))</f>
        <v>0</v>
      </c>
      <c r="G58" s="114">
        <f>+F58/'P&amp;L Summary'!E$21</f>
        <v>0</v>
      </c>
      <c r="H58" s="114">
        <f t="shared" si="17"/>
        <v>0</v>
      </c>
      <c r="I58" s="114"/>
      <c r="J58" s="118">
        <f t="shared" si="18"/>
        <v>0</v>
      </c>
      <c r="K58" s="114">
        <f>+J58/'P&amp;L Summary'!I$21</f>
        <v>0</v>
      </c>
      <c r="L58" s="116">
        <f t="shared" si="19"/>
        <v>0</v>
      </c>
      <c r="M58" s="115"/>
      <c r="N58" s="125">
        <f t="shared" si="20"/>
        <v>0</v>
      </c>
      <c r="O58" s="114">
        <f>+N58/'P&amp;L Summary'!M$21</f>
        <v>0</v>
      </c>
      <c r="P58" s="114"/>
      <c r="Q58" s="74">
        <f>IF(ISERROR(VLOOKUP($X58,ess_bud,Q$6,FALSE)),0,VLOOKUP($X58,ess_bud,Q$6,FALSE))+IF(ISERROR(VLOOKUP($Z58,ess_bud,Q$6,FALSE)),0,VLOOKUP($Z58,ess_bud,Q$6,FALSE))+IF(ISERROR(VLOOKUP($Y58,ess_bud,Q$6,FALSE)),0,VLOOKUP($Y58,ess_bud,Q$6,FALSE))+IF(ISERROR(VLOOKUP($AA58,ess_bud,Q$6,FALSE)),0,VLOOKUP($AA58,ess_bud,Q$6,FALSE))</f>
        <v>892.25</v>
      </c>
      <c r="R58" s="114">
        <f>+Q58/'P&amp;L Summary'!P$21</f>
        <v>0.0004213182054</v>
      </c>
      <c r="S58" s="114">
        <f t="shared" si="21"/>
        <v>-1</v>
      </c>
      <c r="T58" s="114"/>
      <c r="U58" s="126">
        <f t="shared" si="22"/>
        <v>0</v>
      </c>
      <c r="V58" s="114">
        <f>+U58/'P&amp;L Summary'!T$21</f>
        <v>0</v>
      </c>
      <c r="W58" s="116">
        <f t="shared" si="23"/>
        <v>0</v>
      </c>
      <c r="X58" s="2" t="str">
        <f t="shared" si="24"/>
        <v>47401CS</v>
      </c>
      <c r="Y58" s="2"/>
      <c r="Z58" s="2"/>
      <c r="AA58" s="2"/>
      <c r="AB58" s="2"/>
      <c r="AC58" s="8"/>
      <c r="AD58" s="8"/>
    </row>
    <row r="59" ht="12.75" customHeight="1">
      <c r="A59" s="32">
        <v>47402.0</v>
      </c>
      <c r="B59" s="8" t="s">
        <v>151</v>
      </c>
      <c r="C59" s="125">
        <f t="shared" si="16"/>
        <v>0</v>
      </c>
      <c r="D59" s="114">
        <f>+C59/'P&amp;L Summary'!B$21</f>
        <v>0</v>
      </c>
      <c r="E59" s="114"/>
      <c r="F59" s="118">
        <f>IF(ISERROR(VLOOKUP($X59,ess_bud,F$6,FALSE)),0,VLOOKUP($X59,ess_bud,F$6,FALSE))+IF(ISERROR(VLOOKUP($Z59,ess_bud,F$6,FALSE)),0,VLOOKUP($Z59,ess_bud,F$6,FALSE))+IF(ISERROR(VLOOKUP($Y59,ess_bud,F$6,FALSE)),0,VLOOKUP($Y59,ess_bud,F$6,FALSE))+IF(ISERROR(VLOOKUP($AA59,ess_bud,F$6,FALSE)),0,VLOOKUP($AA59,ess_bud,F$6,FALSE))</f>
        <v>0</v>
      </c>
      <c r="G59" s="114">
        <f>+F59/'P&amp;L Summary'!E$21</f>
        <v>0</v>
      </c>
      <c r="H59" s="114">
        <f t="shared" si="17"/>
        <v>0</v>
      </c>
      <c r="I59" s="114"/>
      <c r="J59" s="118">
        <f t="shared" si="18"/>
        <v>0</v>
      </c>
      <c r="K59" s="114">
        <f>+J59/'P&amp;L Summary'!I$21</f>
        <v>0</v>
      </c>
      <c r="L59" s="116">
        <f t="shared" si="19"/>
        <v>0</v>
      </c>
      <c r="M59" s="115"/>
      <c r="N59" s="125">
        <f t="shared" si="20"/>
        <v>0</v>
      </c>
      <c r="O59" s="114">
        <f>+N59/'P&amp;L Summary'!M$21</f>
        <v>0</v>
      </c>
      <c r="P59" s="114"/>
      <c r="Q59" s="74">
        <f>IF(ISERROR(VLOOKUP($X59,ess_bud,Q$6,FALSE)),0,VLOOKUP($X59,ess_bud,Q$6,FALSE))+IF(ISERROR(VLOOKUP($Z59,ess_bud,Q$6,FALSE)),0,VLOOKUP($Z59,ess_bud,Q$6,FALSE))+IF(ISERROR(VLOOKUP($Y59,ess_bud,Q$6,FALSE)),0,VLOOKUP($Y59,ess_bud,Q$6,FALSE))+IF(ISERROR(VLOOKUP($AA59,ess_bud,Q$6,FALSE)),0,VLOOKUP($AA59,ess_bud,Q$6,FALSE))</f>
        <v>0</v>
      </c>
      <c r="R59" s="114">
        <f>+Q59/'P&amp;L Summary'!P$21</f>
        <v>0</v>
      </c>
      <c r="S59" s="114">
        <f t="shared" si="21"/>
        <v>0</v>
      </c>
      <c r="T59" s="114"/>
      <c r="U59" s="126">
        <f t="shared" si="22"/>
        <v>0</v>
      </c>
      <c r="V59" s="114">
        <f>+U59/'P&amp;L Summary'!T$21</f>
        <v>0</v>
      </c>
      <c r="W59" s="116">
        <f t="shared" si="23"/>
        <v>0</v>
      </c>
      <c r="X59" s="2" t="str">
        <f t="shared" si="24"/>
        <v>47402CS</v>
      </c>
      <c r="Y59" s="2"/>
      <c r="Z59" s="2"/>
      <c r="AA59" s="2"/>
      <c r="AB59" s="2"/>
      <c r="AC59" s="8"/>
      <c r="AD59" s="8"/>
    </row>
    <row r="60" ht="12.75" customHeight="1">
      <c r="A60" s="32">
        <v>47403.0</v>
      </c>
      <c r="B60" s="8" t="s">
        <v>163</v>
      </c>
      <c r="C60" s="125">
        <f t="shared" si="16"/>
        <v>0</v>
      </c>
      <c r="D60" s="114">
        <f>+C60/'P&amp;L Summary'!B$21</f>
        <v>0</v>
      </c>
      <c r="E60" s="114"/>
      <c r="F60" s="118">
        <f>IF(ISERROR(VLOOKUP($X60,ess_bud,F$6,FALSE)),0,VLOOKUP($X60,ess_bud,F$6,FALSE))+IF(ISERROR(VLOOKUP($Z60,ess_bud,F$6,FALSE)),0,VLOOKUP($Z60,ess_bud,F$6,FALSE))+IF(ISERROR(VLOOKUP($Y60,ess_bud,F$6,FALSE)),0,VLOOKUP($Y60,ess_bud,F$6,FALSE))+IF(ISERROR(VLOOKUP($AA60,ess_bud,F$6,FALSE)),0,VLOOKUP($AA60,ess_bud,F$6,FALSE))</f>
        <v>0</v>
      </c>
      <c r="G60" s="114">
        <f>+F60/'P&amp;L Summary'!E$21</f>
        <v>0</v>
      </c>
      <c r="H60" s="114">
        <f t="shared" si="17"/>
        <v>0</v>
      </c>
      <c r="I60" s="114"/>
      <c r="J60" s="118">
        <f t="shared" si="18"/>
        <v>0</v>
      </c>
      <c r="K60" s="114">
        <f>+J60/'P&amp;L Summary'!I$21</f>
        <v>0</v>
      </c>
      <c r="L60" s="116">
        <f t="shared" si="19"/>
        <v>0</v>
      </c>
      <c r="M60" s="115"/>
      <c r="N60" s="125">
        <f t="shared" si="20"/>
        <v>0</v>
      </c>
      <c r="O60" s="114">
        <f>+N60/'P&amp;L Summary'!M$21</f>
        <v>0</v>
      </c>
      <c r="P60" s="114"/>
      <c r="Q60" s="74">
        <f>IF(ISERROR(VLOOKUP($X60,ess_bud,Q$6,FALSE)),0,VLOOKUP($X60,ess_bud,Q$6,FALSE))+IF(ISERROR(VLOOKUP($Z60,ess_bud,Q$6,FALSE)),0,VLOOKUP($Z60,ess_bud,Q$6,FALSE))+IF(ISERROR(VLOOKUP($Y60,ess_bud,Q$6,FALSE)),0,VLOOKUP($Y60,ess_bud,Q$6,FALSE))+IF(ISERROR(VLOOKUP($AA60,ess_bud,Q$6,FALSE)),0,VLOOKUP($AA60,ess_bud,Q$6,FALSE))</f>
        <v>892.25</v>
      </c>
      <c r="R60" s="114">
        <f>+Q60/'P&amp;L Summary'!P$21</f>
        <v>0.0004213182054</v>
      </c>
      <c r="S60" s="114">
        <f t="shared" si="21"/>
        <v>-1</v>
      </c>
      <c r="T60" s="114"/>
      <c r="U60" s="126">
        <f t="shared" si="22"/>
        <v>0</v>
      </c>
      <c r="V60" s="114">
        <f>+U60/'P&amp;L Summary'!T$21</f>
        <v>0</v>
      </c>
      <c r="W60" s="116">
        <f t="shared" si="23"/>
        <v>0</v>
      </c>
      <c r="X60" s="2" t="str">
        <f t="shared" si="24"/>
        <v>47403CS</v>
      </c>
      <c r="Y60" s="2"/>
      <c r="Z60" s="2"/>
      <c r="AA60" s="2"/>
      <c r="AB60" s="2"/>
      <c r="AC60" s="8"/>
      <c r="AD60" s="8"/>
    </row>
    <row r="61" ht="12.75" customHeight="1">
      <c r="A61" s="32">
        <v>47500.0</v>
      </c>
      <c r="B61" s="8" t="s">
        <v>164</v>
      </c>
      <c r="C61" s="125">
        <f t="shared" si="16"/>
        <v>0</v>
      </c>
      <c r="D61" s="114">
        <f>+C61/'P&amp;L Summary'!B$21</f>
        <v>0</v>
      </c>
      <c r="E61" s="114"/>
      <c r="F61" s="118">
        <f>IF(ISERROR(VLOOKUP($X61,ess_bud,F$6,FALSE)),0,VLOOKUP($X61,ess_bud,F$6,FALSE))+IF(ISERROR(VLOOKUP($Z61,ess_bud,F$6,FALSE)),0,VLOOKUP($Z61,ess_bud,F$6,FALSE))+IF(ISERROR(VLOOKUP($Y61,ess_bud,F$6,FALSE)),0,VLOOKUP($Y61,ess_bud,F$6,FALSE))+IF(ISERROR(VLOOKUP($AA61,ess_bud,F$6,FALSE)),0,VLOOKUP($AA61,ess_bud,F$6,FALSE))</f>
        <v>0</v>
      </c>
      <c r="G61" s="114">
        <f>+F61/'P&amp;L Summary'!E$21</f>
        <v>0</v>
      </c>
      <c r="H61" s="114">
        <f t="shared" si="17"/>
        <v>0</v>
      </c>
      <c r="I61" s="114"/>
      <c r="J61" s="118">
        <f t="shared" si="18"/>
        <v>0</v>
      </c>
      <c r="K61" s="114">
        <f>+J61/'P&amp;L Summary'!I$21</f>
        <v>0</v>
      </c>
      <c r="L61" s="116">
        <f t="shared" si="19"/>
        <v>0</v>
      </c>
      <c r="M61" s="115"/>
      <c r="N61" s="125">
        <f t="shared" si="20"/>
        <v>0</v>
      </c>
      <c r="O61" s="114">
        <f>+N61/'P&amp;L Summary'!M$21</f>
        <v>0</v>
      </c>
      <c r="P61" s="114"/>
      <c r="Q61" s="74">
        <f>IF(ISERROR(VLOOKUP($X61,ess_bud,Q$6,FALSE)),0,VLOOKUP($X61,ess_bud,Q$6,FALSE))+IF(ISERROR(VLOOKUP($Z61,ess_bud,Q$6,FALSE)),0,VLOOKUP($Z61,ess_bud,Q$6,FALSE))+IF(ISERROR(VLOOKUP($Y61,ess_bud,Q$6,FALSE)),0,VLOOKUP($Y61,ess_bud,Q$6,FALSE))+IF(ISERROR(VLOOKUP($AA61,ess_bud,Q$6,FALSE)),0,VLOOKUP($AA61,ess_bud,Q$6,FALSE))</f>
        <v>0</v>
      </c>
      <c r="R61" s="114">
        <f>+Q61/'P&amp;L Summary'!P$21</f>
        <v>0</v>
      </c>
      <c r="S61" s="114">
        <f t="shared" si="21"/>
        <v>0</v>
      </c>
      <c r="T61" s="114"/>
      <c r="U61" s="126">
        <f t="shared" si="22"/>
        <v>0</v>
      </c>
      <c r="V61" s="114">
        <f>+U61/'P&amp;L Summary'!T$21</f>
        <v>0</v>
      </c>
      <c r="W61" s="116">
        <f t="shared" si="23"/>
        <v>0</v>
      </c>
      <c r="X61" s="2" t="str">
        <f t="shared" si="24"/>
        <v>47500CS</v>
      </c>
      <c r="Y61" s="2"/>
      <c r="Z61" s="2"/>
      <c r="AA61" s="2"/>
      <c r="AB61" s="2"/>
      <c r="AC61" s="8"/>
      <c r="AD61" s="8"/>
    </row>
    <row r="62" ht="12.75" customHeight="1">
      <c r="A62" s="32">
        <v>47501.0</v>
      </c>
      <c r="B62" s="8" t="s">
        <v>165</v>
      </c>
      <c r="C62" s="125">
        <f t="shared" si="16"/>
        <v>0</v>
      </c>
      <c r="D62" s="114">
        <f>+C62/'P&amp;L Summary'!B$21</f>
        <v>0</v>
      </c>
      <c r="E62" s="114"/>
      <c r="F62" s="118">
        <f>IF(ISERROR(VLOOKUP($X62,ess_bud,F$6,FALSE)),0,VLOOKUP($X62,ess_bud,F$6,FALSE))+IF(ISERROR(VLOOKUP($Z62,ess_bud,F$6,FALSE)),0,VLOOKUP($Z62,ess_bud,F$6,FALSE))+IF(ISERROR(VLOOKUP($Y62,ess_bud,F$6,FALSE)),0,VLOOKUP($Y62,ess_bud,F$6,FALSE))+IF(ISERROR(VLOOKUP($AA62,ess_bud,F$6,FALSE)),0,VLOOKUP($AA62,ess_bud,F$6,FALSE))</f>
        <v>0</v>
      </c>
      <c r="G62" s="114">
        <f>+F62/'P&amp;L Summary'!E$21</f>
        <v>0</v>
      </c>
      <c r="H62" s="114">
        <f t="shared" si="17"/>
        <v>0</v>
      </c>
      <c r="I62" s="114"/>
      <c r="J62" s="118">
        <f t="shared" si="18"/>
        <v>0</v>
      </c>
      <c r="K62" s="114">
        <f>+J62/'P&amp;L Summary'!I$21</f>
        <v>0</v>
      </c>
      <c r="L62" s="116">
        <f t="shared" si="19"/>
        <v>0</v>
      </c>
      <c r="M62" s="115"/>
      <c r="N62" s="125">
        <f t="shared" si="20"/>
        <v>0</v>
      </c>
      <c r="O62" s="114">
        <f>+N62/'P&amp;L Summary'!M$21</f>
        <v>0</v>
      </c>
      <c r="P62" s="114"/>
      <c r="Q62" s="74">
        <f>IF(ISERROR(VLOOKUP($X62,ess_bud,Q$6,FALSE)),0,VLOOKUP($X62,ess_bud,Q$6,FALSE))+IF(ISERROR(VLOOKUP($Z62,ess_bud,Q$6,FALSE)),0,VLOOKUP($Z62,ess_bud,Q$6,FALSE))+IF(ISERROR(VLOOKUP($Y62,ess_bud,Q$6,FALSE)),0,VLOOKUP($Y62,ess_bud,Q$6,FALSE))+IF(ISERROR(VLOOKUP($AA62,ess_bud,Q$6,FALSE)),0,VLOOKUP($AA62,ess_bud,Q$6,FALSE))</f>
        <v>0</v>
      </c>
      <c r="R62" s="114">
        <f>+Q62/'P&amp;L Summary'!P$21</f>
        <v>0</v>
      </c>
      <c r="S62" s="114">
        <f t="shared" si="21"/>
        <v>0</v>
      </c>
      <c r="T62" s="114"/>
      <c r="U62" s="126">
        <f t="shared" si="22"/>
        <v>0</v>
      </c>
      <c r="V62" s="114">
        <f>+U62/'P&amp;L Summary'!T$21</f>
        <v>0</v>
      </c>
      <c r="W62" s="116">
        <f t="shared" si="23"/>
        <v>0</v>
      </c>
      <c r="X62" s="2" t="str">
        <f t="shared" si="24"/>
        <v>47501CS</v>
      </c>
      <c r="Y62" s="2"/>
      <c r="Z62" s="2"/>
      <c r="AA62" s="2"/>
      <c r="AB62" s="2"/>
      <c r="AC62" s="8"/>
      <c r="AD62" s="8"/>
    </row>
    <row r="63" ht="12.75" customHeight="1">
      <c r="A63" s="32">
        <v>47502.0</v>
      </c>
      <c r="B63" s="8" t="s">
        <v>166</v>
      </c>
      <c r="C63" s="125">
        <f t="shared" si="16"/>
        <v>0</v>
      </c>
      <c r="D63" s="114">
        <f>+C63/'P&amp;L Summary'!B$21</f>
        <v>0</v>
      </c>
      <c r="E63" s="114"/>
      <c r="F63" s="118">
        <f>IF(ISERROR(VLOOKUP($X63,ess_bud,F$6,FALSE)),0,VLOOKUP($X63,ess_bud,F$6,FALSE))+IF(ISERROR(VLOOKUP($Z63,ess_bud,F$6,FALSE)),0,VLOOKUP($Z63,ess_bud,F$6,FALSE))+IF(ISERROR(VLOOKUP($Y63,ess_bud,F$6,FALSE)),0,VLOOKUP($Y63,ess_bud,F$6,FALSE))+IF(ISERROR(VLOOKUP($AA63,ess_bud,F$6,FALSE)),0,VLOOKUP($AA63,ess_bud,F$6,FALSE))</f>
        <v>0</v>
      </c>
      <c r="G63" s="114">
        <f>+F63/'P&amp;L Summary'!E$21</f>
        <v>0</v>
      </c>
      <c r="H63" s="114">
        <f t="shared" si="17"/>
        <v>0</v>
      </c>
      <c r="I63" s="114"/>
      <c r="J63" s="118">
        <f t="shared" si="18"/>
        <v>0</v>
      </c>
      <c r="K63" s="114">
        <f>+J63/'P&amp;L Summary'!I$21</f>
        <v>0</v>
      </c>
      <c r="L63" s="116">
        <f t="shared" si="19"/>
        <v>0</v>
      </c>
      <c r="M63" s="115"/>
      <c r="N63" s="125">
        <f t="shared" si="20"/>
        <v>0</v>
      </c>
      <c r="O63" s="114">
        <f>+N63/'P&amp;L Summary'!M$21</f>
        <v>0</v>
      </c>
      <c r="P63" s="114"/>
      <c r="Q63" s="74">
        <f>IF(ISERROR(VLOOKUP($X63,ess_bud,Q$6,FALSE)),0,VLOOKUP($X63,ess_bud,Q$6,FALSE))+IF(ISERROR(VLOOKUP($Z63,ess_bud,Q$6,FALSE)),0,VLOOKUP($Z63,ess_bud,Q$6,FALSE))+IF(ISERROR(VLOOKUP($Y63,ess_bud,Q$6,FALSE)),0,VLOOKUP($Y63,ess_bud,Q$6,FALSE))+IF(ISERROR(VLOOKUP($AA63,ess_bud,Q$6,FALSE)),0,VLOOKUP($AA63,ess_bud,Q$6,FALSE))</f>
        <v>0</v>
      </c>
      <c r="R63" s="114">
        <f>+Q63/'P&amp;L Summary'!P$21</f>
        <v>0</v>
      </c>
      <c r="S63" s="114">
        <f t="shared" si="21"/>
        <v>0</v>
      </c>
      <c r="T63" s="114"/>
      <c r="U63" s="126">
        <f t="shared" si="22"/>
        <v>0</v>
      </c>
      <c r="V63" s="114">
        <f>+U63/'P&amp;L Summary'!T$21</f>
        <v>0</v>
      </c>
      <c r="W63" s="116"/>
      <c r="X63" s="2" t="str">
        <f t="shared" si="24"/>
        <v>47502CS</v>
      </c>
      <c r="Y63" s="2"/>
      <c r="Z63" s="2"/>
      <c r="AA63" s="2"/>
      <c r="AB63" s="2"/>
      <c r="AC63" s="8"/>
      <c r="AD63" s="8"/>
    </row>
    <row r="64" ht="12.75" customHeight="1">
      <c r="A64" s="32">
        <v>45800.0</v>
      </c>
      <c r="B64" s="8" t="s">
        <v>167</v>
      </c>
      <c r="C64" s="125">
        <f t="shared" si="16"/>
        <v>0</v>
      </c>
      <c r="D64" s="114">
        <f>+C64/'P&amp;L Summary'!B$21</f>
        <v>0</v>
      </c>
      <c r="E64" s="114"/>
      <c r="F64" s="118">
        <f>IF(ISERROR(VLOOKUP($X64,ess_bud,F$6,FALSE)),0,VLOOKUP($X64,ess_bud,F$6,FALSE))+IF(ISERROR(VLOOKUP($Z64,ess_bud,F$6,FALSE)),0,VLOOKUP($Z64,ess_bud,F$6,FALSE))+IF(ISERROR(VLOOKUP($Y64,ess_bud,F$6,FALSE)),0,VLOOKUP($Y64,ess_bud,F$6,FALSE))+IF(ISERROR(VLOOKUP($AA64,ess_bud,F$6,FALSE)),0,VLOOKUP($AA64,ess_bud,F$6,FALSE))</f>
        <v>0</v>
      </c>
      <c r="G64" s="114">
        <f>+F64/'P&amp;L Summary'!E$21</f>
        <v>0</v>
      </c>
      <c r="H64" s="114">
        <f t="shared" si="17"/>
        <v>0</v>
      </c>
      <c r="I64" s="114"/>
      <c r="J64" s="118">
        <f t="shared" si="18"/>
        <v>0</v>
      </c>
      <c r="K64" s="114">
        <f>+J64/'P&amp;L Summary'!I$21</f>
        <v>0</v>
      </c>
      <c r="L64" s="116">
        <f t="shared" si="19"/>
        <v>0</v>
      </c>
      <c r="M64" s="115"/>
      <c r="N64" s="125">
        <f t="shared" si="20"/>
        <v>0</v>
      </c>
      <c r="O64" s="114">
        <f>+N64/'P&amp;L Summary'!M$21</f>
        <v>0</v>
      </c>
      <c r="P64" s="114"/>
      <c r="Q64" s="74">
        <f>IF(ISERROR(VLOOKUP($X64,ess_bud,Q$6,FALSE)),0,VLOOKUP($X64,ess_bud,Q$6,FALSE))+IF(ISERROR(VLOOKUP($Z64,ess_bud,Q$6,FALSE)),0,VLOOKUP($Z64,ess_bud,Q$6,FALSE))+IF(ISERROR(VLOOKUP($Y64,ess_bud,Q$6,FALSE)),0,VLOOKUP($Y64,ess_bud,Q$6,FALSE))+IF(ISERROR(VLOOKUP($AA64,ess_bud,Q$6,FALSE)),0,VLOOKUP($AA64,ess_bud,Q$6,FALSE))</f>
        <v>0</v>
      </c>
      <c r="R64" s="114">
        <f>+Q64/'P&amp;L Summary'!P$21</f>
        <v>0</v>
      </c>
      <c r="S64" s="114">
        <f t="shared" si="21"/>
        <v>0</v>
      </c>
      <c r="T64" s="114"/>
      <c r="U64" s="126">
        <f t="shared" si="22"/>
        <v>0</v>
      </c>
      <c r="V64" s="114">
        <f>+U64/'P&amp;L Summary'!T$21</f>
        <v>0</v>
      </c>
      <c r="W64" s="116">
        <f t="shared" ref="W64:W65" si="25">+IF(U64=0,0,(N64-U64)/U64)</f>
        <v>0</v>
      </c>
      <c r="X64" s="2" t="str">
        <f t="shared" si="24"/>
        <v>45800CS</v>
      </c>
      <c r="Y64" s="2"/>
      <c r="Z64" s="2"/>
      <c r="AA64" s="2"/>
      <c r="AB64" s="2"/>
      <c r="AC64" s="8"/>
      <c r="AD64" s="8"/>
    </row>
    <row r="65" ht="12.75" customHeight="1">
      <c r="A65" s="32">
        <v>47405.0</v>
      </c>
      <c r="B65" s="8" t="s">
        <v>168</v>
      </c>
      <c r="C65" s="125">
        <f t="shared" si="16"/>
        <v>0</v>
      </c>
      <c r="D65" s="114">
        <f>+C65/'P&amp;L Summary'!B$21</f>
        <v>0</v>
      </c>
      <c r="E65" s="114"/>
      <c r="F65" s="118">
        <f>IF(ISERROR(VLOOKUP($X65,ess_bud,F$6,FALSE)),0,VLOOKUP($X65,ess_bud,F$6,FALSE))+IF(ISERROR(VLOOKUP($Z65,ess_bud,F$6,FALSE)),0,VLOOKUP($Z65,ess_bud,F$6,FALSE))+IF(ISERROR(VLOOKUP($Y65,ess_bud,F$6,FALSE)),0,VLOOKUP($Y65,ess_bud,F$6,FALSE))+IF(ISERROR(VLOOKUP($AA65,ess_bud,F$6,FALSE)),0,VLOOKUP($AA65,ess_bud,F$6,FALSE))</f>
        <v>0</v>
      </c>
      <c r="G65" s="114">
        <f>+F65/'P&amp;L Summary'!E$21</f>
        <v>0</v>
      </c>
      <c r="H65" s="114">
        <f t="shared" si="17"/>
        <v>0</v>
      </c>
      <c r="I65" s="114"/>
      <c r="J65" s="35">
        <f t="shared" si="18"/>
        <v>0</v>
      </c>
      <c r="K65" s="114">
        <f>+J65/'P&amp;L Summary'!I$21</f>
        <v>0</v>
      </c>
      <c r="L65" s="116">
        <f t="shared" si="19"/>
        <v>0</v>
      </c>
      <c r="M65" s="115"/>
      <c r="N65" s="125">
        <f t="shared" si="20"/>
        <v>0</v>
      </c>
      <c r="O65" s="114">
        <f>+N65/'P&amp;L Summary'!M$21</f>
        <v>0</v>
      </c>
      <c r="P65" s="114"/>
      <c r="Q65" s="35">
        <f>IF(ISERROR(VLOOKUP($X65,ess_bud,Q$6,FALSE)),0,VLOOKUP($X65,ess_bud,Q$6,FALSE))+IF(ISERROR(VLOOKUP($Z65,ess_bud,Q$6,FALSE)),0,VLOOKUP($Z65,ess_bud,Q$6,FALSE))+IF(ISERROR(VLOOKUP($Y65,ess_bud,Q$6,FALSE)),0,VLOOKUP($Y65,ess_bud,Q$6,FALSE))+IF(ISERROR(VLOOKUP($AA65,ess_bud,Q$6,FALSE)),0,VLOOKUP($AA65,ess_bud,Q$6,FALSE))</f>
        <v>0</v>
      </c>
      <c r="R65" s="114">
        <f>+Q65/'P&amp;L Summary'!P$21</f>
        <v>0</v>
      </c>
      <c r="S65" s="114">
        <f t="shared" si="21"/>
        <v>0</v>
      </c>
      <c r="T65" s="114"/>
      <c r="U65" s="35">
        <f t="shared" si="22"/>
        <v>0</v>
      </c>
      <c r="V65" s="114">
        <f>+U65/'P&amp;L Summary'!T$21</f>
        <v>0</v>
      </c>
      <c r="W65" s="116">
        <f t="shared" si="25"/>
        <v>0</v>
      </c>
      <c r="X65" s="2" t="str">
        <f t="shared" si="24"/>
        <v>47405CS</v>
      </c>
      <c r="Y65" s="2"/>
      <c r="Z65" s="2"/>
      <c r="AA65" s="2"/>
      <c r="AB65" s="2"/>
      <c r="AC65" s="8"/>
      <c r="AD65" s="8"/>
    </row>
    <row r="66" ht="12.75" customHeight="1">
      <c r="A66" s="32"/>
      <c r="B66" s="8" t="s">
        <v>169</v>
      </c>
      <c r="C66" s="125"/>
      <c r="D66" s="114"/>
      <c r="E66" s="114"/>
      <c r="F66" s="118"/>
      <c r="G66" s="114"/>
      <c r="H66" s="114"/>
      <c r="I66" s="114"/>
      <c r="J66" s="118"/>
      <c r="K66" s="114"/>
      <c r="L66" s="116"/>
      <c r="M66" s="115"/>
      <c r="N66" s="125"/>
      <c r="O66" s="114"/>
      <c r="P66" s="114"/>
      <c r="Q66" s="74"/>
      <c r="R66" s="114"/>
      <c r="S66" s="114"/>
      <c r="T66" s="114"/>
      <c r="U66" s="118"/>
      <c r="V66" s="114"/>
      <c r="W66" s="116"/>
      <c r="X66" s="2"/>
      <c r="Y66" s="2"/>
      <c r="Z66" s="2"/>
      <c r="AA66" s="2"/>
      <c r="AB66" s="2"/>
      <c r="AC66" s="8"/>
      <c r="AD66" s="8"/>
    </row>
    <row r="67" ht="12.75" customHeight="1">
      <c r="A67" s="2"/>
      <c r="B67" s="24" t="s">
        <v>40</v>
      </c>
      <c r="C67" s="144">
        <f>SUM(C44:C66)</f>
        <v>0</v>
      </c>
      <c r="D67" s="145">
        <f>+C67/'P&amp;L Summary'!B$21</f>
        <v>0</v>
      </c>
      <c r="E67" s="145"/>
      <c r="F67" s="146">
        <f>SUM(F44:F66)</f>
        <v>0</v>
      </c>
      <c r="G67" s="145">
        <f>+F67/'P&amp;L Summary'!E$21</f>
        <v>0</v>
      </c>
      <c r="H67" s="145">
        <f>IF(F67=0,0,+(C67-F67)/F67)</f>
        <v>0</v>
      </c>
      <c r="I67" s="145"/>
      <c r="J67" s="147">
        <f>SUM(J44:J66)</f>
        <v>0</v>
      </c>
      <c r="K67" s="145">
        <f>+J67/'P&amp;L Summary'!I$21</f>
        <v>0</v>
      </c>
      <c r="L67" s="148">
        <f>IF(J67=0,0,+(C67-J67)/J67)</f>
        <v>0</v>
      </c>
      <c r="M67" s="149"/>
      <c r="N67" s="144">
        <f>SUM(N44:N66)</f>
        <v>0</v>
      </c>
      <c r="O67" s="145">
        <f>+N67/'P&amp;L Summary'!M$21</f>
        <v>0</v>
      </c>
      <c r="P67" s="145"/>
      <c r="Q67" s="146">
        <f>SUM(Q44:Q66)</f>
        <v>119329.25</v>
      </c>
      <c r="R67" s="145">
        <f>+Q67/'P&amp;L Summary'!P$21</f>
        <v>0.05634697166</v>
      </c>
      <c r="S67" s="145">
        <f>+IF(Q67=0,0,(N67-Q67)/Q67)</f>
        <v>-1</v>
      </c>
      <c r="T67" s="145"/>
      <c r="U67" s="146">
        <f>SUM(U44:U66)</f>
        <v>0</v>
      </c>
      <c r="V67" s="145">
        <f>+U67/'P&amp;L Summary'!T$21</f>
        <v>0</v>
      </c>
      <c r="W67" s="148">
        <f>+IF(U67=0,0,(N67-U67)/U67)</f>
        <v>0</v>
      </c>
      <c r="X67" s="2"/>
      <c r="Y67" s="2"/>
      <c r="Z67" s="2"/>
      <c r="AA67" s="2"/>
      <c r="AB67" s="2"/>
      <c r="AC67" s="8"/>
      <c r="AD67" s="8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8"/>
      <c r="AD68" s="8"/>
    </row>
    <row r="69" ht="12.75" customHeight="1">
      <c r="A69" s="2"/>
      <c r="B69" s="2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>
        <v>348453.0</v>
      </c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8"/>
      <c r="AD69" s="8"/>
    </row>
    <row r="70" ht="12.75" customHeight="1">
      <c r="A70" s="2"/>
      <c r="B70" s="2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>
        <f>+C67+N69</f>
        <v>348453</v>
      </c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8"/>
      <c r="AD70" s="8"/>
    </row>
    <row r="71" ht="12.75" customHeight="1">
      <c r="A71" s="2"/>
      <c r="B71" s="2"/>
      <c r="C71" s="2"/>
      <c r="D71" s="2"/>
      <c r="E71" s="2"/>
      <c r="F71" s="74"/>
      <c r="G71" s="2"/>
      <c r="H71" s="2"/>
      <c r="I71" s="2"/>
      <c r="J71" s="74"/>
      <c r="K71" s="2"/>
      <c r="L71" s="2"/>
      <c r="M71" s="2"/>
      <c r="N71" s="74"/>
      <c r="O71" s="2"/>
      <c r="P71" s="2"/>
      <c r="Q71" s="74"/>
      <c r="R71" s="2"/>
      <c r="S71" s="2"/>
      <c r="T71" s="2"/>
      <c r="U71" s="74"/>
      <c r="V71" s="2"/>
      <c r="W71" s="2"/>
      <c r="X71" s="2"/>
      <c r="Y71" s="2"/>
      <c r="Z71" s="2"/>
      <c r="AA71" s="2"/>
      <c r="AB71" s="2"/>
      <c r="AC71" s="8"/>
      <c r="AD71" s="8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8"/>
      <c r="AD72" s="8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8"/>
      <c r="AD73" s="8"/>
    </row>
    <row r="74" ht="12.75" customHeight="1">
      <c r="A74" s="8">
        <v>45100.0</v>
      </c>
      <c r="B74" s="8" t="s">
        <v>170</v>
      </c>
      <c r="C74" s="35">
        <f t="shared" ref="C74:C80" si="26">IF(ISERROR(VLOOKUP($X74,ess_act,C$6,FALSE)),0,VLOOKUP($X74,ess_act,C$6,FALSE))+IF(ISERROR(VLOOKUP($Z74,ess_act,C$6,FALSE)),0,VLOOKUP($Z74,ess_act,C$6,FALSE))+IF(ISERROR(VLOOKUP($Y74,ess_act,C$6,FALSE)),0,VLOOKUP($Y74,ess_act,C$6,FALSE))+IF(ISERROR(VLOOKUP($AA74,ess_act,C$6,FALSE)),0,VLOOKUP($AA74,ess_act,C$6,FALSE))</f>
        <v>0</v>
      </c>
      <c r="D74" s="2"/>
      <c r="E74" s="29"/>
      <c r="F74" s="35">
        <f>IF(ISERROR(VLOOKUP($X74,ess_bud,F$6,FALSE)),0,VLOOKUP($X74,ess_bud,F$6,FALSE))+IF(ISERROR(VLOOKUP($Z74,ess_bud,F$6,FALSE)),0,VLOOKUP($Z74,ess_bud,F$6,FALSE))+IF(ISERROR(VLOOKUP($Y74,ess_bud,F$6,FALSE)),0,VLOOKUP($Y74,ess_bud,F$6,FALSE))+IF(ISERROR(VLOOKUP($AA74,ess_bud,F$6,FALSE)),0,VLOOKUP($AA74,ess_bud,F$6,FALSE))</f>
        <v>0</v>
      </c>
      <c r="G74" s="2"/>
      <c r="H74" s="2"/>
      <c r="I74" s="37"/>
      <c r="J74" s="35">
        <f t="shared" ref="J74:J80" si="27">IF(ISERROR(VLOOKUP($X74,ess_act,J$6,FALSE)),0,VLOOKUP($X74,ess_act,J$6,FALSE))+IF(ISERROR(VLOOKUP($Z74,ess_act,J$6,FALSE)),0,VLOOKUP($Z74,ess_act,J$6,FALSE))+IF(ISERROR(VLOOKUP($Y74,ess_act,J$6,FALSE)),0,VLOOKUP($Y74,ess_act,J$6,FALSE))+IF(ISERROR(VLOOKUP($AA74,ess_act,J$6,FALSE)),0,VLOOKUP($AA74,ess_act,J$6,FALSE))</f>
        <v>0</v>
      </c>
      <c r="K74" s="2"/>
      <c r="L74" s="2"/>
      <c r="M74" s="2"/>
      <c r="N74" s="35">
        <f t="shared" ref="N74:N80" si="28">IF(ISERROR(VLOOKUP($X74,ess_act,N$6,FALSE)),0,VLOOKUP($X74,ess_act,N$6,FALSE))+IF(ISERROR(VLOOKUP($Z74,ess_act,N$6,FALSE)),0,VLOOKUP($Z74,ess_act,N$6,FALSE))+IF(ISERROR(VLOOKUP($Y74,ess_act,N$6,FALSE)),0,VLOOKUP($Y74,ess_act,N$6,FALSE))+IF(ISERROR(VLOOKUP($AA74,ess_act,N$6,FALSE)),0,VLOOKUP($AA74,ess_act,N$6,FALSE))</f>
        <v>0</v>
      </c>
      <c r="P74" s="29"/>
      <c r="Q74" s="35">
        <f>IF(ISERROR(VLOOKUP($X74,ess_bud,Q$6,FALSE)),0,VLOOKUP($X74,ess_bud,Q$6,FALSE))+IF(ISERROR(VLOOKUP($Z74,ess_bud,Q$6,FALSE)),0,VLOOKUP($Z74,ess_bud,Q$6,FALSE))+IF(ISERROR(VLOOKUP($Y74,ess_bud,Q$6,FALSE)),0,VLOOKUP($Y74,ess_bud,Q$6,FALSE))+IF(ISERROR(VLOOKUP($AA74,ess_bud,Q$6,FALSE)),0,VLOOKUP($AA74,ess_bud,Q$6,FALSE))</f>
        <v>0</v>
      </c>
      <c r="T74" s="37"/>
      <c r="U74" s="35">
        <f t="shared" ref="U74:U80" si="29">IF(ISERROR(VLOOKUP($X74,ess_act,U$6,FALSE)),0,VLOOKUP($X74,ess_act,U$6,FALSE))+IF(ISERROR(VLOOKUP($Z74,ess_act,U$6,FALSE)),0,VLOOKUP($Z74,ess_act,U$6,FALSE))+IF(ISERROR(VLOOKUP($Y74,ess_act,U$6,FALSE)),0,VLOOKUP($Y74,ess_act,U$6,FALSE))+IF(ISERROR(VLOOKUP($AA74,ess_act,U$6,FALSE)),0,VLOOKUP($AA74,ess_act,U$6,FALSE))</f>
        <v>0</v>
      </c>
      <c r="X74" s="8" t="str">
        <f t="shared" ref="X74:X75" si="30">A74&amp;$X$6</f>
        <v>45100CS</v>
      </c>
      <c r="Y74" s="8"/>
      <c r="Z74" s="8"/>
      <c r="AA74" s="2"/>
      <c r="AB74" s="2"/>
      <c r="AC74" s="8"/>
      <c r="AD74" s="8"/>
    </row>
    <row r="75" ht="12.75" customHeight="1">
      <c r="A75" s="8">
        <v>45301.0</v>
      </c>
      <c r="B75" s="8" t="s">
        <v>22</v>
      </c>
      <c r="C75" s="35">
        <f t="shared" si="26"/>
        <v>0</v>
      </c>
      <c r="D75" s="2"/>
      <c r="E75" s="29"/>
      <c r="F75" s="35">
        <f>IF(ISERROR(VLOOKUP($X75,ess_bud,F$6,FALSE)),0,VLOOKUP($X75,ess_bud,F$6,FALSE))+IF(ISERROR(VLOOKUP($Z75,ess_bud,F$6,FALSE)),0,VLOOKUP($Z75,ess_bud,F$6,FALSE))+IF(ISERROR(VLOOKUP($Y75,ess_bud,F$6,FALSE)),0,VLOOKUP($Y75,ess_bud,F$6,FALSE))+IF(ISERROR(VLOOKUP($AA75,ess_bud,F$6,FALSE)),0,VLOOKUP($AA75,ess_bud,F$6,FALSE))</f>
        <v>0</v>
      </c>
      <c r="G75" s="2"/>
      <c r="H75" s="2"/>
      <c r="I75" s="37"/>
      <c r="J75" s="35">
        <f t="shared" si="27"/>
        <v>0</v>
      </c>
      <c r="K75" s="2"/>
      <c r="L75" s="2"/>
      <c r="M75" s="2"/>
      <c r="N75" s="35">
        <f t="shared" si="28"/>
        <v>0</v>
      </c>
      <c r="P75" s="29"/>
      <c r="Q75" s="35">
        <f>IF(ISERROR(VLOOKUP($X75,ess_bud,Q$6,FALSE)),0,VLOOKUP($X75,ess_bud,Q$6,FALSE))+IF(ISERROR(VLOOKUP($Z75,ess_bud,Q$6,FALSE)),0,VLOOKUP($Z75,ess_bud,Q$6,FALSE))+IF(ISERROR(VLOOKUP($Y75,ess_bud,Q$6,FALSE)),0,VLOOKUP($Y75,ess_bud,Q$6,FALSE))+IF(ISERROR(VLOOKUP($AA75,ess_bud,Q$6,FALSE)),0,VLOOKUP($AA75,ess_bud,Q$6,FALSE))</f>
        <v>7020</v>
      </c>
      <c r="T75" s="37"/>
      <c r="U75" s="35">
        <f t="shared" si="29"/>
        <v>0</v>
      </c>
      <c r="X75" s="8" t="str">
        <f t="shared" si="30"/>
        <v>45301CS</v>
      </c>
      <c r="Y75" s="8"/>
      <c r="Z75" s="8" t="str">
        <f>45300&amp;$X$6</f>
        <v>45300CS</v>
      </c>
      <c r="AA75" s="8" t="str">
        <f>45302&amp;$X$6</f>
        <v>45302CS</v>
      </c>
      <c r="AB75" s="2"/>
      <c r="AC75" s="8"/>
      <c r="AD75" s="8"/>
    </row>
    <row r="76" ht="12.75" customHeight="1">
      <c r="A76" s="8"/>
      <c r="B76" s="8" t="s">
        <v>171</v>
      </c>
      <c r="C76" s="35">
        <f t="shared" si="26"/>
        <v>0</v>
      </c>
      <c r="D76" s="2"/>
      <c r="E76" s="29"/>
      <c r="F76" s="35">
        <f>IF(ISERROR(VLOOKUP($X76,ess_bud,F$6,FALSE)),0,VLOOKUP($X76,ess_bud,F$6,FALSE))+IF(ISERROR(VLOOKUP($Z76,ess_bud,F$6,FALSE)),0,VLOOKUP($Z76,ess_bud,F$6,FALSE))+IF(ISERROR(VLOOKUP($Y76,ess_bud,F$6,FALSE)),0,VLOOKUP($Y76,ess_bud,F$6,FALSE))+IF(ISERROR(VLOOKUP($AA76,ess_bud,F$6,FALSE)),0,VLOOKUP($AA76,ess_bud,F$6,FALSE))</f>
        <v>0</v>
      </c>
      <c r="G76" s="2"/>
      <c r="H76" s="2"/>
      <c r="I76" s="37"/>
      <c r="J76" s="35">
        <f t="shared" si="27"/>
        <v>0</v>
      </c>
      <c r="K76" s="2"/>
      <c r="L76" s="2"/>
      <c r="M76" s="2"/>
      <c r="N76" s="35">
        <f t="shared" si="28"/>
        <v>0</v>
      </c>
      <c r="P76" s="29"/>
      <c r="Q76" s="35">
        <f>IF(ISERROR(VLOOKUP($X76,ess_bud,Q$6,FALSE)),0,VLOOKUP($X76,ess_bud,Q$6,FALSE))+IF(ISERROR(VLOOKUP($Z76,ess_bud,Q$6,FALSE)),0,VLOOKUP($Z76,ess_bud,Q$6,FALSE))+IF(ISERROR(VLOOKUP($Y76,ess_bud,Q$6,FALSE)),0,VLOOKUP($Y76,ess_bud,Q$6,FALSE))+IF(ISERROR(VLOOKUP($AA76,ess_bud,Q$6,FALSE)),0,VLOOKUP($AA76,ess_bud,Q$6,FALSE))</f>
        <v>0</v>
      </c>
      <c r="T76" s="37"/>
      <c r="U76" s="35">
        <f t="shared" si="29"/>
        <v>0</v>
      </c>
      <c r="X76" s="8"/>
      <c r="Y76" s="8"/>
      <c r="Z76" s="8"/>
      <c r="AA76" s="2"/>
      <c r="AB76" s="2"/>
      <c r="AC76" s="8"/>
      <c r="AD76" s="8"/>
    </row>
    <row r="77" ht="12.75" customHeight="1">
      <c r="A77" s="8">
        <v>45401.0</v>
      </c>
      <c r="B77" s="8" t="s">
        <v>24</v>
      </c>
      <c r="C77" s="35">
        <f t="shared" si="26"/>
        <v>0</v>
      </c>
      <c r="D77" s="2"/>
      <c r="E77" s="29"/>
      <c r="F77" s="35">
        <f>IF(ISERROR(VLOOKUP($X77,ess_bud,F$6,FALSE)),0,VLOOKUP($X77,ess_bud,F$6,FALSE))+IF(ISERROR(VLOOKUP($Z77,ess_bud,F$6,FALSE)),0,VLOOKUP($Z77,ess_bud,F$6,FALSE))+IF(ISERROR(VLOOKUP($Y77,ess_bud,F$6,FALSE)),0,VLOOKUP($Y77,ess_bud,F$6,FALSE))+IF(ISERROR(VLOOKUP($AA77,ess_bud,F$6,FALSE)),0,VLOOKUP($AA77,ess_bud,F$6,FALSE))</f>
        <v>0</v>
      </c>
      <c r="G77" s="2"/>
      <c r="H77" s="2"/>
      <c r="I77" s="37"/>
      <c r="J77" s="35">
        <f t="shared" si="27"/>
        <v>0</v>
      </c>
      <c r="K77" s="2"/>
      <c r="L77" s="2"/>
      <c r="M77" s="2"/>
      <c r="N77" s="35">
        <f t="shared" si="28"/>
        <v>0</v>
      </c>
      <c r="P77" s="29"/>
      <c r="Q77" s="35">
        <f>IF(ISERROR(VLOOKUP($X77,ess_bud,Q$6,FALSE)),0,VLOOKUP($X77,ess_bud,Q$6,FALSE))+IF(ISERROR(VLOOKUP($Z77,ess_bud,Q$6,FALSE)),0,VLOOKUP($Z77,ess_bud,Q$6,FALSE))+IF(ISERROR(VLOOKUP($Y77,ess_bud,Q$6,FALSE)),0,VLOOKUP($Y77,ess_bud,Q$6,FALSE))+IF(ISERROR(VLOOKUP($AA77,ess_bud,Q$6,FALSE)),0,VLOOKUP($AA77,ess_bud,Q$6,FALSE))</f>
        <v>2500</v>
      </c>
      <c r="T77" s="37"/>
      <c r="U77" s="35">
        <f t="shared" si="29"/>
        <v>0</v>
      </c>
      <c r="X77" s="8" t="str">
        <f t="shared" ref="X77:X80" si="31">A77&amp;$X$6</f>
        <v>45401CS</v>
      </c>
      <c r="Y77" s="8" t="s">
        <v>172</v>
      </c>
      <c r="Z77" s="8" t="str">
        <f>45400&amp;$X$6</f>
        <v>45400CS</v>
      </c>
      <c r="AA77" s="8" t="str">
        <f>45404&amp;$X$6</f>
        <v>45404CS</v>
      </c>
      <c r="AB77" s="2"/>
      <c r="AC77" s="8"/>
      <c r="AD77" s="8"/>
    </row>
    <row r="78" ht="12.75" customHeight="1">
      <c r="A78" s="8">
        <v>45500.0</v>
      </c>
      <c r="B78" s="8" t="s">
        <v>26</v>
      </c>
      <c r="C78" s="35">
        <f t="shared" si="26"/>
        <v>0</v>
      </c>
      <c r="D78" s="2"/>
      <c r="E78" s="29"/>
      <c r="F78" s="35">
        <f>IF(ISERROR(VLOOKUP($X78,ess_bud,F$6,FALSE)),0,VLOOKUP($X78,ess_bud,F$6,FALSE))+IF(ISERROR(VLOOKUP($Z78,ess_bud,F$6,FALSE)),0,VLOOKUP($Z78,ess_bud,F$6,FALSE))+IF(ISERROR(VLOOKUP($Y78,ess_bud,F$6,FALSE)),0,VLOOKUP($Y78,ess_bud,F$6,FALSE))+IF(ISERROR(VLOOKUP($AA78,ess_bud,F$6,FALSE)),0,VLOOKUP($AA78,ess_bud,F$6,FALSE))</f>
        <v>0</v>
      </c>
      <c r="G78" s="2"/>
      <c r="H78" s="2"/>
      <c r="I78" s="37"/>
      <c r="J78" s="35">
        <f t="shared" si="27"/>
        <v>0</v>
      </c>
      <c r="K78" s="2"/>
      <c r="L78" s="2"/>
      <c r="M78" s="2"/>
      <c r="N78" s="35">
        <f t="shared" si="28"/>
        <v>0</v>
      </c>
      <c r="P78" s="29"/>
      <c r="Q78" s="35">
        <f>IF(ISERROR(VLOOKUP($X78,ess_bud,Q$6,FALSE)),0,VLOOKUP($X78,ess_bud,Q$6,FALSE))+IF(ISERROR(VLOOKUP($Z78,ess_bud,Q$6,FALSE)),0,VLOOKUP($Z78,ess_bud,Q$6,FALSE))+IF(ISERROR(VLOOKUP($Y78,ess_bud,Q$6,FALSE)),0,VLOOKUP($Y78,ess_bud,Q$6,FALSE))+IF(ISERROR(VLOOKUP($AA78,ess_bud,Q$6,FALSE)),0,VLOOKUP($AA78,ess_bud,Q$6,FALSE))</f>
        <v>500</v>
      </c>
      <c r="T78" s="37"/>
      <c r="U78" s="35">
        <f t="shared" si="29"/>
        <v>0</v>
      </c>
      <c r="X78" s="8" t="str">
        <f t="shared" si="31"/>
        <v>45500CS</v>
      </c>
      <c r="Y78" s="8"/>
      <c r="Z78" s="8" t="str">
        <f>45501&amp;$X$6</f>
        <v>45501CS</v>
      </c>
      <c r="AA78" s="2"/>
      <c r="AB78" s="2"/>
      <c r="AC78" s="8"/>
      <c r="AD78" s="8"/>
    </row>
    <row r="79" ht="12.75" customHeight="1">
      <c r="A79" s="8">
        <v>45600.0</v>
      </c>
      <c r="B79" s="8" t="s">
        <v>110</v>
      </c>
      <c r="C79" s="35">
        <f t="shared" si="26"/>
        <v>0</v>
      </c>
      <c r="D79" s="2"/>
      <c r="E79" s="29"/>
      <c r="F79" s="35">
        <f>IF(ISERROR(VLOOKUP($X79,ess_bud,F$6,FALSE)),0,VLOOKUP($X79,ess_bud,F$6,FALSE))+IF(ISERROR(VLOOKUP($Z79,ess_bud,F$6,FALSE)),0,VLOOKUP($Z79,ess_bud,F$6,FALSE))+IF(ISERROR(VLOOKUP($Y79,ess_bud,F$6,FALSE)),0,VLOOKUP($Y79,ess_bud,F$6,FALSE))+IF(ISERROR(VLOOKUP($AA79,ess_bud,F$6,FALSE)),0,VLOOKUP($AA79,ess_bud,F$6,FALSE))</f>
        <v>0</v>
      </c>
      <c r="G79" s="2"/>
      <c r="H79" s="2"/>
      <c r="I79" s="37"/>
      <c r="J79" s="35">
        <f t="shared" si="27"/>
        <v>0</v>
      </c>
      <c r="K79" s="2"/>
      <c r="L79" s="2"/>
      <c r="M79" s="2"/>
      <c r="N79" s="35">
        <f t="shared" si="28"/>
        <v>0</v>
      </c>
      <c r="P79" s="29"/>
      <c r="Q79" s="35">
        <f>IF(ISERROR(VLOOKUP($X79,ess_bud,Q$6,FALSE)),0,VLOOKUP($X79,ess_bud,Q$6,FALSE))+IF(ISERROR(VLOOKUP($Z79,ess_bud,Q$6,FALSE)),0,VLOOKUP($Z79,ess_bud,Q$6,FALSE))+IF(ISERROR(VLOOKUP($Y79,ess_bud,Q$6,FALSE)),0,VLOOKUP($Y79,ess_bud,Q$6,FALSE))+IF(ISERROR(VLOOKUP($AA79,ess_bud,Q$6,FALSE)),0,VLOOKUP($AA79,ess_bud,Q$6,FALSE))</f>
        <v>13000</v>
      </c>
      <c r="T79" s="37"/>
      <c r="U79" s="35">
        <f t="shared" si="29"/>
        <v>0</v>
      </c>
      <c r="X79" s="8" t="str">
        <f t="shared" si="31"/>
        <v>45600CS</v>
      </c>
      <c r="Y79" s="8"/>
      <c r="Z79" s="8" t="str">
        <f>45601&amp;$X$6</f>
        <v>45601CS</v>
      </c>
      <c r="AA79" s="2"/>
      <c r="AB79" s="2"/>
      <c r="AC79" s="8"/>
      <c r="AD79" s="8"/>
    </row>
    <row r="80" ht="12.75" customHeight="1">
      <c r="A80" s="8">
        <v>47600.0</v>
      </c>
      <c r="B80" s="8" t="s">
        <v>173</v>
      </c>
      <c r="C80" s="35">
        <f t="shared" si="26"/>
        <v>0</v>
      </c>
      <c r="D80" s="2"/>
      <c r="E80" s="29"/>
      <c r="F80" s="35">
        <f>IF(ISERROR(VLOOKUP($X80,ess_bud,F$6,FALSE)),0,VLOOKUP($X80,ess_bud,F$6,FALSE))+IF(ISERROR(VLOOKUP($Z80,ess_bud,F$6,FALSE)),0,VLOOKUP($Z80,ess_bud,F$6,FALSE))+IF(ISERROR(VLOOKUP($Y80,ess_bud,F$6,FALSE)),0,VLOOKUP($Y80,ess_bud,F$6,FALSE))+IF(ISERROR(VLOOKUP($AA80,ess_bud,F$6,FALSE)),0,VLOOKUP($AA80,ess_bud,F$6,FALSE))</f>
        <v>0</v>
      </c>
      <c r="G80" s="2"/>
      <c r="H80" s="2"/>
      <c r="I80" s="37"/>
      <c r="J80" s="35">
        <f t="shared" si="27"/>
        <v>0</v>
      </c>
      <c r="K80" s="2"/>
      <c r="L80" s="2"/>
      <c r="M80" s="2"/>
      <c r="N80" s="35">
        <f t="shared" si="28"/>
        <v>0</v>
      </c>
      <c r="P80" s="29"/>
      <c r="Q80" s="35">
        <f>IF(ISERROR(VLOOKUP($X80,ess_bud,Q$6,FALSE)),0,VLOOKUP($X80,ess_bud,Q$6,FALSE))+IF(ISERROR(VLOOKUP($Z80,ess_bud,Q$6,FALSE)),0,VLOOKUP($Z80,ess_bud,Q$6,FALSE))+IF(ISERROR(VLOOKUP($Y80,ess_bud,Q$6,FALSE)),0,VLOOKUP($Y80,ess_bud,Q$6,FALSE))+IF(ISERROR(VLOOKUP($AA80,ess_bud,Q$6,FALSE)),0,VLOOKUP($AA80,ess_bud,Q$6,FALSE))</f>
        <v>0</v>
      </c>
      <c r="T80" s="37"/>
      <c r="U80" s="35">
        <f t="shared" si="29"/>
        <v>0</v>
      </c>
      <c r="X80" s="8" t="str">
        <f t="shared" si="31"/>
        <v>47600CS</v>
      </c>
      <c r="Y80" s="8"/>
      <c r="Z80" s="8"/>
      <c r="AA80" s="2"/>
      <c r="AB80" s="2"/>
      <c r="AC80" s="8"/>
      <c r="AD80" s="8"/>
    </row>
    <row r="81" ht="12.75" customHeight="1">
      <c r="A81" s="8"/>
      <c r="B81" s="8"/>
      <c r="C81" s="126"/>
      <c r="D81" s="2"/>
      <c r="E81" s="29"/>
      <c r="F81" s="126"/>
      <c r="G81" s="2"/>
      <c r="H81" s="2"/>
      <c r="I81" s="37"/>
      <c r="J81" s="126"/>
      <c r="K81" s="2"/>
      <c r="L81" s="2"/>
      <c r="M81" s="2"/>
      <c r="N81" s="126"/>
      <c r="P81" s="29"/>
      <c r="Q81" s="126"/>
      <c r="T81" s="37"/>
      <c r="U81" s="126"/>
      <c r="X81" s="8"/>
      <c r="Y81" s="8"/>
      <c r="Z81" s="8"/>
      <c r="AA81" s="2"/>
      <c r="AB81" s="2"/>
      <c r="AC81" s="8"/>
      <c r="AD81" s="8"/>
    </row>
    <row r="82" ht="12.75" customHeight="1">
      <c r="A82" s="8">
        <v>49101.0</v>
      </c>
      <c r="B82" s="8" t="s">
        <v>109</v>
      </c>
      <c r="C82" s="35">
        <f>IF(ISERROR(VLOOKUP($X82,ess_act,C$6,FALSE)),0,VLOOKUP($X82,ess_act,C$6,FALSE))+IF(ISERROR(VLOOKUP($Z82,ess_act,C$6,FALSE)),0,VLOOKUP($Z82,ess_act,C$6,FALSE))+IF(ISERROR(VLOOKUP($Y82,ess_act,C$6,FALSE)),0,VLOOKUP($Y82,ess_act,C$6,FALSE))+IF(ISERROR(VLOOKUP($AA82,ess_act,C$6,FALSE)),0,VLOOKUP($AA82,ess_act,C$6,FALSE))</f>
        <v>0</v>
      </c>
      <c r="D82" s="2"/>
      <c r="E82" s="29"/>
      <c r="F82" s="35">
        <f>IF(ISERROR(VLOOKUP($X82,ess_bud,F$6,FALSE)),0,VLOOKUP($X82,ess_bud,F$6,FALSE))+IF(ISERROR(VLOOKUP($Z82,ess_bud,F$6,FALSE)),0,VLOOKUP($Z82,ess_bud,F$6,FALSE))+IF(ISERROR(VLOOKUP($Y82,ess_bud,F$6,FALSE)),0,VLOOKUP($Y82,ess_bud,F$6,FALSE))+IF(ISERROR(VLOOKUP($AA82,ess_bud,F$6,FALSE)),0,VLOOKUP($AA82,ess_bud,F$6,FALSE))</f>
        <v>0</v>
      </c>
      <c r="G82" s="2"/>
      <c r="H82" s="2"/>
      <c r="I82" s="37"/>
      <c r="J82" s="35">
        <f>IF(ISERROR(VLOOKUP($X82,ess_act,J$6,FALSE)),0,VLOOKUP($X82,ess_act,J$6,FALSE))+IF(ISERROR(VLOOKUP($Z82,ess_act,J$6,FALSE)),0,VLOOKUP($Z82,ess_act,J$6,FALSE))+IF(ISERROR(VLOOKUP($Y82,ess_act,J$6,FALSE)),0,VLOOKUP($Y82,ess_act,J$6,FALSE))+IF(ISERROR(VLOOKUP($AA82,ess_act,J$6,FALSE)),0,VLOOKUP($AA82,ess_act,J$6,FALSE))</f>
        <v>0</v>
      </c>
      <c r="K82" s="2"/>
      <c r="L82" s="2"/>
      <c r="M82" s="2"/>
      <c r="N82" s="35">
        <f>IF(ISERROR(VLOOKUP($X82,ess_act,N$6,FALSE)),0,VLOOKUP($X82,ess_act,N$6,FALSE))+IF(ISERROR(VLOOKUP($Z82,ess_act,N$6,FALSE)),0,VLOOKUP($Z82,ess_act,N$6,FALSE))+IF(ISERROR(VLOOKUP($Y82,ess_act,N$6,FALSE)),0,VLOOKUP($Y82,ess_act,N$6,FALSE))+IF(ISERROR(VLOOKUP($AA82,ess_act,N$6,FALSE)),0,VLOOKUP($AA82,ess_act,N$6,FALSE))</f>
        <v>0</v>
      </c>
      <c r="P82" s="29"/>
      <c r="Q82" s="35">
        <f>IF(ISERROR(VLOOKUP($X82,ess_bud,Q$6,FALSE)),0,VLOOKUP($X82,ess_bud,Q$6,FALSE))+IF(ISERROR(VLOOKUP($Z82,ess_bud,Q$6,FALSE)),0,VLOOKUP($Z82,ess_bud,Q$6,FALSE))+IF(ISERROR(VLOOKUP($Y82,ess_bud,Q$6,FALSE)),0,VLOOKUP($Y82,ess_bud,Q$6,FALSE))+IF(ISERROR(VLOOKUP($AA82,ess_bud,Q$6,FALSE)),0,VLOOKUP($AA82,ess_bud,Q$6,FALSE))</f>
        <v>101351</v>
      </c>
      <c r="T82" s="37"/>
      <c r="U82" s="35">
        <f>IF(ISERROR(VLOOKUP($X82,ess_act,U$6,FALSE)),0,VLOOKUP($X82,ess_act,U$6,FALSE))+IF(ISERROR(VLOOKUP($Z82,ess_act,U$6,FALSE)),0,VLOOKUP($Z82,ess_act,U$6,FALSE))+IF(ISERROR(VLOOKUP($Y82,ess_act,U$6,FALSE)),0,VLOOKUP($Y82,ess_act,U$6,FALSE))+IF(ISERROR(VLOOKUP($AA82,ess_act,U$6,FALSE)),0,VLOOKUP($AA82,ess_act,U$6,FALSE))</f>
        <v>0</v>
      </c>
      <c r="X82" s="8" t="str">
        <f>A82&amp;$X$6</f>
        <v>49101CS</v>
      </c>
      <c r="Y82" s="8"/>
      <c r="Z82" s="8"/>
      <c r="AA82" s="2"/>
      <c r="AB82" s="2"/>
      <c r="AC82" s="8"/>
      <c r="AD82" s="8"/>
    </row>
    <row r="83" ht="12.75" customHeight="1">
      <c r="A83" s="8"/>
      <c r="B83" s="8"/>
      <c r="C83" s="35"/>
      <c r="D83" s="2"/>
      <c r="E83" s="29"/>
      <c r="F83" s="35"/>
      <c r="G83" s="2"/>
      <c r="H83" s="2"/>
      <c r="I83" s="37"/>
      <c r="J83" s="35"/>
      <c r="K83" s="2"/>
      <c r="L83" s="2"/>
      <c r="M83" s="2"/>
      <c r="N83" s="35"/>
      <c r="P83" s="29"/>
      <c r="Q83" s="35"/>
      <c r="T83" s="37"/>
      <c r="U83" s="35"/>
      <c r="X83" s="8"/>
      <c r="Y83" s="8"/>
      <c r="Z83" s="8"/>
      <c r="AA83" s="2"/>
      <c r="AB83" s="2"/>
      <c r="AC83" s="8"/>
      <c r="AD83" s="8"/>
    </row>
    <row r="84" ht="12.75" customHeight="1">
      <c r="A84" s="8"/>
      <c r="B84" s="8"/>
      <c r="C84" s="126"/>
      <c r="D84" s="2"/>
      <c r="E84" s="29"/>
      <c r="F84" s="126"/>
      <c r="G84" s="2"/>
      <c r="H84" s="2"/>
      <c r="I84" s="37"/>
      <c r="J84" s="126"/>
      <c r="K84" s="2"/>
      <c r="L84" s="2"/>
      <c r="M84" s="2"/>
      <c r="N84" s="126"/>
      <c r="P84" s="29"/>
      <c r="Q84" s="126"/>
      <c r="T84" s="37"/>
      <c r="U84" s="126"/>
      <c r="X84" s="8"/>
      <c r="Y84" s="8"/>
      <c r="Z84" s="8"/>
      <c r="AA84" s="2"/>
      <c r="AB84" s="2"/>
      <c r="AC84" s="8"/>
      <c r="AD84" s="8"/>
    </row>
    <row r="85" ht="12.75" customHeight="1">
      <c r="A85" s="8">
        <v>49100.0</v>
      </c>
      <c r="B85" s="8" t="s">
        <v>175</v>
      </c>
      <c r="C85" s="35">
        <f t="shared" ref="C85:C89" si="32">IF(ISERROR(VLOOKUP($X85,ess_act,C$6,FALSE)),0,VLOOKUP($X85,ess_act,C$6,FALSE))+IF(ISERROR(VLOOKUP($Z85,ess_act,C$6,FALSE)),0,VLOOKUP($Z85,ess_act,C$6,FALSE))+IF(ISERROR(VLOOKUP($Y85,ess_act,C$6,FALSE)),0,VLOOKUP($Y85,ess_act,C$6,FALSE))+IF(ISERROR(VLOOKUP($AA85,ess_act,C$6,FALSE)),0,VLOOKUP($AA85,ess_act,C$6,FALSE))</f>
        <v>0</v>
      </c>
      <c r="D85" s="2"/>
      <c r="E85" s="29"/>
      <c r="F85" s="35">
        <f>IF(ISERROR(VLOOKUP($X85,ess_bud,F$6,FALSE)),0,VLOOKUP($X85,ess_bud,F$6,FALSE))+IF(ISERROR(VLOOKUP($Z85,ess_bud,F$6,FALSE)),0,VLOOKUP($Z85,ess_bud,F$6,FALSE))+IF(ISERROR(VLOOKUP($Y85,ess_bud,F$6,FALSE)),0,VLOOKUP($Y85,ess_bud,F$6,FALSE))+IF(ISERROR(VLOOKUP($AA85,ess_bud,F$6,FALSE)),0,VLOOKUP($AA85,ess_bud,F$6,FALSE))</f>
        <v>0</v>
      </c>
      <c r="G85" s="2"/>
      <c r="H85" s="2"/>
      <c r="I85" s="37"/>
      <c r="J85" s="35">
        <f t="shared" ref="J85:J89" si="33">IF(ISERROR(VLOOKUP($X85,ess_act,J$6,FALSE)),0,VLOOKUP($X85,ess_act,J$6,FALSE))+IF(ISERROR(VLOOKUP($Z85,ess_act,J$6,FALSE)),0,VLOOKUP($Z85,ess_act,J$6,FALSE))+IF(ISERROR(VLOOKUP($Y85,ess_act,J$6,FALSE)),0,VLOOKUP($Y85,ess_act,J$6,FALSE))+IF(ISERROR(VLOOKUP($AA85,ess_act,J$6,FALSE)),0,VLOOKUP($AA85,ess_act,J$6,FALSE))</f>
        <v>0</v>
      </c>
      <c r="K85" s="2"/>
      <c r="L85" s="2"/>
      <c r="M85" s="2"/>
      <c r="N85" s="35">
        <f t="shared" ref="N85:N89" si="34">IF(ISERROR(VLOOKUP($X85,ess_act,N$6,FALSE)),0,VLOOKUP($X85,ess_act,N$6,FALSE))+IF(ISERROR(VLOOKUP($Z85,ess_act,N$6,FALSE)),0,VLOOKUP($Z85,ess_act,N$6,FALSE))+IF(ISERROR(VLOOKUP($Y85,ess_act,N$6,FALSE)),0,VLOOKUP($Y85,ess_act,N$6,FALSE))+IF(ISERROR(VLOOKUP($AA85,ess_act,N$6,FALSE)),0,VLOOKUP($AA85,ess_act,N$6,FALSE))</f>
        <v>0</v>
      </c>
      <c r="P85" s="29"/>
      <c r="Q85" s="35">
        <f>IF(ISERROR(VLOOKUP($X85,ess_bud,Q$6,FALSE)),0,VLOOKUP($X85,ess_bud,Q$6,FALSE))+IF(ISERROR(VLOOKUP($Z85,ess_bud,Q$6,FALSE)),0,VLOOKUP($Z85,ess_bud,Q$6,FALSE))+IF(ISERROR(VLOOKUP($Y85,ess_bud,Q$6,FALSE)),0,VLOOKUP($Y85,ess_bud,Q$6,FALSE))+IF(ISERROR(VLOOKUP($AA85,ess_bud,Q$6,FALSE)),0,VLOOKUP($AA85,ess_bud,Q$6,FALSE))</f>
        <v>142750</v>
      </c>
      <c r="T85" s="37"/>
      <c r="U85" s="35">
        <f t="shared" ref="U85:U89" si="35">IF(ISERROR(VLOOKUP($X85,ess_act,U$6,FALSE)),0,VLOOKUP($X85,ess_act,U$6,FALSE))+IF(ISERROR(VLOOKUP($Z85,ess_act,U$6,FALSE)),0,VLOOKUP($Z85,ess_act,U$6,FALSE))+IF(ISERROR(VLOOKUP($Y85,ess_act,U$6,FALSE)),0,VLOOKUP($Y85,ess_act,U$6,FALSE))+IF(ISERROR(VLOOKUP($AA85,ess_act,U$6,FALSE)),0,VLOOKUP($AA85,ess_act,U$6,FALSE))</f>
        <v>0</v>
      </c>
      <c r="X85" s="8" t="str">
        <f t="shared" ref="X85:X86" si="36">A85&amp;$X$6</f>
        <v>49100CS</v>
      </c>
      <c r="Y85" s="8"/>
      <c r="Z85" s="71" t="s">
        <v>178</v>
      </c>
      <c r="AA85" s="73" t="s">
        <v>179</v>
      </c>
      <c r="AB85" s="2"/>
      <c r="AC85" s="8"/>
      <c r="AD85" s="8"/>
    </row>
    <row r="86" ht="12.75" customHeight="1">
      <c r="A86" s="8">
        <v>48101.0</v>
      </c>
      <c r="B86" s="8" t="s">
        <v>34</v>
      </c>
      <c r="C86" s="35">
        <f t="shared" si="32"/>
        <v>0</v>
      </c>
      <c r="D86" s="2"/>
      <c r="E86" s="29"/>
      <c r="F86" s="35">
        <f>IF(ISERROR(VLOOKUP($X86,ess_bud,F$6,FALSE)),0,VLOOKUP($X86,ess_bud,F$6,FALSE))+IF(ISERROR(VLOOKUP($Z86,ess_bud,F$6,FALSE)),0,VLOOKUP($Z86,ess_bud,F$6,FALSE))+IF(ISERROR(VLOOKUP($Y86,ess_bud,F$6,FALSE)),0,VLOOKUP($Y86,ess_bud,F$6,FALSE))+IF(ISERROR(VLOOKUP($AA86,ess_bud,F$6,FALSE)),0,VLOOKUP($AA86,ess_bud,F$6,FALSE))</f>
        <v>0</v>
      </c>
      <c r="G86" s="2"/>
      <c r="H86" s="2"/>
      <c r="I86" s="37"/>
      <c r="J86" s="35">
        <f t="shared" si="33"/>
        <v>0</v>
      </c>
      <c r="K86" s="2"/>
      <c r="L86" s="2"/>
      <c r="M86" s="2"/>
      <c r="N86" s="35">
        <f t="shared" si="34"/>
        <v>0</v>
      </c>
      <c r="P86" s="29"/>
      <c r="Q86" s="35">
        <f>IF(ISERROR(VLOOKUP($X86,ess_bud,Q$6,FALSE)),0,VLOOKUP($X86,ess_bud,Q$6,FALSE))+IF(ISERROR(VLOOKUP($Z86,ess_bud,Q$6,FALSE)),0,VLOOKUP($Z86,ess_bud,Q$6,FALSE))+IF(ISERROR(VLOOKUP($Y86,ess_bud,Q$6,FALSE)),0,VLOOKUP($Y86,ess_bud,Q$6,FALSE))+IF(ISERROR(VLOOKUP($AA86,ess_bud,Q$6,FALSE)),0,VLOOKUP($AA86,ess_bud,Q$6,FALSE))</f>
        <v>96369.25</v>
      </c>
      <c r="T86" s="37"/>
      <c r="U86" s="35">
        <f t="shared" si="35"/>
        <v>0</v>
      </c>
      <c r="X86" s="8" t="str">
        <f t="shared" si="36"/>
        <v>48101CS</v>
      </c>
      <c r="Y86" s="8"/>
      <c r="Z86" s="8" t="str">
        <f>48100&amp;$X$6</f>
        <v>48100CS</v>
      </c>
      <c r="AA86" s="8" t="str">
        <f>48102&amp;$X$6</f>
        <v>48102CS</v>
      </c>
      <c r="AB86" s="2"/>
      <c r="AC86" s="8"/>
      <c r="AD86" s="8"/>
    </row>
    <row r="87" ht="12.75" customHeight="1">
      <c r="A87" s="8"/>
      <c r="B87" s="8" t="s">
        <v>180</v>
      </c>
      <c r="C87" s="35">
        <f t="shared" si="32"/>
        <v>0</v>
      </c>
      <c r="D87" s="2"/>
      <c r="E87" s="29"/>
      <c r="F87" s="35">
        <f>IF(ISERROR(VLOOKUP($X87,ess_bud,F$6,FALSE)),0,VLOOKUP($X87,ess_bud,F$6,FALSE))+IF(ISERROR(VLOOKUP($Z87,ess_bud,F$6,FALSE)),0,VLOOKUP($Z87,ess_bud,F$6,FALSE))+IF(ISERROR(VLOOKUP($Y87,ess_bud,F$6,FALSE)),0,VLOOKUP($Y87,ess_bud,F$6,FALSE))+IF(ISERROR(VLOOKUP($AA87,ess_bud,F$6,FALSE)),0,VLOOKUP($AA87,ess_bud,F$6,FALSE))</f>
        <v>0</v>
      </c>
      <c r="G87" s="2"/>
      <c r="H87" s="2"/>
      <c r="I87" s="37"/>
      <c r="J87" s="35">
        <f t="shared" si="33"/>
        <v>0</v>
      </c>
      <c r="K87" s="2"/>
      <c r="L87" s="2"/>
      <c r="M87" s="2"/>
      <c r="N87" s="35">
        <f t="shared" si="34"/>
        <v>0</v>
      </c>
      <c r="P87" s="29"/>
      <c r="Q87" s="35">
        <f>IF(ISERROR(VLOOKUP($X87,ess_bud,Q$6,FALSE)),0,VLOOKUP($X87,ess_bud,Q$6,FALSE))+IF(ISERROR(VLOOKUP($Z87,ess_bud,Q$6,FALSE)),0,VLOOKUP($Z87,ess_bud,Q$6,FALSE))+IF(ISERROR(VLOOKUP($Y87,ess_bud,Q$6,FALSE)),0,VLOOKUP($Y87,ess_bud,Q$6,FALSE))+IF(ISERROR(VLOOKUP($AA87,ess_bud,Q$6,FALSE)),0,VLOOKUP($AA87,ess_bud,Q$6,FALSE))</f>
        <v>0</v>
      </c>
      <c r="T87" s="37"/>
      <c r="U87" s="35">
        <f t="shared" si="35"/>
        <v>0</v>
      </c>
      <c r="X87" s="8"/>
      <c r="Y87" s="8"/>
      <c r="Z87" s="8"/>
      <c r="AA87" s="2"/>
      <c r="AB87" s="2"/>
      <c r="AC87" s="8"/>
      <c r="AD87" s="8"/>
    </row>
    <row r="88" ht="12.75" customHeight="1">
      <c r="A88" s="8">
        <v>48200.0</v>
      </c>
      <c r="B88" s="8" t="s">
        <v>37</v>
      </c>
      <c r="C88" s="35">
        <f t="shared" si="32"/>
        <v>0</v>
      </c>
      <c r="D88" s="2"/>
      <c r="E88" s="29"/>
      <c r="F88" s="35">
        <f>IF(ISERROR(VLOOKUP($X88,ess_bud,F$6,FALSE)),0,VLOOKUP($X88,ess_bud,F$6,FALSE))+IF(ISERROR(VLOOKUP($Z88,ess_bud,F$6,FALSE)),0,VLOOKUP($Z88,ess_bud,F$6,FALSE))+IF(ISERROR(VLOOKUP($Y88,ess_bud,F$6,FALSE)),0,VLOOKUP($Y88,ess_bud,F$6,FALSE))+IF(ISERROR(VLOOKUP($AA88,ess_bud,F$6,FALSE)),0,VLOOKUP($AA88,ess_bud,F$6,FALSE))</f>
        <v>0</v>
      </c>
      <c r="G88" s="2"/>
      <c r="H88" s="2"/>
      <c r="I88" s="37"/>
      <c r="J88" s="35">
        <f t="shared" si="33"/>
        <v>0</v>
      </c>
      <c r="K88" s="2"/>
      <c r="L88" s="2"/>
      <c r="M88" s="2"/>
      <c r="N88" s="35">
        <f t="shared" si="34"/>
        <v>0</v>
      </c>
      <c r="P88" s="29"/>
      <c r="Q88" s="35">
        <f>IF(ISERROR(VLOOKUP($X88,ess_bud,Q$6,FALSE)),0,VLOOKUP($X88,ess_bud,Q$6,FALSE))+IF(ISERROR(VLOOKUP($Z88,ess_bud,Q$6,FALSE)),0,VLOOKUP($Z88,ess_bud,Q$6,FALSE))+IF(ISERROR(VLOOKUP($Y88,ess_bud,Q$6,FALSE)),0,VLOOKUP($Y88,ess_bud,Q$6,FALSE))+IF(ISERROR(VLOOKUP($AA88,ess_bud,Q$6,FALSE)),0,VLOOKUP($AA88,ess_bud,Q$6,FALSE))</f>
        <v>750</v>
      </c>
      <c r="T88" s="37"/>
      <c r="U88" s="35">
        <f t="shared" si="35"/>
        <v>0</v>
      </c>
      <c r="X88" s="8" t="str">
        <f t="shared" ref="X88:X89" si="37">A88&amp;$X$6</f>
        <v>48200CS</v>
      </c>
      <c r="Y88" s="8" t="s">
        <v>181</v>
      </c>
      <c r="Z88" s="8"/>
      <c r="AA88" s="2"/>
      <c r="AB88" s="2"/>
      <c r="AC88" s="8"/>
      <c r="AD88" s="8"/>
    </row>
    <row r="89" ht="12.75" customHeight="1">
      <c r="A89" s="8">
        <v>35100.0</v>
      </c>
      <c r="B89" s="8" t="s">
        <v>182</v>
      </c>
      <c r="C89" s="35">
        <f t="shared" si="32"/>
        <v>0</v>
      </c>
      <c r="D89" s="2"/>
      <c r="E89" s="29"/>
      <c r="F89" s="35">
        <f>IF(ISERROR(VLOOKUP($X89,ess_bud,F$6,FALSE)),0,VLOOKUP($X89,ess_bud,F$6,FALSE))+IF(ISERROR(VLOOKUP($Z89,ess_bud,F$6,FALSE)),0,VLOOKUP($Z89,ess_bud,F$6,FALSE))+IF(ISERROR(VLOOKUP($Y89,ess_bud,F$6,FALSE)),0,VLOOKUP($Y89,ess_bud,F$6,FALSE))+IF(ISERROR(VLOOKUP($AA89,ess_bud,F$6,FALSE)),0,VLOOKUP($AA89,ess_bud,F$6,FALSE))</f>
        <v>0</v>
      </c>
      <c r="G89" s="2"/>
      <c r="H89" s="2"/>
      <c r="I89" s="37"/>
      <c r="J89" s="35">
        <f t="shared" si="33"/>
        <v>0</v>
      </c>
      <c r="K89" s="2"/>
      <c r="L89" s="2"/>
      <c r="M89" s="2"/>
      <c r="N89" s="35">
        <f t="shared" si="34"/>
        <v>0</v>
      </c>
      <c r="P89" s="29"/>
      <c r="Q89" s="35">
        <f>IF(ISERROR(VLOOKUP($X89,ess_bud,Q$6,FALSE)),0,VLOOKUP($X89,ess_bud,Q$6,FALSE))+IF(ISERROR(VLOOKUP($Z89,ess_bud,Q$6,FALSE)),0,VLOOKUP($Z89,ess_bud,Q$6,FALSE))+IF(ISERROR(VLOOKUP($Y89,ess_bud,Q$6,FALSE)),0,VLOOKUP($Y89,ess_bud,Q$6,FALSE))+IF(ISERROR(VLOOKUP($AA89,ess_bud,Q$6,FALSE)),0,VLOOKUP($AA89,ess_bud,Q$6,FALSE))</f>
        <v>0</v>
      </c>
      <c r="T89" s="37"/>
      <c r="U89" s="35">
        <f t="shared" si="35"/>
        <v>0</v>
      </c>
      <c r="X89" s="8" t="str">
        <f t="shared" si="37"/>
        <v>35100CS</v>
      </c>
      <c r="Y89" s="8"/>
      <c r="Z89" s="8"/>
      <c r="AA89" s="2"/>
      <c r="AB89" s="2"/>
      <c r="AC89" s="8"/>
      <c r="AD89" s="8"/>
    </row>
    <row r="90" ht="12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Y90" s="8"/>
      <c r="AC90" s="8"/>
      <c r="AD90" s="8"/>
    </row>
    <row r="91" ht="12.75" customHeight="1">
      <c r="A91" s="8"/>
      <c r="B91" s="8"/>
      <c r="C91" s="8"/>
      <c r="D91" s="2"/>
      <c r="E91" s="29"/>
      <c r="F91" s="27"/>
      <c r="G91" s="2"/>
      <c r="H91" s="2"/>
      <c r="I91" s="28"/>
      <c r="J91" s="27"/>
      <c r="K91" s="2"/>
      <c r="L91" s="2"/>
      <c r="M91" s="2"/>
      <c r="N91" s="8"/>
      <c r="P91" s="29"/>
      <c r="Q91" s="8"/>
      <c r="T91" s="28"/>
      <c r="U91" s="8"/>
      <c r="X91" s="8"/>
      <c r="Y91" s="8"/>
      <c r="Z91" s="8"/>
      <c r="AA91" s="2"/>
      <c r="AB91" s="2"/>
      <c r="AC91" s="8"/>
      <c r="AD91" s="8"/>
    </row>
    <row r="92" ht="12.75" customHeight="1">
      <c r="A92" s="8"/>
      <c r="B92" s="24" t="s">
        <v>44</v>
      </c>
      <c r="C92" s="8"/>
      <c r="D92" s="2"/>
      <c r="E92" s="28"/>
      <c r="F92" s="8"/>
      <c r="G92" s="2"/>
      <c r="H92" s="2"/>
      <c r="I92" s="28"/>
      <c r="J92" s="8"/>
      <c r="K92" s="2"/>
      <c r="L92" s="2"/>
      <c r="M92" s="2"/>
      <c r="N92" s="8"/>
      <c r="P92" s="28"/>
      <c r="Q92" s="8"/>
      <c r="T92" s="28"/>
      <c r="U92" s="8"/>
      <c r="X92" s="8"/>
      <c r="Y92" s="8"/>
      <c r="Z92" s="8"/>
      <c r="AA92" s="2"/>
      <c r="AB92" s="2"/>
      <c r="AC92" s="8"/>
      <c r="AD92" s="8"/>
    </row>
    <row r="93" ht="12.75" customHeight="1">
      <c r="A93" s="8">
        <v>61100.0</v>
      </c>
      <c r="B93" s="8" t="s">
        <v>45</v>
      </c>
      <c r="C93" s="35">
        <f t="shared" ref="C93:C96" si="38">IF(ISERROR(VLOOKUP($X93,ess_act,C$6,FALSE)),0,VLOOKUP($X93,ess_act,C$6,FALSE))+IF(ISERROR(VLOOKUP($Z93,ess_act,C$6,FALSE)),0,VLOOKUP($Z93,ess_act,C$6,FALSE))+IF(ISERROR(VLOOKUP($Y93,ess_act,C$6,FALSE)),0,VLOOKUP($Y93,ess_act,C$6,FALSE))+IF(ISERROR(VLOOKUP($AA93,ess_act,C$6,FALSE)),0,VLOOKUP($AA93,ess_act,C$6,FALSE))</f>
        <v>0</v>
      </c>
      <c r="D93" s="2"/>
      <c r="E93" s="29"/>
      <c r="F93" s="35">
        <f>IF(ISERROR(VLOOKUP($X93,ess_bud,F$6,FALSE)),0,VLOOKUP($X93,ess_bud,F$6,FALSE))+IF(ISERROR(VLOOKUP($Z93,ess_bud,F$6,FALSE)),0,VLOOKUP($Z93,ess_bud,F$6,FALSE))+IF(ISERROR(VLOOKUP($Y93,ess_bud,F$6,FALSE)),0,VLOOKUP($Y93,ess_bud,F$6,FALSE))+IF(ISERROR(VLOOKUP($AA93,ess_bud,F$6,FALSE)),0,VLOOKUP($AA93,ess_bud,F$6,FALSE))</f>
        <v>0</v>
      </c>
      <c r="G93" s="2"/>
      <c r="H93" s="2"/>
      <c r="I93" s="37"/>
      <c r="J93" s="35">
        <f t="shared" ref="J93:J96" si="39">IF(ISERROR(VLOOKUP($X93,ess_act,J$6,FALSE)),0,VLOOKUP($X93,ess_act,J$6,FALSE))+IF(ISERROR(VLOOKUP($Z93,ess_act,J$6,FALSE)),0,VLOOKUP($Z93,ess_act,J$6,FALSE))+IF(ISERROR(VLOOKUP($Y93,ess_act,J$6,FALSE)),0,VLOOKUP($Y93,ess_act,J$6,FALSE))+IF(ISERROR(VLOOKUP($AA93,ess_act,J$6,FALSE)),0,VLOOKUP($AA93,ess_act,J$6,FALSE))</f>
        <v>0</v>
      </c>
      <c r="K93" s="2"/>
      <c r="L93" s="2"/>
      <c r="M93" s="2"/>
      <c r="N93" s="35">
        <f t="shared" ref="N93:N96" si="40">IF(ISERROR(VLOOKUP($X93,ess_act,N$6,FALSE)),0,VLOOKUP($X93,ess_act,N$6,FALSE))+IF(ISERROR(VLOOKUP($Z93,ess_act,N$6,FALSE)),0,VLOOKUP($Z93,ess_act,N$6,FALSE))+IF(ISERROR(VLOOKUP($Y93,ess_act,N$6,FALSE)),0,VLOOKUP($Y93,ess_act,N$6,FALSE))+IF(ISERROR(VLOOKUP($AA93,ess_act,N$6,FALSE)),0,VLOOKUP($AA93,ess_act,N$6,FALSE))</f>
        <v>0</v>
      </c>
      <c r="P93" s="29"/>
      <c r="Q93" s="35">
        <f>IF(ISERROR(VLOOKUP($X93,ess_bud,Q$6,FALSE)),0,VLOOKUP($X93,ess_bud,Q$6,FALSE))+IF(ISERROR(VLOOKUP($Z93,ess_bud,Q$6,FALSE)),0,VLOOKUP($Z93,ess_bud,Q$6,FALSE))+IF(ISERROR(VLOOKUP($Y93,ess_bud,Q$6,FALSE)),0,VLOOKUP($Y93,ess_bud,Q$6,FALSE))+IF(ISERROR(VLOOKUP($AA93,ess_bud,Q$6,FALSE)),0,VLOOKUP($AA93,ess_bud,Q$6,FALSE))</f>
        <v>0</v>
      </c>
      <c r="T93" s="37"/>
      <c r="U93" s="35">
        <f t="shared" ref="U93:U96" si="41">IF(ISERROR(VLOOKUP($X93,ess_act,U$6,FALSE)),0,VLOOKUP($X93,ess_act,U$6,FALSE))+IF(ISERROR(VLOOKUP($Z93,ess_act,U$6,FALSE)),0,VLOOKUP($Z93,ess_act,U$6,FALSE))+IF(ISERROR(VLOOKUP($Y93,ess_act,U$6,FALSE)),0,VLOOKUP($Y93,ess_act,U$6,FALSE))+IF(ISERROR(VLOOKUP($AA93,ess_act,U$6,FALSE)),0,VLOOKUP($AA93,ess_act,U$6,FALSE))</f>
        <v>0</v>
      </c>
      <c r="X93" s="8" t="str">
        <f t="shared" ref="X93:X96" si="42">A93&amp;$X$6</f>
        <v>61100CS</v>
      </c>
      <c r="Y93" s="8"/>
      <c r="Z93" s="8"/>
      <c r="AA93" s="2"/>
      <c r="AB93" s="2"/>
      <c r="AC93" s="8"/>
      <c r="AD93" s="8"/>
    </row>
    <row r="94" ht="12.75" customHeight="1">
      <c r="A94" s="8">
        <v>61101.0</v>
      </c>
      <c r="B94" s="8" t="s">
        <v>39</v>
      </c>
      <c r="C94" s="35">
        <f t="shared" si="38"/>
        <v>0</v>
      </c>
      <c r="D94" s="2"/>
      <c r="E94" s="29"/>
      <c r="F94" s="35">
        <f>IF(ISERROR(VLOOKUP($X94,ess_bud,F$6,FALSE)),0,VLOOKUP($X94,ess_bud,F$6,FALSE))+IF(ISERROR(VLOOKUP($Z94,ess_bud,F$6,FALSE)),0,VLOOKUP($Z94,ess_bud,F$6,FALSE))+IF(ISERROR(VLOOKUP($Y94,ess_bud,F$6,FALSE)),0,VLOOKUP($Y94,ess_bud,F$6,FALSE))+IF(ISERROR(VLOOKUP($AA94,ess_bud,F$6,FALSE)),0,VLOOKUP($AA94,ess_bud,F$6,FALSE))</f>
        <v>0</v>
      </c>
      <c r="G94" s="2"/>
      <c r="H94" s="2"/>
      <c r="I94" s="37"/>
      <c r="J94" s="35">
        <f t="shared" si="39"/>
        <v>0</v>
      </c>
      <c r="K94" s="2"/>
      <c r="L94" s="2"/>
      <c r="M94" s="2"/>
      <c r="N94" s="35">
        <f t="shared" si="40"/>
        <v>0</v>
      </c>
      <c r="P94" s="29"/>
      <c r="Q94" s="35">
        <f>IF(ISERROR(VLOOKUP($X94,ess_bud,Q$6,FALSE)),0,VLOOKUP($X94,ess_bud,Q$6,FALSE))+IF(ISERROR(VLOOKUP($Z94,ess_bud,Q$6,FALSE)),0,VLOOKUP($Z94,ess_bud,Q$6,FALSE))+IF(ISERROR(VLOOKUP($Y94,ess_bud,Q$6,FALSE)),0,VLOOKUP($Y94,ess_bud,Q$6,FALSE))+IF(ISERROR(VLOOKUP($AA94,ess_bud,Q$6,FALSE)),0,VLOOKUP($AA94,ess_bud,Q$6,FALSE))</f>
        <v>0</v>
      </c>
      <c r="T94" s="37"/>
      <c r="U94" s="35">
        <f t="shared" si="41"/>
        <v>0</v>
      </c>
      <c r="X94" s="8" t="str">
        <f t="shared" si="42"/>
        <v>61101CS</v>
      </c>
      <c r="Y94" s="8"/>
      <c r="Z94" s="8"/>
      <c r="AA94" s="2"/>
      <c r="AB94" s="2"/>
      <c r="AC94" s="8"/>
      <c r="AD94" s="8"/>
    </row>
    <row r="95" ht="12.75" customHeight="1">
      <c r="A95" s="8">
        <v>51100.0</v>
      </c>
      <c r="B95" s="8" t="s">
        <v>47</v>
      </c>
      <c r="C95" s="35">
        <f t="shared" si="38"/>
        <v>0</v>
      </c>
      <c r="D95" s="2"/>
      <c r="E95" s="29"/>
      <c r="F95" s="35">
        <f>IF(ISERROR(VLOOKUP($X95,ess_bud,F$6,FALSE)),0,VLOOKUP($X95,ess_bud,F$6,FALSE))+IF(ISERROR(VLOOKUP($Z95,ess_bud,F$6,FALSE)),0,VLOOKUP($Z95,ess_bud,F$6,FALSE))+IF(ISERROR(VLOOKUP($Y95,ess_bud,F$6,FALSE)),0,VLOOKUP($Y95,ess_bud,F$6,FALSE))+IF(ISERROR(VLOOKUP($AA95,ess_bud,F$6,FALSE)),0,VLOOKUP($AA95,ess_bud,F$6,FALSE))</f>
        <v>0</v>
      </c>
      <c r="G95" s="2"/>
      <c r="H95" s="2"/>
      <c r="I95" s="37"/>
      <c r="J95" s="35">
        <f t="shared" si="39"/>
        <v>0</v>
      </c>
      <c r="K95" s="2"/>
      <c r="L95" s="2"/>
      <c r="M95" s="2"/>
      <c r="N95" s="35">
        <f t="shared" si="40"/>
        <v>0</v>
      </c>
      <c r="P95" s="29"/>
      <c r="Q95" s="35">
        <f>IF(ISERROR(VLOOKUP($X95,ess_bud,Q$6,FALSE)),0,VLOOKUP($X95,ess_bud,Q$6,FALSE))+IF(ISERROR(VLOOKUP($Z95,ess_bud,Q$6,FALSE)),0,VLOOKUP($Z95,ess_bud,Q$6,FALSE))+IF(ISERROR(VLOOKUP($Y95,ess_bud,Q$6,FALSE)),0,VLOOKUP($Y95,ess_bud,Q$6,FALSE))+IF(ISERROR(VLOOKUP($AA95,ess_bud,Q$6,FALSE)),0,VLOOKUP($AA95,ess_bud,Q$6,FALSE))</f>
        <v>0</v>
      </c>
      <c r="T95" s="37"/>
      <c r="U95" s="35">
        <f t="shared" si="41"/>
        <v>0</v>
      </c>
      <c r="X95" s="8" t="str">
        <f t="shared" si="42"/>
        <v>51100CS</v>
      </c>
      <c r="Y95" s="8" t="str">
        <f>55000&amp;$X$6</f>
        <v>55000CS</v>
      </c>
      <c r="Z95" s="8"/>
      <c r="AA95" s="2"/>
      <c r="AB95" s="2"/>
      <c r="AC95" s="8"/>
      <c r="AD95" s="8"/>
    </row>
    <row r="96" ht="12.75" customHeight="1">
      <c r="A96" s="8">
        <v>61200.0</v>
      </c>
      <c r="B96" s="8" t="s">
        <v>183</v>
      </c>
      <c r="C96" s="35">
        <f t="shared" si="38"/>
        <v>0</v>
      </c>
      <c r="D96" s="2"/>
      <c r="E96" s="29"/>
      <c r="F96" s="35">
        <f>IF(ISERROR(VLOOKUP($X96,ess_bud,F$6,FALSE)),0,VLOOKUP($X96,ess_bud,F$6,FALSE))+IF(ISERROR(VLOOKUP($Z96,ess_bud,F$6,FALSE)),0,VLOOKUP($Z96,ess_bud,F$6,FALSE))+IF(ISERROR(VLOOKUP($Y96,ess_bud,F$6,FALSE)),0,VLOOKUP($Y96,ess_bud,F$6,FALSE))+IF(ISERROR(VLOOKUP($AA96,ess_bud,F$6,FALSE)),0,VLOOKUP($AA96,ess_bud,F$6,FALSE))</f>
        <v>0</v>
      </c>
      <c r="G96" s="2"/>
      <c r="H96" s="2"/>
      <c r="I96" s="37"/>
      <c r="J96" s="35">
        <f t="shared" si="39"/>
        <v>0</v>
      </c>
      <c r="K96" s="2"/>
      <c r="L96" s="2"/>
      <c r="M96" s="2"/>
      <c r="N96" s="35">
        <f t="shared" si="40"/>
        <v>0</v>
      </c>
      <c r="P96" s="29"/>
      <c r="Q96" s="35">
        <f>IF(ISERROR(VLOOKUP($X96,ess_bud,Q$6,FALSE)),0,VLOOKUP($X96,ess_bud,Q$6,FALSE))+IF(ISERROR(VLOOKUP($Z96,ess_bud,Q$6,FALSE)),0,VLOOKUP($Z96,ess_bud,Q$6,FALSE))+IF(ISERROR(VLOOKUP($Y96,ess_bud,Q$6,FALSE)),0,VLOOKUP($Y96,ess_bud,Q$6,FALSE))+IF(ISERROR(VLOOKUP($AA96,ess_bud,Q$6,FALSE)),0,VLOOKUP($AA96,ess_bud,Q$6,FALSE))</f>
        <v>0</v>
      </c>
      <c r="T96" s="37"/>
      <c r="U96" s="35">
        <f t="shared" si="41"/>
        <v>0</v>
      </c>
      <c r="X96" s="8" t="str">
        <f t="shared" si="42"/>
        <v>61200CS</v>
      </c>
      <c r="Y96" s="8" t="str">
        <f>61201&amp;$X$6</f>
        <v>61201CS</v>
      </c>
      <c r="Z96" s="8" t="str">
        <f>51200&amp;$X$6</f>
        <v>51200CS</v>
      </c>
      <c r="AA96" s="8"/>
      <c r="AB96" s="2"/>
      <c r="AC96" s="8"/>
      <c r="AD96" s="8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  <c r="AC97" s="8"/>
      <c r="AD97" s="8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2"/>
      <c r="AA98" s="2"/>
      <c r="AB98" s="2"/>
      <c r="AC98" s="8"/>
      <c r="AD98" s="8"/>
    </row>
    <row r="99" ht="12.75" customHeight="1">
      <c r="A99" s="8">
        <v>31100.0</v>
      </c>
      <c r="B99" s="8" t="s">
        <v>185</v>
      </c>
      <c r="C99" s="35">
        <f t="shared" ref="C99:C103" si="43">IF(ISERROR(VLOOKUP($X99,ess_act,C$6,FALSE)),0,VLOOKUP($X99,ess_act,C$6,FALSE))+IF(ISERROR(VLOOKUP($Z99,ess_act,C$6,FALSE)),0,VLOOKUP($Z99,ess_act,C$6,FALSE))+IF(ISERROR(VLOOKUP($Y99,ess_act,C$6,FALSE)),0,VLOOKUP($Y99,ess_act,C$6,FALSE))+IF(ISERROR(VLOOKUP($AA99,ess_act,C$6,FALSE)),0,VLOOKUP($AA99,ess_act,C$6,FALSE))</f>
        <v>0</v>
      </c>
      <c r="D99" s="2"/>
      <c r="E99" s="29"/>
      <c r="F99" s="35">
        <f>IF(ISERROR(VLOOKUP($X99,ess_bud,F$6,FALSE)),0,VLOOKUP($X99,ess_bud,F$6,FALSE))+IF(ISERROR(VLOOKUP($Z99,ess_bud,F$6,FALSE)),0,VLOOKUP($Z99,ess_bud,F$6,FALSE))+IF(ISERROR(VLOOKUP($Y99,ess_bud,F$6,FALSE)),0,VLOOKUP($Y99,ess_bud,F$6,FALSE))+IF(ISERROR(VLOOKUP($AA99,ess_bud,F$6,FALSE)),0,VLOOKUP($AA99,ess_bud,F$6,FALSE))</f>
        <v>0</v>
      </c>
      <c r="G99" s="2"/>
      <c r="H99" s="2"/>
      <c r="I99" s="37"/>
      <c r="J99" s="35">
        <f t="shared" ref="J99:J103" si="44">IF(ISERROR(VLOOKUP($X99,ess_act,J$6,FALSE)),0,VLOOKUP($X99,ess_act,J$6,FALSE))+IF(ISERROR(VLOOKUP($Z99,ess_act,J$6,FALSE)),0,VLOOKUP($Z99,ess_act,J$6,FALSE))+IF(ISERROR(VLOOKUP($Y99,ess_act,J$6,FALSE)),0,VLOOKUP($Y99,ess_act,J$6,FALSE))+IF(ISERROR(VLOOKUP($AA99,ess_act,J$6,FALSE)),0,VLOOKUP($AA99,ess_act,J$6,FALSE))</f>
        <v>0</v>
      </c>
      <c r="K99" s="2"/>
      <c r="L99" s="2"/>
      <c r="M99" s="2"/>
      <c r="N99" s="35">
        <f t="shared" ref="N99:N103" si="45">IF(ISERROR(VLOOKUP($X99,ess_act,N$6,FALSE)),0,VLOOKUP($X99,ess_act,N$6,FALSE))+IF(ISERROR(VLOOKUP($Z99,ess_act,N$6,FALSE)),0,VLOOKUP($Z99,ess_act,N$6,FALSE))+IF(ISERROR(VLOOKUP($Y99,ess_act,N$6,FALSE)),0,VLOOKUP($Y99,ess_act,N$6,FALSE))+IF(ISERROR(VLOOKUP($AA99,ess_act,N$6,FALSE)),0,VLOOKUP($AA99,ess_act,N$6,FALSE))</f>
        <v>0</v>
      </c>
      <c r="P99" s="29"/>
      <c r="Q99" s="35">
        <f>IF(ISERROR(VLOOKUP($X99,ess_bud,Q$6,FALSE)),0,VLOOKUP($X99,ess_bud,Q$6,FALSE))+IF(ISERROR(VLOOKUP($Z99,ess_bud,Q$6,FALSE)),0,VLOOKUP($Z99,ess_bud,Q$6,FALSE))+IF(ISERROR(VLOOKUP($Y99,ess_bud,Q$6,FALSE)),0,VLOOKUP($Y99,ess_bud,Q$6,FALSE))+IF(ISERROR(VLOOKUP($AA99,ess_bud,Q$6,FALSE)),0,VLOOKUP($AA99,ess_bud,Q$6,FALSE))</f>
        <v>-207370.163</v>
      </c>
      <c r="T99" s="37"/>
      <c r="U99" s="35">
        <f t="shared" ref="U99:U103" si="46">IF(ISERROR(VLOOKUP($X99,ess_act,U$6,FALSE)),0,VLOOKUP($X99,ess_act,U$6,FALSE))+IF(ISERROR(VLOOKUP($Z99,ess_act,U$6,FALSE)),0,VLOOKUP($Z99,ess_act,U$6,FALSE))+IF(ISERROR(VLOOKUP($Y99,ess_act,U$6,FALSE)),0,VLOOKUP($Y99,ess_act,U$6,FALSE))+IF(ISERROR(VLOOKUP($AA99,ess_act,U$6,FALSE)),0,VLOOKUP($AA99,ess_act,U$6,FALSE))</f>
        <v>0</v>
      </c>
      <c r="V99" s="2"/>
      <c r="W99" s="2"/>
      <c r="X99" s="8" t="str">
        <f t="shared" ref="X99:X101" si="47">A99&amp;$X$6&amp;$Y$6</f>
        <v>31100CSO</v>
      </c>
      <c r="Y99" s="8" t="str">
        <f>31200&amp;$X$6&amp;$Y$6</f>
        <v>31200CSO</v>
      </c>
      <c r="Z99" s="8"/>
      <c r="AA99" s="8"/>
      <c r="AB99" s="8"/>
      <c r="AC99" s="8"/>
      <c r="AD99" s="8"/>
    </row>
    <row r="100" ht="12.75" customHeight="1">
      <c r="A100" s="2">
        <v>33102.0</v>
      </c>
      <c r="B100" s="152" t="s">
        <v>186</v>
      </c>
      <c r="C100" s="35">
        <f t="shared" si="43"/>
        <v>0</v>
      </c>
      <c r="D100" s="2"/>
      <c r="E100" s="29"/>
      <c r="F100" s="35">
        <f>IF(ISERROR(VLOOKUP($X100,ess_bud,F$6,FALSE)),0,VLOOKUP($X100,ess_bud,F$6,FALSE))+IF(ISERROR(VLOOKUP($Z100,ess_bud,F$6,FALSE)),0,VLOOKUP($Z100,ess_bud,F$6,FALSE))+IF(ISERROR(VLOOKUP($Y100,ess_bud,F$6,FALSE)),0,VLOOKUP($Y100,ess_bud,F$6,FALSE))+IF(ISERROR(VLOOKUP($AA100,ess_bud,F$6,FALSE)),0,VLOOKUP($AA100,ess_bud,F$6,FALSE))</f>
        <v>0</v>
      </c>
      <c r="G100" s="2"/>
      <c r="H100" s="2"/>
      <c r="I100" s="37"/>
      <c r="J100" s="35">
        <f t="shared" si="44"/>
        <v>0</v>
      </c>
      <c r="K100" s="2"/>
      <c r="L100" s="2"/>
      <c r="M100" s="2"/>
      <c r="N100" s="35">
        <f t="shared" si="45"/>
        <v>0</v>
      </c>
      <c r="P100" s="29"/>
      <c r="Q100" s="35">
        <f>IF(ISERROR(VLOOKUP($X100,ess_bud,Q$6,FALSE)),0,VLOOKUP($X100,ess_bud,Q$6,FALSE))+IF(ISERROR(VLOOKUP($Z100,ess_bud,Q$6,FALSE)),0,VLOOKUP($Z100,ess_bud,Q$6,FALSE))+IF(ISERROR(VLOOKUP($Y100,ess_bud,Q$6,FALSE)),0,VLOOKUP($Y100,ess_bud,Q$6,FALSE))+IF(ISERROR(VLOOKUP($AA100,ess_bud,Q$6,FALSE)),0,VLOOKUP($AA100,ess_bud,Q$6,FALSE))</f>
        <v>0</v>
      </c>
      <c r="T100" s="37"/>
      <c r="U100" s="35">
        <f t="shared" si="46"/>
        <v>0</v>
      </c>
      <c r="V100" s="2"/>
      <c r="W100" s="2"/>
      <c r="X100" s="8" t="str">
        <f t="shared" si="47"/>
        <v>33102CSO</v>
      </c>
      <c r="Y100" s="8"/>
      <c r="Z100" s="8"/>
      <c r="AA100" s="2"/>
      <c r="AB100" s="2"/>
      <c r="AC100" s="8"/>
      <c r="AD100" s="8"/>
    </row>
    <row r="101" ht="12.75" customHeight="1">
      <c r="A101" s="2">
        <v>32400.0</v>
      </c>
      <c r="B101" s="152" t="s">
        <v>187</v>
      </c>
      <c r="C101" s="35">
        <f t="shared" si="43"/>
        <v>0</v>
      </c>
      <c r="D101" s="2"/>
      <c r="E101" s="29"/>
      <c r="F101" s="35">
        <f>IF(ISERROR(VLOOKUP($X101,ess_bud,F$6,FALSE)),0,VLOOKUP($X101,ess_bud,F$6,FALSE))+IF(ISERROR(VLOOKUP($Z101,ess_bud,F$6,FALSE)),0,VLOOKUP($Z101,ess_bud,F$6,FALSE))+IF(ISERROR(VLOOKUP($Y101,ess_bud,F$6,FALSE)),0,VLOOKUP($Y101,ess_bud,F$6,FALSE))+IF(ISERROR(VLOOKUP($AA101,ess_bud,F$6,FALSE)),0,VLOOKUP($AA101,ess_bud,F$6,FALSE))</f>
        <v>0</v>
      </c>
      <c r="G101" s="2"/>
      <c r="H101" s="2"/>
      <c r="I101" s="37"/>
      <c r="J101" s="35">
        <f t="shared" si="44"/>
        <v>0</v>
      </c>
      <c r="K101" s="2"/>
      <c r="L101" s="2"/>
      <c r="M101" s="2"/>
      <c r="N101" s="35">
        <f t="shared" si="45"/>
        <v>0</v>
      </c>
      <c r="P101" s="29"/>
      <c r="Q101" s="35">
        <f>IF(ISERROR(VLOOKUP($X101,ess_bud,Q$6,FALSE)),0,VLOOKUP($X101,ess_bud,Q$6,FALSE))+IF(ISERROR(VLOOKUP($Z101,ess_bud,Q$6,FALSE)),0,VLOOKUP($Z101,ess_bud,Q$6,FALSE))+IF(ISERROR(VLOOKUP($Y101,ess_bud,Q$6,FALSE)),0,VLOOKUP($Y101,ess_bud,Q$6,FALSE))+IF(ISERROR(VLOOKUP($AA101,ess_bud,Q$6,FALSE)),0,VLOOKUP($AA101,ess_bud,Q$6,FALSE))</f>
        <v>0</v>
      </c>
      <c r="T101" s="37"/>
      <c r="U101" s="35">
        <f t="shared" si="46"/>
        <v>0</v>
      </c>
      <c r="V101" s="2"/>
      <c r="W101" s="2"/>
      <c r="X101" s="8" t="str">
        <f t="shared" si="47"/>
        <v>32400CSO</v>
      </c>
      <c r="Y101" s="8"/>
      <c r="Z101" s="8"/>
      <c r="AA101" s="2"/>
      <c r="AB101" s="2"/>
      <c r="AC101" s="8"/>
      <c r="AD101" s="8"/>
    </row>
    <row r="102" ht="12.75" customHeight="1">
      <c r="A102" s="2">
        <v>31100.0</v>
      </c>
      <c r="B102" s="152" t="s">
        <v>188</v>
      </c>
      <c r="C102" s="35">
        <f t="shared" si="43"/>
        <v>0</v>
      </c>
      <c r="D102" s="2"/>
      <c r="E102" s="29"/>
      <c r="F102" s="35">
        <f>IF(ISERROR(VLOOKUP($X102,ess_bud,F$6,FALSE)),0,VLOOKUP($X102,ess_bud,F$6,FALSE))+IF(ISERROR(VLOOKUP($Z102,ess_bud,F$6,FALSE)),0,VLOOKUP($Z102,ess_bud,F$6,FALSE))+IF(ISERROR(VLOOKUP($Y102,ess_bud,F$6,FALSE)),0,VLOOKUP($Y102,ess_bud,F$6,FALSE))+IF(ISERROR(VLOOKUP($AA102,ess_bud,F$6,FALSE)),0,VLOOKUP($AA102,ess_bud,F$6,FALSE))</f>
        <v>0</v>
      </c>
      <c r="G102" s="2"/>
      <c r="H102" s="2"/>
      <c r="I102" s="37"/>
      <c r="J102" s="35">
        <f t="shared" si="44"/>
        <v>0</v>
      </c>
      <c r="K102" s="2"/>
      <c r="L102" s="2"/>
      <c r="M102" s="2"/>
      <c r="N102" s="35">
        <f t="shared" si="45"/>
        <v>0</v>
      </c>
      <c r="P102" s="29"/>
      <c r="Q102" s="35">
        <f>IF(ISERROR(VLOOKUP($X102,ess_bud,Q$6,FALSE)),0,VLOOKUP($X102,ess_bud,Q$6,FALSE))+IF(ISERROR(VLOOKUP($Z102,ess_bud,Q$6,FALSE)),0,VLOOKUP($Z102,ess_bud,Q$6,FALSE))+IF(ISERROR(VLOOKUP($Y102,ess_bud,Q$6,FALSE)),0,VLOOKUP($Y102,ess_bud,Q$6,FALSE))+IF(ISERROR(VLOOKUP($AA102,ess_bud,Q$6,FALSE)),0,VLOOKUP($AA102,ess_bud,Q$6,FALSE))</f>
        <v>-8500856.5</v>
      </c>
      <c r="T102" s="37"/>
      <c r="U102" s="35">
        <f t="shared" si="46"/>
        <v>0</v>
      </c>
      <c r="V102" s="2"/>
      <c r="W102" s="2"/>
      <c r="X102" s="8" t="str">
        <f t="shared" ref="X102:X103" si="48">A102&amp;$X$6</f>
        <v>31100CS</v>
      </c>
      <c r="Y102" s="8" t="str">
        <f>31200&amp;$X$6</f>
        <v>31200CS</v>
      </c>
      <c r="Z102" s="8" t="str">
        <f>33100&amp;$X$6</f>
        <v>33100CS</v>
      </c>
      <c r="AA102" s="8" t="str">
        <f>33101&amp;$X$6</f>
        <v>33101CS</v>
      </c>
      <c r="AB102" s="2"/>
      <c r="AC102" s="8"/>
      <c r="AD102" s="8"/>
    </row>
    <row r="103" ht="12.75" customHeight="1">
      <c r="A103" s="2">
        <v>32400.0</v>
      </c>
      <c r="B103" s="152" t="s">
        <v>189</v>
      </c>
      <c r="C103" s="35">
        <f t="shared" si="43"/>
        <v>0</v>
      </c>
      <c r="D103" s="2"/>
      <c r="E103" s="29"/>
      <c r="F103" s="35">
        <f>IF(ISERROR(VLOOKUP($X103,ess_bud,F$6,FALSE)),0,VLOOKUP($X103,ess_bud,F$6,FALSE))+IF(ISERROR(VLOOKUP($Z103,ess_bud,F$6,FALSE)),0,VLOOKUP($Z103,ess_bud,F$6,FALSE))+IF(ISERROR(VLOOKUP($Y103,ess_bud,F$6,FALSE)),0,VLOOKUP($Y103,ess_bud,F$6,FALSE))+IF(ISERROR(VLOOKUP($AA103,ess_bud,F$6,FALSE)),0,VLOOKUP($AA103,ess_bud,F$6,FALSE))</f>
        <v>0</v>
      </c>
      <c r="G103" s="2"/>
      <c r="H103" s="2"/>
      <c r="I103" s="37"/>
      <c r="J103" s="35">
        <f t="shared" si="44"/>
        <v>0</v>
      </c>
      <c r="K103" s="2"/>
      <c r="L103" s="2"/>
      <c r="M103" s="2"/>
      <c r="N103" s="35">
        <f t="shared" si="45"/>
        <v>0</v>
      </c>
      <c r="P103" s="29"/>
      <c r="Q103" s="35">
        <f>IF(ISERROR(VLOOKUP($X103,ess_bud,Q$6,FALSE)),0,VLOOKUP($X103,ess_bud,Q$6,FALSE))+IF(ISERROR(VLOOKUP($Z103,ess_bud,Q$6,FALSE)),0,VLOOKUP($Z103,ess_bud,Q$6,FALSE))+IF(ISERROR(VLOOKUP($Y103,ess_bud,Q$6,FALSE)),0,VLOOKUP($Y103,ess_bud,Q$6,FALSE))+IF(ISERROR(VLOOKUP($AA103,ess_bud,Q$6,FALSE)),0,VLOOKUP($AA103,ess_bud,Q$6,FALSE))</f>
        <v>0</v>
      </c>
      <c r="T103" s="37"/>
      <c r="U103" s="35">
        <f t="shared" si="46"/>
        <v>0</v>
      </c>
      <c r="V103" s="2"/>
      <c r="W103" s="2"/>
      <c r="X103" s="8" t="str">
        <f t="shared" si="48"/>
        <v>32400CS</v>
      </c>
      <c r="Y103" s="8"/>
      <c r="Z103" s="8"/>
      <c r="AA103" s="2"/>
      <c r="AB103" s="2"/>
      <c r="AC103" s="8"/>
      <c r="AD103" s="8"/>
    </row>
    <row r="104" ht="13.5" customHeight="1">
      <c r="A104" s="2"/>
      <c r="B104" s="152" t="s">
        <v>190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8"/>
      <c r="Y104" s="8"/>
      <c r="Z104" s="8"/>
      <c r="AA104" s="2"/>
      <c r="AB104" s="2"/>
      <c r="AC104" s="8"/>
      <c r="AD104" s="8"/>
    </row>
    <row r="105" ht="12.75" customHeight="1">
      <c r="A105" s="2">
        <v>33101.0</v>
      </c>
      <c r="B105" s="8" t="s">
        <v>191</v>
      </c>
      <c r="C105" s="35">
        <f>IF(ISERROR(VLOOKUP($X105,ess_act,C$6,FALSE)),0,VLOOKUP($X105,ess_act,C$6,FALSE))+IF(ISERROR(VLOOKUP($Z105,ess_act,C$6,FALSE)),0,VLOOKUP($Z105,ess_act,C$6,FALSE))+IF(ISERROR(VLOOKUP($Y105,ess_act,C$6,FALSE)),0,VLOOKUP($Y105,ess_act,C$6,FALSE))+IF(ISERROR(VLOOKUP($AA105,ess_act,C$6,FALSE)),0,VLOOKUP($AA105,ess_act,C$6,FALSE))</f>
        <v>0</v>
      </c>
      <c r="D105" s="2"/>
      <c r="E105" s="29"/>
      <c r="F105" s="35">
        <f>IF(ISERROR(VLOOKUP($X105,ess_bud,F$6,FALSE)),0,VLOOKUP($X105,ess_bud,F$6,FALSE))+IF(ISERROR(VLOOKUP($Z105,ess_bud,F$6,FALSE)),0,VLOOKUP($Z105,ess_bud,F$6,FALSE))+IF(ISERROR(VLOOKUP($Y105,ess_bud,F$6,FALSE)),0,VLOOKUP($Y105,ess_bud,F$6,FALSE))+IF(ISERROR(VLOOKUP($AA105,ess_bud,F$6,FALSE)),0,VLOOKUP($AA105,ess_bud,F$6,FALSE))</f>
        <v>0</v>
      </c>
      <c r="G105" s="2"/>
      <c r="H105" s="2"/>
      <c r="I105" s="37"/>
      <c r="J105" s="35">
        <f t="shared" ref="J105:J106" si="49">IF(ISERROR(VLOOKUP($X105,ess_act,J$6,FALSE)),0,VLOOKUP($X105,ess_act,J$6,FALSE))+IF(ISERROR(VLOOKUP($Z105,ess_act,J$6,FALSE)),0,VLOOKUP($Z105,ess_act,J$6,FALSE))+IF(ISERROR(VLOOKUP($Y105,ess_act,J$6,FALSE)),0,VLOOKUP($Y105,ess_act,J$6,FALSE))+IF(ISERROR(VLOOKUP($AA105,ess_act,J$6,FALSE)),0,VLOOKUP($AA105,ess_act,J$6,FALSE))</f>
        <v>0</v>
      </c>
      <c r="K105" s="2"/>
      <c r="L105" s="2"/>
      <c r="M105" s="2"/>
      <c r="N105" s="35">
        <f>IF(ISERROR(VLOOKUP($X105,ess_act,N$6,FALSE)),0,VLOOKUP($X105,ess_act,N$6,FALSE))+IF(ISERROR(VLOOKUP($Z105,ess_act,N$6,FALSE)),0,VLOOKUP($Z105,ess_act,N$6,FALSE))+IF(ISERROR(VLOOKUP($Y105,ess_act,N$6,FALSE)),0,VLOOKUP($Y105,ess_act,N$6,FALSE))+IF(ISERROR(VLOOKUP($AA105,ess_act,N$6,FALSE)),0,VLOOKUP($AA105,ess_act,N$6,FALSE))</f>
        <v>0</v>
      </c>
      <c r="P105" s="29"/>
      <c r="Q105" s="35">
        <f>IF(ISERROR(VLOOKUP($X105,ess_bud,Q$6,FALSE)),0,VLOOKUP($X105,ess_bud,Q$6,FALSE))+IF(ISERROR(VLOOKUP($Z105,ess_bud,Q$6,FALSE)),0,VLOOKUP($Z105,ess_bud,Q$6,FALSE))+IF(ISERROR(VLOOKUP($Y105,ess_bud,Q$6,FALSE)),0,VLOOKUP($Y105,ess_bud,Q$6,FALSE))+IF(ISERROR(VLOOKUP($AA105,ess_bud,Q$6,FALSE)),0,VLOOKUP($AA105,ess_bud,Q$6,FALSE))</f>
        <v>387400</v>
      </c>
      <c r="T105" s="37"/>
      <c r="U105" s="35">
        <f t="shared" ref="U105:U106" si="50">IF(ISERROR(VLOOKUP($X105,ess_act,U$6,FALSE)),0,VLOOKUP($X105,ess_act,U$6,FALSE))+IF(ISERROR(VLOOKUP($Z105,ess_act,U$6,FALSE)),0,VLOOKUP($Z105,ess_act,U$6,FALSE))+IF(ISERROR(VLOOKUP($Y105,ess_act,U$6,FALSE)),0,VLOOKUP($Y105,ess_act,U$6,FALSE))+IF(ISERROR(VLOOKUP($AA105,ess_act,U$6,FALSE)),0,VLOOKUP($AA105,ess_act,U$6,FALSE))</f>
        <v>0</v>
      </c>
      <c r="V105" s="2"/>
      <c r="W105" s="2"/>
      <c r="X105" s="8" t="str">
        <f>A105&amp;$X$6&amp;$Y$6</f>
        <v>33101CSO</v>
      </c>
      <c r="Y105" s="8" t="str">
        <f>33100&amp;$X$6&amp;$Y$6</f>
        <v>33100CSO</v>
      </c>
      <c r="Z105" s="8" t="str">
        <f>33103&amp;$X$6&amp;$Y$6</f>
        <v>33103CSO</v>
      </c>
      <c r="AA105" s="8" t="str">
        <f>33200&amp;$X$6&amp;$Y$6</f>
        <v>33200CSO</v>
      </c>
      <c r="AB105" s="2"/>
      <c r="AC105" s="8"/>
      <c r="AD105" s="8"/>
    </row>
    <row r="106" ht="12.75" customHeight="1">
      <c r="A106" s="2" t="s">
        <v>192</v>
      </c>
      <c r="B106" s="8" t="s">
        <v>38</v>
      </c>
      <c r="C106" s="153">
        <v>886935.0</v>
      </c>
      <c r="D106" s="2"/>
      <c r="E106" s="29"/>
      <c r="F106" s="35">
        <f>IF(ISERROR(VLOOKUP($X106,ess_bud,F$6,FALSE)),0,VLOOKUP($X106,ess_bud,F$6,FALSE))+IF(ISERROR(VLOOKUP($Z106,ess_bud,F$6,FALSE)),0,VLOOKUP($Z106,ess_bud,F$6,FALSE))+IF(ISERROR(VLOOKUP($Y106,ess_bud,F$6,FALSE)),0,VLOOKUP($Y106,ess_bud,F$6,FALSE))+IF(ISERROR(VLOOKUP($AA106,ess_bud,F$6,FALSE)),0,VLOOKUP($AA106,ess_bud,F$6,FALSE))</f>
        <v>0</v>
      </c>
      <c r="G106" s="2"/>
      <c r="H106" s="2"/>
      <c r="I106" s="37"/>
      <c r="J106" s="35">
        <f t="shared" si="49"/>
        <v>0</v>
      </c>
      <c r="K106" s="2"/>
      <c r="L106" s="2"/>
      <c r="M106" s="2"/>
      <c r="N106" s="154">
        <v>4254749.0</v>
      </c>
      <c r="P106" s="29"/>
      <c r="Q106" s="35">
        <f>IF(ISERROR(VLOOKUP($X106,ess_bud,Q$6,FALSE)),0,VLOOKUP($X106,ess_bud,Q$6,FALSE))+IF(ISERROR(VLOOKUP($Z106,ess_bud,Q$6,FALSE)),0,VLOOKUP($Z106,ess_bud,Q$6,FALSE))+IF(ISERROR(VLOOKUP($Y106,ess_bud,Q$6,FALSE)),0,VLOOKUP($Y106,ess_bud,Q$6,FALSE))+IF(ISERROR(VLOOKUP($AA106,ess_bud,Q$6,FALSE)),0,VLOOKUP($AA106,ess_bud,Q$6,FALSE))</f>
        <v>2505913.75</v>
      </c>
      <c r="T106" s="37"/>
      <c r="U106" s="35">
        <f t="shared" si="50"/>
        <v>0</v>
      </c>
      <c r="V106" s="2"/>
      <c r="W106" s="2"/>
      <c r="X106" s="8" t="str">
        <f t="shared" ref="X106:X108" si="51">A106&amp;$X$6</f>
        <v>XXXXXCS</v>
      </c>
      <c r="Y106" s="8"/>
      <c r="Z106" s="8"/>
      <c r="AA106" s="2"/>
      <c r="AB106" s="2"/>
      <c r="AC106" s="8"/>
      <c r="AD106" s="8"/>
    </row>
    <row r="107" ht="12.75" customHeight="1">
      <c r="A107" s="2">
        <v>41100.0</v>
      </c>
      <c r="B107" s="8" t="s">
        <v>194</v>
      </c>
      <c r="C107" s="35">
        <f>IF(ISERROR(VLOOKUP($X107,ess_act,C$6,FALSE)),0,VLOOKUP($X107,ess_act,C$6,FALSE))+IF(ISERROR(VLOOKUP($Z107,ess_act,C$6,FALSE)),0,VLOOKUP($Z107,ess_act,C$6,FALSE))+IF(ISERROR(VLOOKUP($Y107,ess_act,C$6,FALSE)),0,VLOOKUP($Y107,ess_act,C$6,FALSE))+IF(ISERROR(VLOOKUP($AA107,ess_act,C$6,FALSE)),0,VLOOKUP($AA107,ess_act,C$6,FALSE))+SUM(C131:C137)</f>
        <v>0</v>
      </c>
      <c r="D107" s="2"/>
      <c r="E107" s="29"/>
      <c r="F107" s="35">
        <f>IF(ISERROR(VLOOKUP($X107,ess_bud,F$6,FALSE)),0,VLOOKUP($X107,ess_bud,F$6,FALSE))+IF(ISERROR(VLOOKUP($Z107,ess_bud,F$6,FALSE)),0,VLOOKUP($Z107,ess_bud,F$6,FALSE))+IF(ISERROR(VLOOKUP($Y107,ess_bud,F$6,FALSE)),0,VLOOKUP($Y107,ess_bud,F$6,FALSE))+IF(ISERROR(VLOOKUP($AA107,ess_bud,F$6,FALSE)),0,VLOOKUP($AA107,ess_bud,F$6,FALSE))+SUM(F131:F137)</f>
        <v>0</v>
      </c>
      <c r="G107" s="2"/>
      <c r="H107" s="2"/>
      <c r="I107" s="37"/>
      <c r="J107" s="35">
        <f>IF(ISERROR(VLOOKUP($X107,ess_act,J$6,FALSE)),0,VLOOKUP($X107,ess_act,J$6,FALSE))+IF(ISERROR(VLOOKUP($Z107,ess_act,J$6,FALSE)),0,VLOOKUP($Z107,ess_act,J$6,FALSE))+IF(ISERROR(VLOOKUP($Y107,ess_act,J$6,FALSE)),0,VLOOKUP($Y107,ess_act,J$6,FALSE))+IF(ISERROR(VLOOKUP($AA107,ess_act,J$6,FALSE)),0,VLOOKUP($AA107,ess_act,J$6,FALSE))+SUM(J131:J137)</f>
        <v>0</v>
      </c>
      <c r="K107" s="2"/>
      <c r="L107" s="2"/>
      <c r="M107" s="2"/>
      <c r="N107" s="35">
        <f>IF(ISERROR(VLOOKUP($X107,ess_act,N$6,FALSE)),0,VLOOKUP($X107,ess_act,N$6,FALSE))+IF(ISERROR(VLOOKUP($Z107,ess_act,N$6,FALSE)),0,VLOOKUP($Z107,ess_act,N$6,FALSE))+IF(ISERROR(VLOOKUP($Y107,ess_act,N$6,FALSE)),0,VLOOKUP($Y107,ess_act,N$6,FALSE))+IF(ISERROR(VLOOKUP($AA107,ess_act,N$6,FALSE)),0,VLOOKUP($AA107,ess_act,N$6,FALSE))+SUM(N131:N137)</f>
        <v>0</v>
      </c>
      <c r="P107" s="29"/>
      <c r="Q107" s="35">
        <f>IF(ISERROR(VLOOKUP($X107,ess_bud,Q$6,FALSE)),0,VLOOKUP($X107,ess_bud,Q$6,FALSE))+IF(ISERROR(VLOOKUP($Z107,ess_bud,Q$6,FALSE)),0,VLOOKUP($Z107,ess_bud,Q$6,FALSE))+IF(ISERROR(VLOOKUP($Y107,ess_bud,Q$6,FALSE)),0,VLOOKUP($Y107,ess_bud,Q$6,FALSE))+IF(ISERROR(VLOOKUP($AA107,ess_bud,Q$6,FALSE)),0,VLOOKUP($AA107,ess_bud,Q$6,FALSE))+SUM(Q131:Q137)</f>
        <v>6250714</v>
      </c>
      <c r="R107" s="35"/>
      <c r="T107" s="37"/>
      <c r="U107" s="35">
        <f>IF(ISERROR(VLOOKUP($X107,ess_act,U$6,FALSE)),0,VLOOKUP($X107,ess_act,U$6,FALSE))+IF(ISERROR(VLOOKUP($Z107,ess_act,U$6,FALSE)),0,VLOOKUP($Z107,ess_act,U$6,FALSE))+IF(ISERROR(VLOOKUP($Y107,ess_act,U$6,FALSE)),0,VLOOKUP($Y107,ess_act,U$6,FALSE))+IF(ISERROR(VLOOKUP($AA107,ess_act,U$6,FALSE)),0,VLOOKUP($AA107,ess_act,U$6,FALSE))+SUM(U131:U137)</f>
        <v>0</v>
      </c>
      <c r="V107" s="2"/>
      <c r="W107" s="2"/>
      <c r="X107" s="8" t="str">
        <f t="shared" si="51"/>
        <v>41100CS</v>
      </c>
      <c r="Y107" s="8" t="str">
        <f>41101&amp;$X$6</f>
        <v>41101CS</v>
      </c>
      <c r="Z107" s="8" t="str">
        <f>44100&amp;$X$6</f>
        <v>44100CS</v>
      </c>
      <c r="AA107" s="8"/>
      <c r="AB107" s="8"/>
      <c r="AC107" s="8"/>
      <c r="AD107" s="8"/>
    </row>
    <row r="108" ht="12.75" customHeight="1">
      <c r="A108" s="2">
        <v>48300.0</v>
      </c>
      <c r="B108" s="8" t="s">
        <v>195</v>
      </c>
      <c r="C108" s="35">
        <f>IF(ISERROR(VLOOKUP($X108,ess_act,C$6,FALSE)),0,VLOOKUP($X108,ess_act,C$6,FALSE))+IF(ISERROR(VLOOKUP($Z108,ess_act,C$6,FALSE)),0,VLOOKUP($Z108,ess_act,C$6,FALSE))+IF(ISERROR(VLOOKUP($Y108,ess_act,C$6,FALSE)),0,VLOOKUP($Y108,ess_act,C$6,FALSE))+IF(ISERROR(VLOOKUP($AA108,ess_act,C$6,FALSE)),0,VLOOKUP($AA108,ess_act,C$6,FALSE))</f>
        <v>0</v>
      </c>
      <c r="D108" s="2"/>
      <c r="E108" s="29"/>
      <c r="F108" s="35">
        <f>IF(ISERROR(VLOOKUP($X108,ess_bud,F$6,FALSE)),0,VLOOKUP($X108,ess_bud,F$6,FALSE))+IF(ISERROR(VLOOKUP($Z108,ess_bud,F$6,FALSE)),0,VLOOKUP($Z108,ess_bud,F$6,FALSE))+IF(ISERROR(VLOOKUP($Y108,ess_bud,F$6,FALSE)),0,VLOOKUP($Y108,ess_bud,F$6,FALSE))+IF(ISERROR(VLOOKUP($AA108,ess_bud,F$6,FALSE)),0,VLOOKUP($AA108,ess_bud,F$6,FALSE))</f>
        <v>0</v>
      </c>
      <c r="G108" s="2"/>
      <c r="H108" s="2"/>
      <c r="I108" s="37"/>
      <c r="J108" s="35">
        <f>IF(ISERROR(VLOOKUP($X108,ess_act,J$6,FALSE)),0,VLOOKUP($X108,ess_act,J$6,FALSE))+IF(ISERROR(VLOOKUP($Z108,ess_act,J$6,FALSE)),0,VLOOKUP($Z108,ess_act,J$6,FALSE))+IF(ISERROR(VLOOKUP($Y108,ess_act,J$6,FALSE)),0,VLOOKUP($Y108,ess_act,J$6,FALSE))+IF(ISERROR(VLOOKUP($AA108,ess_act,J$6,FALSE)),0,VLOOKUP($AA108,ess_act,J$6,FALSE))</f>
        <v>0</v>
      </c>
      <c r="K108" s="2"/>
      <c r="L108" s="2"/>
      <c r="M108" s="2"/>
      <c r="N108" s="35">
        <f>IF(ISERROR(VLOOKUP($X108,ess_act,N$6,FALSE)),0,VLOOKUP($X108,ess_act,N$6,FALSE))+IF(ISERROR(VLOOKUP($Z108,ess_act,N$6,FALSE)),0,VLOOKUP($Z108,ess_act,N$6,FALSE))+IF(ISERROR(VLOOKUP($Y108,ess_act,N$6,FALSE)),0,VLOOKUP($Y108,ess_act,N$6,FALSE))+IF(ISERROR(VLOOKUP($AA108,ess_act,N$6,FALSE)),0,VLOOKUP($AA108,ess_act,N$6,FALSE))</f>
        <v>0</v>
      </c>
      <c r="P108" s="29"/>
      <c r="Q108" s="35">
        <f>IF(ISERROR(VLOOKUP($X108,ess_bud,Q$6,FALSE)),0,VLOOKUP($X108,ess_bud,Q$6,FALSE))+IF(ISERROR(VLOOKUP($Z108,ess_bud,Q$6,FALSE)),0,VLOOKUP($Z108,ess_bud,Q$6,FALSE))+IF(ISERROR(VLOOKUP($Y108,ess_bud,Q$6,FALSE)),0,VLOOKUP($Y108,ess_bud,Q$6,FALSE))+IF(ISERROR(VLOOKUP($AA108,ess_bud,Q$6,FALSE)),0,VLOOKUP($AA108,ess_bud,Q$6,FALSE))</f>
        <v>3033.75</v>
      </c>
      <c r="T108" s="37"/>
      <c r="U108" s="35">
        <f>IF(ISERROR(VLOOKUP($X108,ess_act,U$6,FALSE)),0,VLOOKUP($X108,ess_act,U$6,FALSE))+IF(ISERROR(VLOOKUP($Z108,ess_act,U$6,FALSE)),0,VLOOKUP($Z108,ess_act,U$6,FALSE))+IF(ISERROR(VLOOKUP($Y108,ess_act,U$6,FALSE)),0,VLOOKUP($Y108,ess_act,U$6,FALSE))+IF(ISERROR(VLOOKUP($AA108,ess_act,U$6,FALSE)),0,VLOOKUP($AA108,ess_act,U$6,FALSE))</f>
        <v>0</v>
      </c>
      <c r="V108" s="2"/>
      <c r="W108" s="2"/>
      <c r="X108" s="8" t="str">
        <f t="shared" si="51"/>
        <v>48300CS</v>
      </c>
      <c r="Y108" s="8"/>
      <c r="Z108" s="8"/>
      <c r="AA108" s="2"/>
      <c r="AB108" s="2"/>
      <c r="AC108" s="8"/>
      <c r="AD108" s="8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8"/>
      <c r="Z109" s="2"/>
      <c r="AA109" s="2"/>
      <c r="AB109" s="2"/>
      <c r="AC109" s="8"/>
      <c r="AD109" s="8"/>
    </row>
    <row r="110" ht="12.75" customHeight="1">
      <c r="A110" s="8">
        <v>47404.0</v>
      </c>
      <c r="B110" s="8" t="s">
        <v>103</v>
      </c>
      <c r="C110" s="35">
        <f>IF(ISERROR(VLOOKUP($X110,ess_act,C$6,FALSE)),0,VLOOKUP($X110,ess_act,C$6,FALSE))+IF(ISERROR(VLOOKUP($Z110,ess_act,C$6,FALSE)),0,VLOOKUP($Z110,ess_act,C$6,FALSE))+IF(ISERROR(VLOOKUP($Y110,ess_act,C$6,FALSE)),0,VLOOKUP($Y110,ess_act,C$6,FALSE))+IF(ISERROR(VLOOKUP($AA110,ess_act,C$6,FALSE)),0,VLOOKUP($AA110,ess_act,C$6,FALSE))</f>
        <v>0</v>
      </c>
      <c r="D110" s="2"/>
      <c r="E110" s="29"/>
      <c r="F110" s="35">
        <f>IF(ISERROR(VLOOKUP($X110,ess_bud,F$6,FALSE)),0,VLOOKUP($X110,ess_bud,F$6,FALSE))+IF(ISERROR(VLOOKUP($Z110,ess_bud,F$6,FALSE)),0,VLOOKUP($Z110,ess_bud,F$6,FALSE))+IF(ISERROR(VLOOKUP($Y110,ess_bud,F$6,FALSE)),0,VLOOKUP($Y110,ess_bud,F$6,FALSE))+IF(ISERROR(VLOOKUP($AA110,ess_bud,F$6,FALSE)),0,VLOOKUP($AA110,ess_bud,F$6,FALSE))</f>
        <v>0</v>
      </c>
      <c r="G110" s="2"/>
      <c r="H110" s="2"/>
      <c r="I110" s="37"/>
      <c r="J110" s="35">
        <f>IF(ISERROR(VLOOKUP($X110,ess_act,J$6,FALSE)),0,VLOOKUP($X110,ess_act,J$6,FALSE))+IF(ISERROR(VLOOKUP($Z110,ess_act,J$6,FALSE)),0,VLOOKUP($Z110,ess_act,J$6,FALSE))+IF(ISERROR(VLOOKUP($Y110,ess_act,J$6,FALSE)),0,VLOOKUP($Y110,ess_act,J$6,FALSE))+IF(ISERROR(VLOOKUP($AA110,ess_act,J$6,FALSE)),0,VLOOKUP($AA110,ess_act,J$6,FALSE))</f>
        <v>0</v>
      </c>
      <c r="K110" s="2"/>
      <c r="L110" s="2"/>
      <c r="M110" s="2"/>
      <c r="N110" s="35">
        <f>IF(ISERROR(VLOOKUP($X110,ess_act,N$6,FALSE)),0,VLOOKUP($X110,ess_act,N$6,FALSE))+IF(ISERROR(VLOOKUP($Z110,ess_act,N$6,FALSE)),0,VLOOKUP($Z110,ess_act,N$6,FALSE))+IF(ISERROR(VLOOKUP($Y110,ess_act,N$6,FALSE)),0,VLOOKUP($Y110,ess_act,N$6,FALSE))+IF(ISERROR(VLOOKUP($AA110,ess_act,N$6,FALSE)),0,VLOOKUP($AA110,ess_act,N$6,FALSE))</f>
        <v>0</v>
      </c>
      <c r="P110" s="29"/>
      <c r="Q110" s="35">
        <f>IF(ISERROR(VLOOKUP($X110,ess_bud,Q$6,FALSE)),0,VLOOKUP($X110,ess_bud,Q$6,FALSE))+IF(ISERROR(VLOOKUP($Z110,ess_bud,Q$6,FALSE)),0,VLOOKUP($Z110,ess_bud,Q$6,FALSE))+IF(ISERROR(VLOOKUP($Y110,ess_bud,Q$6,FALSE)),0,VLOOKUP($Y110,ess_bud,Q$6,FALSE))+IF(ISERROR(VLOOKUP($AA110,ess_bud,Q$6,FALSE)),0,VLOOKUP($AA110,ess_bud,Q$6,FALSE))</f>
        <v>0</v>
      </c>
      <c r="T110" s="37"/>
      <c r="U110" s="35">
        <f>IF(ISERROR(VLOOKUP($X110,ess_act,U$6,FALSE)),0,VLOOKUP($X110,ess_act,U$6,FALSE))+IF(ISERROR(VLOOKUP($Z110,ess_act,U$6,FALSE)),0,VLOOKUP($Z110,ess_act,U$6,FALSE))+IF(ISERROR(VLOOKUP($Y110,ess_act,U$6,FALSE)),0,VLOOKUP($Y110,ess_act,U$6,FALSE))+IF(ISERROR(VLOOKUP($AA110,ess_act,U$6,FALSE)),0,VLOOKUP($AA110,ess_act,U$6,FALSE))</f>
        <v>0</v>
      </c>
      <c r="X110" s="8" t="str">
        <f>A110&amp;$X$6</f>
        <v>47404CS</v>
      </c>
      <c r="Y110" s="8" t="str">
        <f>49400&amp;$X$6</f>
        <v>49400CS</v>
      </c>
      <c r="Z110" s="8"/>
      <c r="AA110" s="2"/>
      <c r="AB110" s="2"/>
      <c r="AC110" s="8"/>
      <c r="AD110" s="8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8"/>
      <c r="Z111" s="2"/>
      <c r="AA111" s="2"/>
      <c r="AB111" s="2"/>
      <c r="AC111" s="8"/>
      <c r="AD111" s="8"/>
    </row>
    <row r="112" ht="12.75" customHeight="1">
      <c r="A112" s="2">
        <v>71100.0</v>
      </c>
      <c r="B112" s="8" t="s">
        <v>196</v>
      </c>
      <c r="C112" s="35">
        <f>IF(ISERROR(VLOOKUP($X112,ess_act,C$6,FALSE)),0,VLOOKUP($X112,ess_act,C$6,FALSE))+IF(ISERROR(VLOOKUP($Z112,ess_act,C$6,FALSE)),0,VLOOKUP($Z112,ess_act,C$6,FALSE))+IF(ISERROR(VLOOKUP($Y112,ess_act,C$6,FALSE)),0,VLOOKUP($Y112,ess_act,C$6,FALSE))+IF(ISERROR(VLOOKUP($AA112,ess_act,C$6,FALSE)),0,VLOOKUP($AA112,ess_act,C$6,FALSE))</f>
        <v>0</v>
      </c>
      <c r="D112" s="2"/>
      <c r="E112" s="29"/>
      <c r="F112" s="35">
        <f>IF(ISERROR(VLOOKUP($X112,ess_bud,F$6,FALSE)),0,VLOOKUP($X112,ess_bud,F$6,FALSE))+IF(ISERROR(VLOOKUP($Z112,ess_bud,F$6,FALSE)),0,VLOOKUP($Z112,ess_bud,F$6,FALSE))+IF(ISERROR(VLOOKUP($Y112,ess_bud,F$6,FALSE)),0,VLOOKUP($Y112,ess_bud,F$6,FALSE))+IF(ISERROR(VLOOKUP($AA112,ess_bud,F$6,FALSE)),0,VLOOKUP($AA112,ess_bud,F$6,FALSE))</f>
        <v>0</v>
      </c>
      <c r="G112" s="2"/>
      <c r="H112" s="2"/>
      <c r="I112" s="37"/>
      <c r="J112" s="35">
        <f>IF(ISERROR(VLOOKUP($X112,ess_act,J$6,FALSE)),0,VLOOKUP($X112,ess_act,J$6,FALSE))+IF(ISERROR(VLOOKUP($Z112,ess_act,J$6,FALSE)),0,VLOOKUP($Z112,ess_act,J$6,FALSE))+IF(ISERROR(VLOOKUP($Y112,ess_act,J$6,FALSE)),0,VLOOKUP($Y112,ess_act,J$6,FALSE))+IF(ISERROR(VLOOKUP($AA112,ess_act,J$6,FALSE)),0,VLOOKUP($AA112,ess_act,J$6,FALSE))</f>
        <v>0</v>
      </c>
      <c r="K112" s="2"/>
      <c r="L112" s="2"/>
      <c r="M112" s="2"/>
      <c r="N112" s="35">
        <f>IF(ISERROR(VLOOKUP($X112,ess_act,N$6,FALSE)),0,VLOOKUP($X112,ess_act,N$6,FALSE))+IF(ISERROR(VLOOKUP($Z112,ess_act,N$6,FALSE)),0,VLOOKUP($Z112,ess_act,N$6,FALSE))+IF(ISERROR(VLOOKUP($Y112,ess_act,N$6,FALSE)),0,VLOOKUP($Y112,ess_act,N$6,FALSE))+IF(ISERROR(VLOOKUP($AA112,ess_act,N$6,FALSE)),0,VLOOKUP($AA112,ess_act,N$6,FALSE))</f>
        <v>0</v>
      </c>
      <c r="P112" s="29"/>
      <c r="Q112" s="35">
        <f>IF(ISERROR(VLOOKUP($X112,ess_bud,Q$6,FALSE)),0,VLOOKUP($X112,ess_bud,Q$6,FALSE))+IF(ISERROR(VLOOKUP($Z112,ess_bud,Q$6,FALSE)),0,VLOOKUP($Z112,ess_bud,Q$6,FALSE))+IF(ISERROR(VLOOKUP($Y112,ess_bud,Q$6,FALSE)),0,VLOOKUP($Y112,ess_bud,Q$6,FALSE))+IF(ISERROR(VLOOKUP($AA112,ess_bud,Q$6,FALSE)),0,VLOOKUP($AA112,ess_bud,Q$6,FALSE))</f>
        <v>0</v>
      </c>
      <c r="T112" s="37"/>
      <c r="U112" s="35">
        <f>IF(ISERROR(VLOOKUP($X112,ess_act,U$6,FALSE)),0,VLOOKUP($X112,ess_act,U$6,FALSE))+IF(ISERROR(VLOOKUP($Z112,ess_act,U$6,FALSE)),0,VLOOKUP($Z112,ess_act,U$6,FALSE))+IF(ISERROR(VLOOKUP($Y112,ess_act,U$6,FALSE)),0,VLOOKUP($Y112,ess_act,U$6,FALSE))+IF(ISERROR(VLOOKUP($AA112,ess_act,U$6,FALSE)),0,VLOOKUP($AA112,ess_act,U$6,FALSE))</f>
        <v>0</v>
      </c>
      <c r="V112" s="2"/>
      <c r="W112" s="2"/>
      <c r="X112" s="8" t="str">
        <f>A112&amp;$X$6</f>
        <v>71100CS</v>
      </c>
      <c r="Y112" s="8"/>
      <c r="Z112" s="2"/>
      <c r="AA112" s="2"/>
      <c r="AB112" s="2"/>
      <c r="AC112" s="8"/>
      <c r="AD112" s="8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8"/>
      <c r="Z113" s="2"/>
      <c r="AA113" s="2"/>
      <c r="AB113" s="2"/>
      <c r="AC113" s="8"/>
      <c r="AD113" s="8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8"/>
      <c r="Z114" s="2"/>
      <c r="AA114" s="2"/>
      <c r="AB114" s="2"/>
      <c r="AC114" s="8"/>
      <c r="AD114" s="8"/>
    </row>
    <row r="115" ht="12.75" customHeight="1">
      <c r="A115" s="2"/>
      <c r="B115" s="2" t="s">
        <v>197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8"/>
      <c r="Z115" s="2"/>
      <c r="AA115" s="2"/>
      <c r="AB115" s="2"/>
      <c r="AC115" s="8"/>
      <c r="AD115" s="8"/>
    </row>
    <row r="116" ht="12.75" customHeight="1">
      <c r="A116" s="2"/>
      <c r="B116" s="2"/>
      <c r="C116" s="35"/>
      <c r="D116" s="2"/>
      <c r="E116" s="29"/>
      <c r="F116" s="35"/>
      <c r="G116" s="2"/>
      <c r="H116" s="2"/>
      <c r="I116" s="37"/>
      <c r="J116" s="35"/>
      <c r="K116" s="2"/>
      <c r="L116" s="2"/>
      <c r="M116" s="2"/>
      <c r="N116" s="35"/>
      <c r="P116" s="29"/>
      <c r="Q116" s="35"/>
      <c r="T116" s="37"/>
      <c r="U116" s="35"/>
      <c r="V116" s="2"/>
      <c r="W116" s="2"/>
      <c r="X116" s="8"/>
      <c r="Y116" s="8"/>
      <c r="Z116" s="2"/>
      <c r="AA116" s="2"/>
      <c r="AB116" s="2"/>
      <c r="AC116" s="8"/>
      <c r="AD116" s="8"/>
    </row>
    <row r="117" ht="12.75" customHeight="1">
      <c r="A117" s="2"/>
      <c r="B117" s="2"/>
      <c r="C117" s="35"/>
      <c r="D117" s="2"/>
      <c r="E117" s="29"/>
      <c r="F117" s="35"/>
      <c r="G117" s="2"/>
      <c r="H117" s="2"/>
      <c r="I117" s="37"/>
      <c r="J117" s="35"/>
      <c r="K117" s="2"/>
      <c r="L117" s="2"/>
      <c r="M117" s="2"/>
      <c r="N117" s="35"/>
      <c r="P117" s="29"/>
      <c r="Q117" s="35"/>
      <c r="T117" s="37"/>
      <c r="U117" s="35"/>
      <c r="V117" s="2"/>
      <c r="W117" s="2"/>
      <c r="X117" s="8"/>
      <c r="Y117" s="8"/>
      <c r="Z117" s="2"/>
      <c r="AA117" s="2"/>
      <c r="AB117" s="2"/>
      <c r="AC117" s="8"/>
      <c r="AD117" s="8"/>
    </row>
    <row r="118" ht="12.75" customHeight="1">
      <c r="A118" s="155" t="s">
        <v>198</v>
      </c>
      <c r="B118" s="2"/>
      <c r="C118" s="35"/>
      <c r="D118" s="2"/>
      <c r="E118" s="29"/>
      <c r="F118" s="35"/>
      <c r="G118" s="2"/>
      <c r="H118" s="2"/>
      <c r="I118" s="37"/>
      <c r="J118" s="35"/>
      <c r="K118" s="2"/>
      <c r="L118" s="2"/>
      <c r="M118" s="2"/>
      <c r="N118" s="35"/>
      <c r="P118" s="29"/>
      <c r="Q118" s="35"/>
      <c r="T118" s="37"/>
      <c r="U118" s="35"/>
      <c r="V118" s="2"/>
      <c r="W118" s="2"/>
      <c r="X118" s="8"/>
      <c r="Y118" s="8"/>
      <c r="Z118" s="2"/>
      <c r="AA118" s="2"/>
      <c r="AB118" s="2"/>
      <c r="AC118" s="8"/>
      <c r="AD118" s="8"/>
    </row>
    <row r="119" ht="12.75" customHeight="1">
      <c r="A119" s="155">
        <v>33103.0</v>
      </c>
      <c r="B119" s="155"/>
      <c r="C119" s="156">
        <f>IF(ISERROR(VLOOKUP($X119,ess_act,C$6,FALSE)),0,VLOOKUP($X119,ess_act,C$6,FALSE))</f>
        <v>0</v>
      </c>
      <c r="D119" s="155"/>
      <c r="E119" s="157"/>
      <c r="F119" s="156">
        <f>IF(ISERROR(VLOOKUP($X119,ess_bud,F$6,FALSE)),0,VLOOKUP($X119,ess_bud,F$6,FALSE))</f>
        <v>0</v>
      </c>
      <c r="G119" s="155"/>
      <c r="H119" s="155"/>
      <c r="I119" s="158"/>
      <c r="J119" s="156">
        <f>IF(ISERROR(VLOOKUP($X119,ess_act,J$6,FALSE)),0,VLOOKUP($X119,ess_act,J$6,FALSE))</f>
        <v>0</v>
      </c>
      <c r="K119" s="155"/>
      <c r="L119" s="155"/>
      <c r="M119" s="155"/>
      <c r="N119" s="156">
        <f>IF(ISERROR(VLOOKUP($X119,ess_act,N$6,FALSE)),0,VLOOKUP($X119,ess_act,N$6,FALSE))</f>
        <v>0</v>
      </c>
      <c r="O119" s="155"/>
      <c r="P119" s="157"/>
      <c r="Q119" s="156">
        <f>IF(ISERROR(VLOOKUP($X119,ess_bud,Q$6,FALSE)),0,VLOOKUP($X119,ess_bud,Q$6,FALSE))</f>
        <v>0</v>
      </c>
      <c r="R119" s="155"/>
      <c r="S119" s="155"/>
      <c r="T119" s="158"/>
      <c r="U119" s="156">
        <f>IF(ISERROR(VLOOKUP($X119,ess_act,U$6,FALSE)),0,VLOOKUP($X119,ess_act,U$6,FALSE))</f>
        <v>0</v>
      </c>
      <c r="V119" s="155"/>
      <c r="W119" s="155"/>
      <c r="X119" s="159" t="str">
        <f>A119&amp;$X$6</f>
        <v>33103CS</v>
      </c>
      <c r="Y119" s="8"/>
      <c r="Z119" s="2"/>
      <c r="AA119" s="2"/>
      <c r="AB119" s="2"/>
      <c r="AC119" s="8"/>
      <c r="AD119" s="8"/>
    </row>
    <row r="120" ht="12.75" customHeight="1">
      <c r="A120" s="155"/>
      <c r="B120" s="155"/>
      <c r="C120" s="156"/>
      <c r="D120" s="155"/>
      <c r="E120" s="157"/>
      <c r="F120" s="156"/>
      <c r="G120" s="155"/>
      <c r="H120" s="155"/>
      <c r="I120" s="158"/>
      <c r="J120" s="156"/>
      <c r="K120" s="155"/>
      <c r="L120" s="155"/>
      <c r="M120" s="155"/>
      <c r="N120" s="156"/>
      <c r="O120" s="155"/>
      <c r="P120" s="157"/>
      <c r="Q120" s="156"/>
      <c r="R120" s="155"/>
      <c r="S120" s="155"/>
      <c r="T120" s="158"/>
      <c r="U120" s="156"/>
      <c r="V120" s="155"/>
      <c r="W120" s="155"/>
      <c r="X120" s="159"/>
      <c r="Y120" s="8"/>
      <c r="Z120" s="2"/>
      <c r="AA120" s="2"/>
      <c r="AB120" s="2"/>
      <c r="AC120" s="8"/>
      <c r="AD120" s="8"/>
    </row>
    <row r="121" ht="12.75" customHeight="1">
      <c r="A121" s="155">
        <v>33209.0</v>
      </c>
      <c r="B121" s="155"/>
      <c r="C121" s="156">
        <f t="shared" ref="C121:C124" si="52">IF(ISERROR(VLOOKUP($X121,ess_act,C$6,FALSE)),0,VLOOKUP($X121,ess_act,C$6,FALSE))</f>
        <v>0</v>
      </c>
      <c r="D121" s="155"/>
      <c r="E121" s="157"/>
      <c r="F121" s="156">
        <f>IF(ISERROR(VLOOKUP($X121,ess_bud,F$6,FALSE)),0,VLOOKUP($X121,ess_bud,F$6,FALSE))</f>
        <v>0</v>
      </c>
      <c r="G121" s="155"/>
      <c r="H121" s="155"/>
      <c r="I121" s="158"/>
      <c r="J121" s="156">
        <f t="shared" ref="J121:J124" si="53">IF(ISERROR(VLOOKUP($X121,ess_act,J$6,FALSE)),0,VLOOKUP($X121,ess_act,J$6,FALSE))</f>
        <v>0</v>
      </c>
      <c r="K121" s="155"/>
      <c r="L121" s="155"/>
      <c r="M121" s="155"/>
      <c r="N121" s="156">
        <f t="shared" ref="N121:N124" si="54">IF(ISERROR(VLOOKUP($X121,ess_act,N$6,FALSE)),0,VLOOKUP($X121,ess_act,N$6,FALSE))</f>
        <v>0</v>
      </c>
      <c r="O121" s="155"/>
      <c r="P121" s="157"/>
      <c r="Q121" s="156">
        <f>IF(ISERROR(VLOOKUP($X121,ess_bud,Q$6,FALSE)),0,VLOOKUP($X121,ess_bud,Q$6,FALSE))</f>
        <v>0</v>
      </c>
      <c r="R121" s="155"/>
      <c r="S121" s="155"/>
      <c r="T121" s="158"/>
      <c r="U121" s="156">
        <f t="shared" ref="U121:U124" si="55">IF(ISERROR(VLOOKUP($X121,ess_act,U$6,FALSE)),0,VLOOKUP($X121,ess_act,U$6,FALSE))</f>
        <v>0</v>
      </c>
      <c r="V121" s="155"/>
      <c r="W121" s="155"/>
      <c r="X121" s="159" t="str">
        <f t="shared" ref="X121:X124" si="56">A121&amp;$X$6</f>
        <v>33209CS</v>
      </c>
      <c r="Y121" s="8"/>
      <c r="Z121" s="2"/>
      <c r="AA121" s="2"/>
      <c r="AB121" s="2"/>
      <c r="AC121" s="8"/>
      <c r="AD121" s="8"/>
    </row>
    <row r="122" ht="12.75" customHeight="1">
      <c r="A122" s="155">
        <v>34100.0</v>
      </c>
      <c r="B122" s="155"/>
      <c r="C122" s="156">
        <f t="shared" si="52"/>
        <v>0</v>
      </c>
      <c r="D122" s="155"/>
      <c r="E122" s="157"/>
      <c r="F122" s="156">
        <f>IF(ISERROR(VLOOKUP($X122,ess_bud,F$6,FALSE)),0,VLOOKUP($X122,ess_bud,F$6,FALSE))</f>
        <v>0</v>
      </c>
      <c r="G122" s="155"/>
      <c r="H122" s="155"/>
      <c r="I122" s="158"/>
      <c r="J122" s="156">
        <f t="shared" si="53"/>
        <v>0</v>
      </c>
      <c r="K122" s="155"/>
      <c r="L122" s="155"/>
      <c r="M122" s="155"/>
      <c r="N122" s="156">
        <f t="shared" si="54"/>
        <v>0</v>
      </c>
      <c r="O122" s="155"/>
      <c r="P122" s="157"/>
      <c r="Q122" s="156">
        <f>IF(ISERROR(VLOOKUP($X122,ess_bud,Q$6,FALSE)),0,VLOOKUP($X122,ess_bud,Q$6,FALSE))</f>
        <v>0</v>
      </c>
      <c r="R122" s="155"/>
      <c r="S122" s="155"/>
      <c r="T122" s="158"/>
      <c r="U122" s="156">
        <f t="shared" si="55"/>
        <v>0</v>
      </c>
      <c r="V122" s="155"/>
      <c r="W122" s="155"/>
      <c r="X122" s="159" t="str">
        <f t="shared" si="56"/>
        <v>34100CS</v>
      </c>
      <c r="Y122" s="8"/>
      <c r="Z122" s="2"/>
      <c r="AA122" s="2"/>
      <c r="AB122" s="2"/>
      <c r="AC122" s="8"/>
      <c r="AD122" s="8"/>
    </row>
    <row r="123" ht="12.75" customHeight="1">
      <c r="A123" s="155">
        <v>34101.0</v>
      </c>
      <c r="B123" s="155"/>
      <c r="C123" s="156">
        <f t="shared" si="52"/>
        <v>0</v>
      </c>
      <c r="D123" s="155"/>
      <c r="E123" s="157"/>
      <c r="F123" s="156">
        <f>IF(ISERROR(VLOOKUP($X123,ess_bud,F$6,FALSE)),0,VLOOKUP($X123,ess_bud,F$6,FALSE))</f>
        <v>0</v>
      </c>
      <c r="G123" s="155"/>
      <c r="H123" s="155"/>
      <c r="I123" s="158"/>
      <c r="J123" s="156">
        <f t="shared" si="53"/>
        <v>0</v>
      </c>
      <c r="K123" s="155"/>
      <c r="L123" s="155"/>
      <c r="M123" s="155"/>
      <c r="N123" s="156">
        <f t="shared" si="54"/>
        <v>0</v>
      </c>
      <c r="O123" s="155"/>
      <c r="P123" s="157"/>
      <c r="Q123" s="156">
        <f>IF(ISERROR(VLOOKUP($X123,ess_bud,Q$6,FALSE)),0,VLOOKUP($X123,ess_bud,Q$6,FALSE))</f>
        <v>0</v>
      </c>
      <c r="R123" s="155"/>
      <c r="S123" s="155"/>
      <c r="T123" s="158"/>
      <c r="U123" s="156">
        <f t="shared" si="55"/>
        <v>0</v>
      </c>
      <c r="V123" s="155"/>
      <c r="W123" s="155"/>
      <c r="X123" s="159" t="str">
        <f t="shared" si="56"/>
        <v>34101CS</v>
      </c>
      <c r="Y123" s="8"/>
      <c r="Z123" s="2"/>
      <c r="AA123" s="2"/>
      <c r="AB123" s="2"/>
      <c r="AC123" s="8"/>
      <c r="AD123" s="8"/>
    </row>
    <row r="124" ht="12.75" customHeight="1">
      <c r="A124" s="155">
        <v>34102.0</v>
      </c>
      <c r="B124" s="155"/>
      <c r="C124" s="156">
        <f t="shared" si="52"/>
        <v>0</v>
      </c>
      <c r="D124" s="155"/>
      <c r="E124" s="157"/>
      <c r="F124" s="156">
        <f>IF(ISERROR(VLOOKUP($X124,ess_bud,F$6,FALSE)),0,VLOOKUP($X124,ess_bud,F$6,FALSE))</f>
        <v>0</v>
      </c>
      <c r="G124" s="155"/>
      <c r="H124" s="155"/>
      <c r="I124" s="158"/>
      <c r="J124" s="156">
        <f t="shared" si="53"/>
        <v>0</v>
      </c>
      <c r="K124" s="155"/>
      <c r="L124" s="155"/>
      <c r="M124" s="155"/>
      <c r="N124" s="156">
        <f t="shared" si="54"/>
        <v>0</v>
      </c>
      <c r="O124" s="155"/>
      <c r="P124" s="157"/>
      <c r="Q124" s="156">
        <f>IF(ISERROR(VLOOKUP($X124,ess_bud,Q$6,FALSE)),0,VLOOKUP($X124,ess_bud,Q$6,FALSE))</f>
        <v>0</v>
      </c>
      <c r="R124" s="155"/>
      <c r="S124" s="155"/>
      <c r="T124" s="158"/>
      <c r="U124" s="156">
        <f t="shared" si="55"/>
        <v>0</v>
      </c>
      <c r="V124" s="155"/>
      <c r="W124" s="155"/>
      <c r="X124" s="159" t="str">
        <f t="shared" si="56"/>
        <v>34102CS</v>
      </c>
      <c r="Y124" s="8"/>
      <c r="Z124" s="2"/>
      <c r="AA124" s="2"/>
      <c r="AB124" s="2"/>
      <c r="AC124" s="8"/>
      <c r="AD124" s="8"/>
    </row>
    <row r="125" ht="12.75" customHeight="1">
      <c r="A125" s="155"/>
      <c r="B125" s="155"/>
      <c r="C125" s="156"/>
      <c r="D125" s="155"/>
      <c r="E125" s="157"/>
      <c r="F125" s="156"/>
      <c r="G125" s="155"/>
      <c r="H125" s="155"/>
      <c r="I125" s="158"/>
      <c r="J125" s="156"/>
      <c r="K125" s="155"/>
      <c r="L125" s="155"/>
      <c r="M125" s="155"/>
      <c r="N125" s="156"/>
      <c r="O125" s="155"/>
      <c r="P125" s="157"/>
      <c r="Q125" s="156"/>
      <c r="R125" s="155"/>
      <c r="S125" s="155"/>
      <c r="T125" s="158"/>
      <c r="U125" s="156"/>
      <c r="V125" s="155"/>
      <c r="W125" s="155"/>
      <c r="X125" s="159"/>
      <c r="Y125" s="8"/>
      <c r="Z125" s="2"/>
      <c r="AA125" s="2"/>
      <c r="AB125" s="2"/>
      <c r="AC125" s="8"/>
      <c r="AD125" s="8"/>
    </row>
    <row r="126" ht="12.75" customHeight="1">
      <c r="A126" s="155">
        <v>35101.0</v>
      </c>
      <c r="B126" s="155"/>
      <c r="C126" s="156">
        <f t="shared" ref="C126:C128" si="57">IF(ISERROR(VLOOKUP($X126,ess_act,C$6,FALSE)),0,VLOOKUP($X126,ess_act,C$6,FALSE))</f>
        <v>0</v>
      </c>
      <c r="D126" s="155"/>
      <c r="E126" s="157"/>
      <c r="F126" s="156">
        <f>IF(ISERROR(VLOOKUP($X126,ess_bud,F$6,FALSE)),0,VLOOKUP($X126,ess_bud,F$6,FALSE))</f>
        <v>0</v>
      </c>
      <c r="G126" s="155"/>
      <c r="H126" s="155"/>
      <c r="I126" s="158"/>
      <c r="J126" s="156">
        <f t="shared" ref="J126:J128" si="58">IF(ISERROR(VLOOKUP($X126,ess_act,J$6,FALSE)),0,VLOOKUP($X126,ess_act,J$6,FALSE))</f>
        <v>0</v>
      </c>
      <c r="K126" s="155"/>
      <c r="L126" s="155"/>
      <c r="M126" s="155"/>
      <c r="N126" s="156">
        <f t="shared" ref="N126:N128" si="59">IF(ISERROR(VLOOKUP($X126,ess_act,N$6,FALSE)),0,VLOOKUP($X126,ess_act,N$6,FALSE))</f>
        <v>0</v>
      </c>
      <c r="O126" s="155"/>
      <c r="P126" s="157"/>
      <c r="Q126" s="156">
        <f>IF(ISERROR(VLOOKUP($X126,ess_bud,Q$6,FALSE)),0,VLOOKUP($X126,ess_bud,Q$6,FALSE))</f>
        <v>0</v>
      </c>
      <c r="R126" s="155"/>
      <c r="S126" s="155"/>
      <c r="T126" s="158"/>
      <c r="U126" s="156">
        <f t="shared" ref="U126:U128" si="60">IF(ISERROR(VLOOKUP($X126,ess_act,U$6,FALSE)),0,VLOOKUP($X126,ess_act,U$6,FALSE))</f>
        <v>0</v>
      </c>
      <c r="V126" s="155"/>
      <c r="W126" s="155"/>
      <c r="X126" s="159" t="str">
        <f t="shared" ref="X126:X128" si="61">A126&amp;$X$6</f>
        <v>35101CS</v>
      </c>
      <c r="Y126" s="8"/>
      <c r="Z126" s="2"/>
      <c r="AA126" s="2"/>
      <c r="AB126" s="2"/>
      <c r="AC126" s="8"/>
      <c r="AD126" s="8"/>
    </row>
    <row r="127" ht="12.75" customHeight="1">
      <c r="A127" s="155">
        <v>35102.0</v>
      </c>
      <c r="B127" s="155"/>
      <c r="C127" s="156">
        <f t="shared" si="57"/>
        <v>0</v>
      </c>
      <c r="D127" s="155"/>
      <c r="E127" s="157"/>
      <c r="F127" s="156">
        <f>IF(ISERROR(VLOOKUP($X127,ess_bud,F$6,FALSE)),0,VLOOKUP($X127,ess_bud,F$6,FALSE))</f>
        <v>0</v>
      </c>
      <c r="G127" s="155"/>
      <c r="H127" s="155"/>
      <c r="I127" s="158"/>
      <c r="J127" s="156">
        <f t="shared" si="58"/>
        <v>0</v>
      </c>
      <c r="K127" s="155"/>
      <c r="L127" s="155"/>
      <c r="M127" s="155"/>
      <c r="N127" s="156">
        <f t="shared" si="59"/>
        <v>0</v>
      </c>
      <c r="O127" s="155"/>
      <c r="P127" s="157"/>
      <c r="Q127" s="156">
        <f>IF(ISERROR(VLOOKUP($X127,ess_bud,Q$6,FALSE)),0,VLOOKUP($X127,ess_bud,Q$6,FALSE))</f>
        <v>0</v>
      </c>
      <c r="R127" s="155"/>
      <c r="S127" s="155"/>
      <c r="T127" s="158"/>
      <c r="U127" s="156">
        <f t="shared" si="60"/>
        <v>0</v>
      </c>
      <c r="V127" s="155"/>
      <c r="W127" s="155"/>
      <c r="X127" s="159" t="str">
        <f t="shared" si="61"/>
        <v>35102CS</v>
      </c>
      <c r="Y127" s="8"/>
      <c r="Z127" s="2"/>
      <c r="AA127" s="2"/>
      <c r="AB127" s="2"/>
      <c r="AC127" s="8"/>
      <c r="AD127" s="8"/>
    </row>
    <row r="128" ht="12.75" customHeight="1">
      <c r="A128" s="155">
        <v>35103.0</v>
      </c>
      <c r="B128" s="155"/>
      <c r="C128" s="156">
        <f t="shared" si="57"/>
        <v>0</v>
      </c>
      <c r="D128" s="155"/>
      <c r="E128" s="157"/>
      <c r="F128" s="156">
        <f>IF(ISERROR(VLOOKUP($X128,ess_bud,F$6,FALSE)),0,VLOOKUP($X128,ess_bud,F$6,FALSE))</f>
        <v>0</v>
      </c>
      <c r="G128" s="155"/>
      <c r="H128" s="155"/>
      <c r="I128" s="158"/>
      <c r="J128" s="156">
        <f t="shared" si="58"/>
        <v>0</v>
      </c>
      <c r="K128" s="155"/>
      <c r="L128" s="155"/>
      <c r="M128" s="155"/>
      <c r="N128" s="156">
        <f t="shared" si="59"/>
        <v>0</v>
      </c>
      <c r="O128" s="155"/>
      <c r="P128" s="157"/>
      <c r="Q128" s="156">
        <f>IF(ISERROR(VLOOKUP($X128,ess_bud,Q$6,FALSE)),0,VLOOKUP($X128,ess_bud,Q$6,FALSE))</f>
        <v>0</v>
      </c>
      <c r="R128" s="155"/>
      <c r="S128" s="155"/>
      <c r="T128" s="158"/>
      <c r="U128" s="156">
        <f t="shared" si="60"/>
        <v>0</v>
      </c>
      <c r="V128" s="155"/>
      <c r="W128" s="155"/>
      <c r="X128" s="159" t="str">
        <f t="shared" si="61"/>
        <v>35103CS</v>
      </c>
      <c r="Y128" s="8"/>
      <c r="Z128" s="2"/>
      <c r="AA128" s="2"/>
      <c r="AB128" s="2"/>
      <c r="AC128" s="8"/>
      <c r="AD128" s="8"/>
    </row>
    <row r="129" ht="12.75" customHeight="1">
      <c r="A129" s="2"/>
      <c r="B129" s="2"/>
      <c r="C129" s="35"/>
      <c r="D129" s="2"/>
      <c r="E129" s="29"/>
      <c r="F129" s="35"/>
      <c r="G129" s="2"/>
      <c r="H129" s="2"/>
      <c r="I129" s="37"/>
      <c r="J129" s="35"/>
      <c r="K129" s="2"/>
      <c r="L129" s="2"/>
      <c r="M129" s="2"/>
      <c r="N129" s="35"/>
      <c r="P129" s="29"/>
      <c r="Q129" s="35"/>
      <c r="T129" s="37"/>
      <c r="U129" s="35"/>
      <c r="V129" s="2"/>
      <c r="W129" s="2"/>
      <c r="X129" s="8"/>
      <c r="Y129" s="8"/>
      <c r="Z129" s="2"/>
      <c r="AA129" s="2"/>
      <c r="AB129" s="2"/>
      <c r="AC129" s="8"/>
      <c r="AD129" s="8"/>
    </row>
    <row r="130" ht="12.75" customHeight="1">
      <c r="A130" s="160" t="s">
        <v>199</v>
      </c>
      <c r="B130" s="2"/>
      <c r="C130" s="35"/>
      <c r="D130" s="2"/>
      <c r="E130" s="29"/>
      <c r="F130" s="35"/>
      <c r="G130" s="2"/>
      <c r="H130" s="2"/>
      <c r="I130" s="37"/>
      <c r="J130" s="35"/>
      <c r="K130" s="2"/>
      <c r="L130" s="2"/>
      <c r="M130" s="2"/>
      <c r="N130" s="35"/>
      <c r="P130" s="29"/>
      <c r="Q130" s="35"/>
      <c r="T130" s="37"/>
      <c r="U130" s="35"/>
      <c r="V130" s="2"/>
      <c r="W130" s="2"/>
      <c r="X130" s="8"/>
      <c r="Y130" s="8"/>
      <c r="Z130" s="2"/>
      <c r="AA130" s="2"/>
      <c r="AB130" s="2"/>
      <c r="AC130" s="8"/>
      <c r="AD130" s="8"/>
    </row>
    <row r="131" ht="12.75" customHeight="1">
      <c r="A131" s="161">
        <v>41103.0</v>
      </c>
      <c r="B131" s="162"/>
      <c r="C131" s="163">
        <f t="shared" ref="C131:C134" si="62">IF(ISERROR(VLOOKUP($X131,ess_act,C$6,FALSE)),0,VLOOKUP($X131,ess_act,C$6,FALSE))</f>
        <v>0</v>
      </c>
      <c r="D131" s="162"/>
      <c r="E131" s="164"/>
      <c r="F131" s="163">
        <f>IF(ISERROR(VLOOKUP($X131,ess_bud,F$6,FALSE)),0,VLOOKUP($X131,ess_bud,F$6,FALSE))</f>
        <v>0</v>
      </c>
      <c r="G131" s="162"/>
      <c r="H131" s="162"/>
      <c r="I131" s="165"/>
      <c r="J131" s="163">
        <f t="shared" ref="J131:J134" si="63">IF(ISERROR(VLOOKUP($X131,ess_act,J$6,FALSE)),0,VLOOKUP($X131,ess_act,J$6,FALSE))</f>
        <v>0</v>
      </c>
      <c r="K131" s="162"/>
      <c r="L131" s="162"/>
      <c r="M131" s="162"/>
      <c r="N131" s="163">
        <f t="shared" ref="N131:N134" si="64">IF(ISERROR(VLOOKUP($X131,ess_act,N$6,FALSE)),0,VLOOKUP($X131,ess_act,N$6,FALSE))</f>
        <v>0</v>
      </c>
      <c r="O131" s="162"/>
      <c r="P131" s="164"/>
      <c r="Q131" s="163">
        <f>IF(ISERROR(VLOOKUP($X131,ess_bud,Q$6,FALSE)),0,VLOOKUP($X131,ess_bud,Q$6,FALSE))</f>
        <v>0</v>
      </c>
      <c r="R131" s="162"/>
      <c r="S131" s="162"/>
      <c r="T131" s="165"/>
      <c r="U131" s="163">
        <f t="shared" ref="U131:U134" si="65">IF(ISERROR(VLOOKUP($X131,ess_act,U$6,FALSE)),0,VLOOKUP($X131,ess_act,U$6,FALSE))</f>
        <v>0</v>
      </c>
      <c r="V131" s="162"/>
      <c r="W131" s="162"/>
      <c r="X131" s="166" t="str">
        <f t="shared" ref="X131:X134" si="66">A131&amp;$X$6</f>
        <v>41103CS</v>
      </c>
      <c r="Y131" s="8"/>
      <c r="Z131" s="2"/>
      <c r="AA131" s="2"/>
      <c r="AB131" s="2"/>
      <c r="AC131" s="8"/>
      <c r="AD131" s="8"/>
    </row>
    <row r="132" ht="12.75" customHeight="1">
      <c r="A132" s="167">
        <v>41104.0</v>
      </c>
      <c r="B132" s="160"/>
      <c r="C132" s="168">
        <f t="shared" si="62"/>
        <v>0</v>
      </c>
      <c r="D132" s="160"/>
      <c r="E132" s="169"/>
      <c r="F132" s="168">
        <f>IF(ISERROR(VLOOKUP($X132,ess_bud,F$6,FALSE)),0,VLOOKUP($X132,ess_bud,F$6,FALSE))</f>
        <v>0</v>
      </c>
      <c r="G132" s="160"/>
      <c r="H132" s="160"/>
      <c r="I132" s="170"/>
      <c r="J132" s="168">
        <f t="shared" si="63"/>
        <v>0</v>
      </c>
      <c r="K132" s="160"/>
      <c r="L132" s="160"/>
      <c r="M132" s="160"/>
      <c r="N132" s="168">
        <f t="shared" si="64"/>
        <v>0</v>
      </c>
      <c r="O132" s="160"/>
      <c r="P132" s="169"/>
      <c r="Q132" s="168">
        <f>IF(ISERROR(VLOOKUP($X132,ess_bud,Q$6,FALSE)),0,VLOOKUP($X132,ess_bud,Q$6,FALSE))</f>
        <v>0</v>
      </c>
      <c r="R132" s="160"/>
      <c r="S132" s="160"/>
      <c r="T132" s="170"/>
      <c r="U132" s="168">
        <f t="shared" si="65"/>
        <v>0</v>
      </c>
      <c r="V132" s="160"/>
      <c r="W132" s="160"/>
      <c r="X132" s="171" t="str">
        <f t="shared" si="66"/>
        <v>41104CS</v>
      </c>
      <c r="Y132" s="8"/>
      <c r="Z132" s="2"/>
      <c r="AA132" s="2"/>
      <c r="AB132" s="2"/>
      <c r="AC132" s="8"/>
      <c r="AD132" s="8"/>
    </row>
    <row r="133" ht="12.75" customHeight="1">
      <c r="A133" s="167">
        <v>41102.0</v>
      </c>
      <c r="B133" s="160"/>
      <c r="C133" s="168">
        <f t="shared" si="62"/>
        <v>0</v>
      </c>
      <c r="D133" s="160"/>
      <c r="E133" s="169"/>
      <c r="F133" s="168">
        <f>IF(ISERROR(VLOOKUP($X133,ess_bud,F$6,FALSE)),0,VLOOKUP($X133,ess_bud,F$6,FALSE))</f>
        <v>0</v>
      </c>
      <c r="G133" s="160"/>
      <c r="H133" s="160"/>
      <c r="I133" s="170"/>
      <c r="J133" s="168">
        <f t="shared" si="63"/>
        <v>0</v>
      </c>
      <c r="K133" s="160"/>
      <c r="L133" s="160"/>
      <c r="M133" s="160"/>
      <c r="N133" s="168">
        <f t="shared" si="64"/>
        <v>0</v>
      </c>
      <c r="O133" s="160"/>
      <c r="P133" s="169"/>
      <c r="Q133" s="168">
        <f>IF(ISERROR(VLOOKUP($X133,ess_bud,Q$6,FALSE)),0,VLOOKUP($X133,ess_bud,Q$6,FALSE))</f>
        <v>0</v>
      </c>
      <c r="R133" s="160"/>
      <c r="S133" s="160"/>
      <c r="T133" s="170"/>
      <c r="U133" s="168">
        <f t="shared" si="65"/>
        <v>0</v>
      </c>
      <c r="V133" s="160"/>
      <c r="W133" s="160"/>
      <c r="X133" s="171" t="str">
        <f t="shared" si="66"/>
        <v>41102CS</v>
      </c>
      <c r="Y133" s="8"/>
      <c r="Z133" s="2"/>
      <c r="AA133" s="2"/>
      <c r="AB133" s="2"/>
      <c r="AC133" s="8"/>
      <c r="AD133" s="8"/>
    </row>
    <row r="134" ht="12.75" customHeight="1">
      <c r="A134" s="167">
        <v>42100.0</v>
      </c>
      <c r="B134" s="160"/>
      <c r="C134" s="168">
        <f t="shared" si="62"/>
        <v>0</v>
      </c>
      <c r="D134" s="160"/>
      <c r="E134" s="169"/>
      <c r="F134" s="168">
        <f>IF(ISERROR(VLOOKUP($X134,ess_bud,F$6,FALSE)),0,VLOOKUP($X134,ess_bud,F$6,FALSE))</f>
        <v>0</v>
      </c>
      <c r="G134" s="160"/>
      <c r="H134" s="160"/>
      <c r="I134" s="170"/>
      <c r="J134" s="168">
        <f t="shared" si="63"/>
        <v>0</v>
      </c>
      <c r="K134" s="160"/>
      <c r="L134" s="160"/>
      <c r="M134" s="160"/>
      <c r="N134" s="168">
        <f t="shared" si="64"/>
        <v>0</v>
      </c>
      <c r="O134" s="160"/>
      <c r="P134" s="169"/>
      <c r="Q134" s="168">
        <f>IF(ISERROR(VLOOKUP($X134,ess_bud,Q$6,FALSE)),0,VLOOKUP($X134,ess_bud,Q$6,FALSE))</f>
        <v>0</v>
      </c>
      <c r="R134" s="160"/>
      <c r="S134" s="160"/>
      <c r="T134" s="170"/>
      <c r="U134" s="168">
        <f t="shared" si="65"/>
        <v>0</v>
      </c>
      <c r="V134" s="160"/>
      <c r="W134" s="160"/>
      <c r="X134" s="171" t="str">
        <f t="shared" si="66"/>
        <v>42100CS</v>
      </c>
      <c r="Y134" s="8"/>
      <c r="Z134" s="2"/>
      <c r="AA134" s="2"/>
      <c r="AB134" s="2"/>
      <c r="AC134" s="8"/>
      <c r="AD134" s="8"/>
    </row>
    <row r="135" ht="12.75" customHeight="1">
      <c r="A135" s="167"/>
      <c r="B135" s="160"/>
      <c r="C135" s="168"/>
      <c r="D135" s="160"/>
      <c r="E135" s="169"/>
      <c r="F135" s="168"/>
      <c r="G135" s="160"/>
      <c r="H135" s="160"/>
      <c r="I135" s="170"/>
      <c r="J135" s="168"/>
      <c r="K135" s="160"/>
      <c r="L135" s="160"/>
      <c r="M135" s="160"/>
      <c r="N135" s="168"/>
      <c r="O135" s="160"/>
      <c r="P135" s="169"/>
      <c r="Q135" s="168"/>
      <c r="R135" s="160"/>
      <c r="S135" s="160"/>
      <c r="T135" s="170"/>
      <c r="U135" s="168"/>
      <c r="V135" s="160"/>
      <c r="W135" s="160"/>
      <c r="X135" s="171"/>
      <c r="Y135" s="8"/>
      <c r="Z135" s="2"/>
      <c r="AA135" s="2"/>
      <c r="AB135" s="2"/>
      <c r="AC135" s="8"/>
      <c r="AD135" s="8"/>
    </row>
    <row r="136" ht="12.75" customHeight="1">
      <c r="A136" s="167">
        <v>43100.0</v>
      </c>
      <c r="B136" s="160"/>
      <c r="C136" s="168">
        <f t="shared" ref="C136:C137" si="67">IF(ISERROR(VLOOKUP($X136,ess_act,C$6,FALSE)),0,VLOOKUP($X136,ess_act,C$6,FALSE))</f>
        <v>0</v>
      </c>
      <c r="D136" s="160"/>
      <c r="E136" s="169"/>
      <c r="F136" s="168">
        <f>IF(ISERROR(VLOOKUP($X136,ess_bud,F$6,FALSE)),0,VLOOKUP($X136,ess_bud,F$6,FALSE))</f>
        <v>0</v>
      </c>
      <c r="G136" s="160"/>
      <c r="H136" s="160"/>
      <c r="I136" s="170"/>
      <c r="J136" s="168">
        <f t="shared" ref="J136:J137" si="68">IF(ISERROR(VLOOKUP($X136,ess_act,J$6,FALSE)),0,VLOOKUP($X136,ess_act,J$6,FALSE))</f>
        <v>0</v>
      </c>
      <c r="K136" s="160"/>
      <c r="L136" s="160"/>
      <c r="M136" s="160"/>
      <c r="N136" s="168">
        <f t="shared" ref="N136:N137" si="69">IF(ISERROR(VLOOKUP($X136,ess_act,N$6,FALSE)),0,VLOOKUP($X136,ess_act,N$6,FALSE))</f>
        <v>0</v>
      </c>
      <c r="O136" s="160"/>
      <c r="P136" s="169"/>
      <c r="Q136" s="168">
        <f>IF(ISERROR(VLOOKUP($X136,ess_bud,Q$6,FALSE)),0,VLOOKUP($X136,ess_bud,Q$6,FALSE))</f>
        <v>0</v>
      </c>
      <c r="R136" s="160"/>
      <c r="S136" s="160"/>
      <c r="T136" s="170"/>
      <c r="U136" s="168">
        <f t="shared" ref="U136:U137" si="70">IF(ISERROR(VLOOKUP($X136,ess_act,U$6,FALSE)),0,VLOOKUP($X136,ess_act,U$6,FALSE))</f>
        <v>0</v>
      </c>
      <c r="V136" s="160"/>
      <c r="W136" s="160"/>
      <c r="X136" s="171" t="str">
        <f t="shared" ref="X136:X137" si="71">A136&amp;$X$6</f>
        <v>43100CS</v>
      </c>
      <c r="Y136" s="8"/>
      <c r="Z136" s="2"/>
      <c r="AA136" s="2"/>
      <c r="AB136" s="2"/>
      <c r="AC136" s="8"/>
      <c r="AD136" s="8"/>
    </row>
    <row r="137" ht="12.75" customHeight="1">
      <c r="A137" s="172">
        <v>43600.0</v>
      </c>
      <c r="B137" s="173"/>
      <c r="C137" s="174">
        <f t="shared" si="67"/>
        <v>0</v>
      </c>
      <c r="D137" s="173"/>
      <c r="E137" s="175"/>
      <c r="F137" s="174">
        <f>IF(ISERROR(VLOOKUP($X137,ess_bud,F$6,FALSE)),0,VLOOKUP($X137,ess_bud,F$6,FALSE))</f>
        <v>0</v>
      </c>
      <c r="G137" s="173"/>
      <c r="H137" s="173"/>
      <c r="I137" s="176"/>
      <c r="J137" s="174">
        <f t="shared" si="68"/>
        <v>0</v>
      </c>
      <c r="K137" s="173"/>
      <c r="L137" s="173"/>
      <c r="M137" s="173"/>
      <c r="N137" s="174">
        <f t="shared" si="69"/>
        <v>0</v>
      </c>
      <c r="O137" s="173"/>
      <c r="P137" s="175"/>
      <c r="Q137" s="174">
        <f>IF(ISERROR(VLOOKUP($X137,ess_bud,Q$6,FALSE)),0,VLOOKUP($X137,ess_bud,Q$6,FALSE))</f>
        <v>0</v>
      </c>
      <c r="R137" s="173"/>
      <c r="S137" s="173"/>
      <c r="T137" s="176"/>
      <c r="U137" s="174">
        <f t="shared" si="70"/>
        <v>0</v>
      </c>
      <c r="V137" s="173"/>
      <c r="W137" s="173"/>
      <c r="X137" s="177" t="str">
        <f t="shared" si="71"/>
        <v>43600CS</v>
      </c>
      <c r="Y137" s="8"/>
      <c r="Z137" s="2"/>
      <c r="AA137" s="2"/>
      <c r="AB137" s="2"/>
      <c r="AC137" s="8"/>
      <c r="AD137" s="8"/>
    </row>
    <row r="138" ht="12.75" customHeight="1">
      <c r="A138" s="2" t="s">
        <v>200</v>
      </c>
      <c r="B138" s="2"/>
      <c r="C138" s="35"/>
      <c r="D138" s="2"/>
      <c r="E138" s="29"/>
      <c r="F138" s="35"/>
      <c r="G138" s="2"/>
      <c r="H138" s="2"/>
      <c r="I138" s="37"/>
      <c r="J138" s="35"/>
      <c r="K138" s="2"/>
      <c r="L138" s="2"/>
      <c r="M138" s="2"/>
      <c r="N138" s="35"/>
      <c r="O138" s="2"/>
      <c r="P138" s="29"/>
      <c r="Q138" s="35"/>
      <c r="R138" s="2"/>
      <c r="S138" s="2"/>
      <c r="T138" s="37"/>
      <c r="U138" s="35"/>
      <c r="V138" s="2"/>
      <c r="W138" s="2"/>
      <c r="X138" s="8"/>
      <c r="Y138" s="8"/>
      <c r="Z138" s="2"/>
      <c r="AA138" s="2"/>
      <c r="AB138" s="2"/>
      <c r="AC138" s="8"/>
      <c r="AD138" s="8"/>
    </row>
    <row r="139" ht="12.75" customHeight="1">
      <c r="A139" s="2">
        <v>43101.0</v>
      </c>
      <c r="B139" s="2"/>
      <c r="C139" s="35">
        <f t="shared" ref="C139:C144" si="72">IF(ISERROR(VLOOKUP($X139,ess_act,C$6,FALSE)),0,VLOOKUP($X139,ess_act,C$6,FALSE))</f>
        <v>0</v>
      </c>
      <c r="D139" s="2"/>
      <c r="E139" s="29"/>
      <c r="F139" s="35">
        <f>IF(ISERROR(VLOOKUP($X139,ess_bud,F$6,FALSE)),0,VLOOKUP($X139,ess_bud,F$6,FALSE))</f>
        <v>0</v>
      </c>
      <c r="G139" s="2"/>
      <c r="H139" s="2"/>
      <c r="I139" s="37"/>
      <c r="J139" s="35">
        <f t="shared" ref="J139:J144" si="73">IF(ISERROR(VLOOKUP($X139,ess_act,J$6,FALSE)),0,VLOOKUP($X139,ess_act,J$6,FALSE))</f>
        <v>0</v>
      </c>
      <c r="K139" s="2"/>
      <c r="L139" s="2"/>
      <c r="M139" s="2"/>
      <c r="N139" s="35">
        <f t="shared" ref="N139:N144" si="74">IF(ISERROR(VLOOKUP($X139,ess_act,N$6,FALSE)),0,VLOOKUP($X139,ess_act,N$6,FALSE))</f>
        <v>0</v>
      </c>
      <c r="P139" s="29"/>
      <c r="Q139" s="35">
        <f>IF(ISERROR(VLOOKUP($X139,ess_bud,Q$6,FALSE)),0,VLOOKUP($X139,ess_bud,Q$6,FALSE))</f>
        <v>0</v>
      </c>
      <c r="T139" s="37"/>
      <c r="U139" s="35">
        <f t="shared" ref="U139:U144" si="75">IF(ISERROR(VLOOKUP($X139,ess_act,U$6,FALSE)),0,VLOOKUP($X139,ess_act,U$6,FALSE))</f>
        <v>0</v>
      </c>
      <c r="V139" s="2"/>
      <c r="W139" s="2"/>
      <c r="X139" s="8" t="str">
        <f t="shared" ref="X139:X144" si="76">A139&amp;$X$6</f>
        <v>43101CS</v>
      </c>
      <c r="Y139" s="8"/>
      <c r="Z139" s="2"/>
      <c r="AA139" s="2"/>
      <c r="AB139" s="2"/>
      <c r="AC139" s="8"/>
      <c r="AD139" s="8"/>
    </row>
    <row r="140" ht="12.75" customHeight="1">
      <c r="A140" s="2">
        <v>43601.0</v>
      </c>
      <c r="B140" s="2"/>
      <c r="C140" s="35">
        <f t="shared" si="72"/>
        <v>0</v>
      </c>
      <c r="D140" s="2"/>
      <c r="E140" s="29"/>
      <c r="F140" s="35">
        <f>IF(ISERROR(VLOOKUP($X140,ess_bud,F$6,FALSE)),0,VLOOKUP($X140,ess_bud,F$6,FALSE))</f>
        <v>0</v>
      </c>
      <c r="G140" s="2"/>
      <c r="H140" s="2"/>
      <c r="I140" s="37"/>
      <c r="J140" s="35">
        <f t="shared" si="73"/>
        <v>0</v>
      </c>
      <c r="K140" s="2"/>
      <c r="L140" s="2"/>
      <c r="M140" s="2"/>
      <c r="N140" s="35">
        <f t="shared" si="74"/>
        <v>0</v>
      </c>
      <c r="P140" s="29"/>
      <c r="Q140" s="35">
        <f>IF(ISERROR(VLOOKUP($X140,ess_bud,Q$6,FALSE)),0,VLOOKUP($X140,ess_bud,Q$6,FALSE))</f>
        <v>0</v>
      </c>
      <c r="T140" s="37"/>
      <c r="U140" s="35">
        <f t="shared" si="75"/>
        <v>0</v>
      </c>
      <c r="V140" s="2"/>
      <c r="W140" s="2"/>
      <c r="X140" s="8" t="str">
        <f t="shared" si="76"/>
        <v>43601CS</v>
      </c>
      <c r="Y140" s="8"/>
      <c r="Z140" s="2"/>
      <c r="AA140" s="2"/>
      <c r="AB140" s="2"/>
      <c r="AC140" s="8"/>
      <c r="AD140" s="8"/>
    </row>
    <row r="141" ht="12.75" customHeight="1">
      <c r="A141" s="2">
        <v>44101.0</v>
      </c>
      <c r="B141" s="2"/>
      <c r="C141" s="35">
        <f t="shared" si="72"/>
        <v>0</v>
      </c>
      <c r="D141" s="2"/>
      <c r="E141" s="29"/>
      <c r="F141" s="35">
        <f>IF(ISERROR(VLOOKUP($X141,ess_bud,F$6,FALSE)),0,VLOOKUP($X141,ess_bud,F$6,FALSE))</f>
        <v>0</v>
      </c>
      <c r="G141" s="2"/>
      <c r="H141" s="2"/>
      <c r="I141" s="37"/>
      <c r="J141" s="35">
        <f t="shared" si="73"/>
        <v>0</v>
      </c>
      <c r="K141" s="2"/>
      <c r="L141" s="2"/>
      <c r="M141" s="2"/>
      <c r="N141" s="35">
        <f t="shared" si="74"/>
        <v>0</v>
      </c>
      <c r="P141" s="29"/>
      <c r="Q141" s="35">
        <f>IF(ISERROR(VLOOKUP($X141,ess_bud,Q$6,FALSE)),0,VLOOKUP($X141,ess_bud,Q$6,FALSE))</f>
        <v>0</v>
      </c>
      <c r="T141" s="37"/>
      <c r="U141" s="35">
        <f t="shared" si="75"/>
        <v>0</v>
      </c>
      <c r="V141" s="2"/>
      <c r="W141" s="2"/>
      <c r="X141" s="8" t="str">
        <f t="shared" si="76"/>
        <v>44101CS</v>
      </c>
      <c r="Y141" s="8"/>
      <c r="Z141" s="2"/>
      <c r="AA141" s="2"/>
      <c r="AB141" s="2"/>
      <c r="AC141" s="8"/>
      <c r="AD141" s="8"/>
    </row>
    <row r="142" ht="12.75" customHeight="1">
      <c r="A142" s="2">
        <v>44400.0</v>
      </c>
      <c r="B142" s="2"/>
      <c r="C142" s="35">
        <f t="shared" si="72"/>
        <v>0</v>
      </c>
      <c r="D142" s="2"/>
      <c r="E142" s="29"/>
      <c r="F142" s="35">
        <f>IF(ISERROR(VLOOKUP($X142,ess_bud,F$6,FALSE)),0,VLOOKUP($X142,ess_bud,F$6,FALSE))</f>
        <v>0</v>
      </c>
      <c r="G142" s="2"/>
      <c r="H142" s="2"/>
      <c r="I142" s="37"/>
      <c r="J142" s="35">
        <f t="shared" si="73"/>
        <v>0</v>
      </c>
      <c r="K142" s="2"/>
      <c r="L142" s="2"/>
      <c r="M142" s="2"/>
      <c r="N142" s="35">
        <f t="shared" si="74"/>
        <v>0</v>
      </c>
      <c r="P142" s="29"/>
      <c r="Q142" s="35">
        <f>IF(ISERROR(VLOOKUP($X142,ess_bud,Q$6,FALSE)),0,VLOOKUP($X142,ess_bud,Q$6,FALSE))</f>
        <v>0</v>
      </c>
      <c r="T142" s="37"/>
      <c r="U142" s="35">
        <f t="shared" si="75"/>
        <v>0</v>
      </c>
      <c r="V142" s="2"/>
      <c r="W142" s="2"/>
      <c r="X142" s="8" t="str">
        <f t="shared" si="76"/>
        <v>44400CS</v>
      </c>
      <c r="Y142" s="8"/>
      <c r="Z142" s="2"/>
      <c r="AA142" s="2"/>
      <c r="AB142" s="2"/>
      <c r="AC142" s="8"/>
      <c r="AD142" s="8"/>
    </row>
    <row r="143" ht="12.75" customHeight="1">
      <c r="A143" s="2">
        <v>44401.0</v>
      </c>
      <c r="B143" s="2"/>
      <c r="C143" s="35">
        <f t="shared" si="72"/>
        <v>0</v>
      </c>
      <c r="D143" s="2"/>
      <c r="E143" s="29"/>
      <c r="F143" s="35">
        <f>IF(ISERROR(VLOOKUP($X143,ess_bud,F$6,FALSE)),0,VLOOKUP($X143,ess_bud,F$6,FALSE))</f>
        <v>0</v>
      </c>
      <c r="G143" s="2"/>
      <c r="H143" s="2"/>
      <c r="I143" s="37"/>
      <c r="J143" s="35">
        <f t="shared" si="73"/>
        <v>0</v>
      </c>
      <c r="K143" s="2"/>
      <c r="L143" s="2"/>
      <c r="M143" s="2"/>
      <c r="N143" s="35">
        <f t="shared" si="74"/>
        <v>0</v>
      </c>
      <c r="P143" s="29"/>
      <c r="Q143" s="35">
        <f>IF(ISERROR(VLOOKUP($X143,ess_bud,Q$6,FALSE)),0,VLOOKUP($X143,ess_bud,Q$6,FALSE))</f>
        <v>0</v>
      </c>
      <c r="T143" s="37"/>
      <c r="U143" s="35">
        <f t="shared" si="75"/>
        <v>0</v>
      </c>
      <c r="V143" s="2"/>
      <c r="W143" s="2"/>
      <c r="X143" s="8" t="str">
        <f t="shared" si="76"/>
        <v>44401CS</v>
      </c>
      <c r="Y143" s="8"/>
      <c r="Z143" s="2"/>
      <c r="AA143" s="2"/>
      <c r="AB143" s="2"/>
      <c r="AC143" s="8"/>
      <c r="AD143" s="8"/>
    </row>
    <row r="144" ht="12.75" customHeight="1">
      <c r="A144" s="2">
        <v>44402.0</v>
      </c>
      <c r="B144" s="2"/>
      <c r="C144" s="35">
        <f t="shared" si="72"/>
        <v>0</v>
      </c>
      <c r="D144" s="2"/>
      <c r="E144" s="29"/>
      <c r="F144" s="35">
        <f>IF(ISERROR(VLOOKUP($X144,ess_bud,F$6,FALSE)),0,VLOOKUP($X144,ess_bud,F$6,FALSE))</f>
        <v>0</v>
      </c>
      <c r="G144" s="2"/>
      <c r="H144" s="2"/>
      <c r="I144" s="37"/>
      <c r="J144" s="35">
        <f t="shared" si="73"/>
        <v>0</v>
      </c>
      <c r="K144" s="2"/>
      <c r="L144" s="2"/>
      <c r="M144" s="2"/>
      <c r="N144" s="35">
        <f t="shared" si="74"/>
        <v>0</v>
      </c>
      <c r="P144" s="29"/>
      <c r="Q144" s="35">
        <f>IF(ISERROR(VLOOKUP($X144,ess_bud,Q$6,FALSE)),0,VLOOKUP($X144,ess_bud,Q$6,FALSE))</f>
        <v>0</v>
      </c>
      <c r="T144" s="37"/>
      <c r="U144" s="35">
        <f t="shared" si="75"/>
        <v>0</v>
      </c>
      <c r="V144" s="2"/>
      <c r="W144" s="2"/>
      <c r="X144" s="8" t="str">
        <f t="shared" si="76"/>
        <v>44402CS</v>
      </c>
      <c r="Y144" s="8"/>
      <c r="Z144" s="2"/>
      <c r="AA144" s="2"/>
      <c r="AB144" s="2"/>
      <c r="AC144" s="8"/>
      <c r="AD144" s="8"/>
    </row>
    <row r="145" ht="12.75" customHeight="1">
      <c r="A145" s="2"/>
      <c r="B145" s="2"/>
      <c r="C145" s="35"/>
      <c r="D145" s="2"/>
      <c r="E145" s="29"/>
      <c r="F145" s="35"/>
      <c r="G145" s="2"/>
      <c r="H145" s="2"/>
      <c r="I145" s="37"/>
      <c r="J145" s="35"/>
      <c r="K145" s="2"/>
      <c r="L145" s="2"/>
      <c r="M145" s="2"/>
      <c r="N145" s="35"/>
      <c r="P145" s="29"/>
      <c r="Q145" s="35"/>
      <c r="T145" s="37"/>
      <c r="U145" s="35"/>
      <c r="V145" s="2"/>
      <c r="W145" s="2"/>
      <c r="X145" s="8"/>
      <c r="Y145" s="8"/>
      <c r="Z145" s="2"/>
      <c r="AA145" s="2"/>
      <c r="AB145" s="2"/>
      <c r="AC145" s="8"/>
      <c r="AD145" s="8"/>
    </row>
    <row r="146" ht="12.75" customHeight="1">
      <c r="A146" s="47"/>
      <c r="B146" s="47"/>
      <c r="C146" s="178">
        <f>SUM(C139:C145)</f>
        <v>0</v>
      </c>
      <c r="D146" s="47"/>
      <c r="E146" s="47"/>
      <c r="F146" s="178">
        <f>SUM(F139:F145)</f>
        <v>0</v>
      </c>
      <c r="G146" s="47"/>
      <c r="H146" s="47"/>
      <c r="I146" s="47"/>
      <c r="J146" s="178">
        <f>SUM(J139:J145)</f>
        <v>0</v>
      </c>
      <c r="K146" s="47"/>
      <c r="L146" s="47"/>
      <c r="M146" s="47"/>
      <c r="N146" s="178">
        <f>SUM(N139:N145)</f>
        <v>0</v>
      </c>
      <c r="O146" s="47"/>
      <c r="P146" s="47"/>
      <c r="Q146" s="178">
        <f>SUM(Q139:Q145)</f>
        <v>0</v>
      </c>
      <c r="R146" s="47"/>
      <c r="S146" s="47"/>
      <c r="T146" s="47"/>
      <c r="U146" s="178">
        <f>SUM(U139:U145)</f>
        <v>0</v>
      </c>
      <c r="V146" s="47"/>
      <c r="W146" s="47"/>
      <c r="X146" s="47"/>
      <c r="Y146" s="47"/>
      <c r="Z146" s="47"/>
      <c r="AA146" s="47"/>
      <c r="AB146" s="47"/>
      <c r="AC146" s="8"/>
      <c r="AD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mergeCells count="11">
    <mergeCell ref="C7:L7"/>
    <mergeCell ref="A1:V1"/>
    <mergeCell ref="B2:W2"/>
    <mergeCell ref="A5:V5"/>
    <mergeCell ref="N7:W7"/>
    <mergeCell ref="Q8:S8"/>
    <mergeCell ref="U8:W8"/>
    <mergeCell ref="C8:D8"/>
    <mergeCell ref="F8:H8"/>
    <mergeCell ref="J8:L8"/>
    <mergeCell ref="N8:O8"/>
  </mergeCells>
  <dataValidations>
    <dataValidation type="custom" allowBlank="1" sqref="E4 G10:H10 C13:C18 B19:C19 C20 B21:C21 S36 G38 C22:C40 J13:J40 N13:N40 B44:C44 G54:G55 J44:J64 C45:C66 J66 N44:N66 U66 S67 C68:D76 Q68:R76 B87">
      <formula1>AND(GTE(LEN(B4),MIN((0),(10000))),LTE(LEN(B4),MAX((0),(10000))))</formula1>
    </dataValidation>
  </dataValidations>
  <printOptions horizontalCentered="1" verticalCentered="1"/>
  <pageMargins bottom="0.16" footer="0.0" header="0.0" left="0.7480314960629921" right="0.7480314960629921" top="0.17"/>
  <pageSetup paperSize="9"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pageSetUpPr fitToPage="1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29"/>
    <col customWidth="1" min="3" max="3" width="8.0"/>
    <col customWidth="1" min="4" max="4" width="9.86"/>
    <col customWidth="1" min="5" max="5" width="1.71"/>
    <col customWidth="1" min="6" max="6" width="9.0"/>
    <col customWidth="1" min="7" max="7" width="9.86"/>
    <col customWidth="1" min="8" max="8" width="11.43"/>
    <col customWidth="1" min="9" max="9" width="1.71"/>
    <col customWidth="1" min="10" max="10" width="8.0"/>
    <col customWidth="1" min="11" max="11" width="9.86"/>
    <col customWidth="1" min="12" max="12" width="10.86"/>
    <col customWidth="1" min="13" max="13" width="4.86"/>
    <col customWidth="1" min="14" max="14" width="9.0"/>
    <col customWidth="1" min="15" max="15" width="9.86"/>
    <col customWidth="1" min="16" max="16" width="1.71"/>
    <col customWidth="1" min="17" max="17" width="9.0"/>
    <col customWidth="1" min="18" max="18" width="9.86"/>
    <col customWidth="1" min="19" max="19" width="11.43"/>
    <col customWidth="1" min="20" max="20" width="1.71"/>
    <col customWidth="1" min="21" max="21" width="11.0"/>
    <col customWidth="1" min="22" max="22" width="9.86"/>
    <col customWidth="1" min="23" max="23" width="10.86"/>
    <col customWidth="1" min="24" max="70" width="9.14"/>
  </cols>
  <sheetData>
    <row r="1" ht="12.75" customHeight="1">
      <c r="A1" s="4" t="s">
        <v>105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ht="12.75" customHeight="1">
      <c r="A2" s="24"/>
      <c r="B2" s="4" t="s">
        <v>106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ht="12.75" customHeight="1">
      <c r="A4" s="24"/>
      <c r="B4" s="8" t="str">
        <f>CELL("FILENAME",D9)</f>
        <v>#VALUE!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ht="12.75" customHeight="1">
      <c r="A5" s="3" t="str">
        <f>+'P&amp;L Summary'!A4:V4</f>
        <v/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ht="12.75" customHeight="1">
      <c r="A6" s="14">
        <f>'P&amp;L Summary'!A5</f>
        <v>43221</v>
      </c>
      <c r="B6" s="2"/>
      <c r="C6" s="119">
        <f>$A$6-2006993</f>
        <v>-1963772</v>
      </c>
      <c r="D6" s="2"/>
      <c r="E6" s="8"/>
      <c r="F6" s="119">
        <f>$A$6-2006995</f>
        <v>-1963774</v>
      </c>
      <c r="G6" s="2"/>
      <c r="H6" s="2"/>
      <c r="I6" s="119">
        <f>$A$6-2005980</f>
        <v>-1962759</v>
      </c>
      <c r="J6" s="119">
        <f>$A$6-2006980</f>
        <v>-1963759</v>
      </c>
      <c r="K6" s="2"/>
      <c r="L6" s="2"/>
      <c r="M6" s="2"/>
      <c r="N6" s="2">
        <v>20.0</v>
      </c>
      <c r="O6" s="2"/>
      <c r="P6" s="2"/>
      <c r="Q6" s="2">
        <v>19.0</v>
      </c>
      <c r="R6" s="2"/>
      <c r="S6" s="2"/>
      <c r="T6" s="2"/>
      <c r="U6" s="2">
        <v>33.0</v>
      </c>
      <c r="V6" s="2"/>
      <c r="W6" s="2"/>
      <c r="X6" s="2" t="s">
        <v>108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ht="12.75" customHeight="1">
      <c r="A7" s="2"/>
      <c r="B7" s="8"/>
      <c r="C7" s="120" t="s">
        <v>3</v>
      </c>
      <c r="D7" s="11"/>
      <c r="E7" s="11"/>
      <c r="F7" s="11"/>
      <c r="G7" s="11"/>
      <c r="H7" s="11"/>
      <c r="I7" s="11"/>
      <c r="J7" s="11"/>
      <c r="K7" s="11"/>
      <c r="L7" s="12"/>
      <c r="M7" s="111"/>
      <c r="N7" s="121" t="s">
        <v>4</v>
      </c>
      <c r="O7" s="11"/>
      <c r="P7" s="11"/>
      <c r="Q7" s="11"/>
      <c r="R7" s="11"/>
      <c r="S7" s="11"/>
      <c r="T7" s="11"/>
      <c r="U7" s="11"/>
      <c r="V7" s="11"/>
      <c r="W7" s="1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ht="12.75" customHeight="1">
      <c r="A8" s="2"/>
      <c r="B8" s="8"/>
      <c r="C8" s="19" t="s">
        <v>5</v>
      </c>
      <c r="E8" s="16"/>
      <c r="F8" s="16" t="s">
        <v>6</v>
      </c>
      <c r="I8" s="16"/>
      <c r="J8" s="16" t="s">
        <v>7</v>
      </c>
      <c r="L8" s="122"/>
      <c r="M8" s="111"/>
      <c r="N8" s="19" t="s">
        <v>5</v>
      </c>
      <c r="P8" s="16"/>
      <c r="Q8" s="16" t="s">
        <v>6</v>
      </c>
      <c r="T8" s="16"/>
      <c r="U8" s="16" t="s">
        <v>7</v>
      </c>
      <c r="W8" s="12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ht="12.75" customHeight="1">
      <c r="A9" s="47" t="s">
        <v>108</v>
      </c>
      <c r="B9" s="8"/>
      <c r="C9" s="19" t="s">
        <v>8</v>
      </c>
      <c r="D9" s="20" t="s">
        <v>9</v>
      </c>
      <c r="E9" s="20"/>
      <c r="F9" s="16" t="s">
        <v>8</v>
      </c>
      <c r="G9" s="20" t="s">
        <v>9</v>
      </c>
      <c r="H9" s="20" t="s">
        <v>10</v>
      </c>
      <c r="I9" s="20"/>
      <c r="J9" s="16" t="s">
        <v>8</v>
      </c>
      <c r="K9" s="20" t="s">
        <v>9</v>
      </c>
      <c r="L9" s="112" t="s">
        <v>11</v>
      </c>
      <c r="M9" s="111"/>
      <c r="N9" s="19" t="s">
        <v>8</v>
      </c>
      <c r="O9" s="20" t="s">
        <v>9</v>
      </c>
      <c r="P9" s="20"/>
      <c r="Q9" s="16" t="s">
        <v>8</v>
      </c>
      <c r="R9" s="20" t="s">
        <v>9</v>
      </c>
      <c r="S9" s="20" t="s">
        <v>10</v>
      </c>
      <c r="T9" s="20"/>
      <c r="U9" s="16" t="s">
        <v>8</v>
      </c>
      <c r="V9" s="20" t="s">
        <v>9</v>
      </c>
      <c r="W9" s="112" t="s">
        <v>11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ht="12.75" customHeight="1">
      <c r="A10" s="47" t="s">
        <v>108</v>
      </c>
      <c r="B10" s="8"/>
      <c r="C10" s="109"/>
      <c r="D10" s="110" t="s">
        <v>12</v>
      </c>
      <c r="E10" s="110"/>
      <c r="F10" s="111"/>
      <c r="G10" s="110" t="s">
        <v>12</v>
      </c>
      <c r="H10" s="110" t="s">
        <v>13</v>
      </c>
      <c r="I10" s="110"/>
      <c r="J10" s="111"/>
      <c r="K10" s="110" t="s">
        <v>12</v>
      </c>
      <c r="L10" s="112" t="s">
        <v>14</v>
      </c>
      <c r="M10" s="111"/>
      <c r="N10" s="109"/>
      <c r="O10" s="110" t="s">
        <v>12</v>
      </c>
      <c r="P10" s="110"/>
      <c r="Q10" s="111"/>
      <c r="R10" s="110" t="s">
        <v>12</v>
      </c>
      <c r="S10" s="110" t="s">
        <v>13</v>
      </c>
      <c r="T10" s="110"/>
      <c r="U10" s="111"/>
      <c r="V10" s="110" t="s">
        <v>12</v>
      </c>
      <c r="W10" s="112" t="s">
        <v>14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ht="12.75" customHeight="1">
      <c r="A11" s="123" t="s">
        <v>92</v>
      </c>
      <c r="B11" s="8"/>
      <c r="C11" s="109"/>
      <c r="D11" s="110"/>
      <c r="E11" s="110"/>
      <c r="F11" s="111"/>
      <c r="G11" s="110"/>
      <c r="H11" s="110"/>
      <c r="I11" s="110"/>
      <c r="J11" s="111"/>
      <c r="K11" s="110"/>
      <c r="L11" s="112"/>
      <c r="M11" s="111"/>
      <c r="N11" s="109"/>
      <c r="O11" s="110"/>
      <c r="P11" s="110"/>
      <c r="Q11" s="111"/>
      <c r="R11" s="110"/>
      <c r="S11" s="110"/>
      <c r="T11" s="110"/>
      <c r="U11" s="111"/>
      <c r="V11" s="110"/>
      <c r="W11" s="11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ht="12.75" customHeight="1">
      <c r="A12" s="47" t="s">
        <v>93</v>
      </c>
      <c r="B12" s="24" t="s">
        <v>78</v>
      </c>
      <c r="C12" s="113"/>
      <c r="D12" s="114"/>
      <c r="E12" s="114"/>
      <c r="F12" s="115"/>
      <c r="G12" s="114"/>
      <c r="H12" s="114"/>
      <c r="I12" s="114"/>
      <c r="J12" s="115"/>
      <c r="K12" s="114"/>
      <c r="L12" s="116"/>
      <c r="M12" s="115"/>
      <c r="N12" s="113"/>
      <c r="O12" s="114"/>
      <c r="P12" s="114"/>
      <c r="Q12" s="115"/>
      <c r="R12" s="114"/>
      <c r="S12" s="114"/>
      <c r="T12" s="114"/>
      <c r="U12" s="115"/>
      <c r="V12" s="114"/>
      <c r="W12" s="116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ht="12.75" customHeight="1">
      <c r="A13" s="124">
        <v>42200.0</v>
      </c>
      <c r="B13" s="8" t="s">
        <v>79</v>
      </c>
      <c r="C13" s="125">
        <f t="shared" ref="C13:C40" si="1">IF(ISERROR(VLOOKUP($X13,ess_act,C$6,FALSE)),0,VLOOKUP($X13,ess_act,C$6,FALSE))+IF(ISERROR(VLOOKUP($Z13,ess_act,C$6,FALSE)),0,VLOOKUP($Z13,ess_act,C$6,FALSE))+IF(ISERROR(VLOOKUP($Y13,ess_act,C$6,FALSE)),0,VLOOKUP($Y13,ess_act,C$6,FALSE))+IF(ISERROR(VLOOKUP($AA13,ess_act,C$6,FALSE)),0,VLOOKUP($AA13,ess_act,C$6,FALSE))</f>
        <v>0</v>
      </c>
      <c r="D13" s="114">
        <f>+C13/'P&amp;L Summary'!B$21</f>
        <v>0</v>
      </c>
      <c r="E13" s="114"/>
      <c r="F13" s="118">
        <f>IF(ISERROR(VLOOKUP($X13,ess_bud,F$6,FALSE)),0,VLOOKUP($X13,ess_bud,F$6,FALSE))+IF(ISERROR(VLOOKUP($Z13,ess_bud,F$6,FALSE)),0,VLOOKUP($Z13,ess_bud,F$6,FALSE))+IF(ISERROR(VLOOKUP($Y13,ess_bud,F$6,FALSE)),0,VLOOKUP($Y13,ess_bud,F$6,FALSE))+IF(ISERROR(VLOOKUP($AA13,ess_bud,F$6,FALSE)),0,VLOOKUP($AA13,ess_bud,F$6,FALSE))</f>
        <v>0</v>
      </c>
      <c r="G13" s="114">
        <f>+F13/'P&amp;L Summary'!E$21</f>
        <v>0</v>
      </c>
      <c r="H13" s="114">
        <f t="shared" ref="H13:H15" si="2">IF(F13=0,0,+(C13-F13)/F13)</f>
        <v>0</v>
      </c>
      <c r="I13" s="114"/>
      <c r="J13" s="118">
        <f t="shared" ref="J13:J40" si="3">IF(ISERROR(VLOOKUP($X13,ess_act,J$6,FALSE)),0,VLOOKUP($X13,ess_act,J$6,FALSE))+IF(ISERROR(VLOOKUP($Z13,ess_act,J$6,FALSE)),0,VLOOKUP($Z13,ess_act,J$6,FALSE))+IF(ISERROR(VLOOKUP($Y13,ess_act,J$6,FALSE)),0,VLOOKUP($Y13,ess_act,J$6,FALSE))+IF(ISERROR(VLOOKUP($AA13,ess_act,J$6,FALSE)),0,VLOOKUP($AA13,ess_act,J$6,FALSE))</f>
        <v>0</v>
      </c>
      <c r="K13" s="114">
        <f>+J13/'P&amp;L Summary'!I$21</f>
        <v>0</v>
      </c>
      <c r="L13" s="116">
        <f t="shared" ref="L13:L15" si="4">IF(J13=0,0,+(C13-J13)/J13)</f>
        <v>0</v>
      </c>
      <c r="M13" s="115"/>
      <c r="N13" s="125">
        <f t="shared" ref="N13:N40" si="5">IF(ISERROR(VLOOKUP($X13,ess_act,N$6,FALSE)),0,VLOOKUP($X13,ess_act,N$6,FALSE))+IF(ISERROR(VLOOKUP($Z13,ess_act,N$6,FALSE)),0,VLOOKUP($Z13,ess_act,N$6,FALSE))+IF(ISERROR(VLOOKUP($Y13,ess_act,N$6,FALSE)),0,VLOOKUP($Y13,ess_act,N$6,FALSE))+IF(ISERROR(VLOOKUP($AA13,ess_act,N$6,FALSE)),0,VLOOKUP($AA13,ess_act,N$6,FALSE))</f>
        <v>0</v>
      </c>
      <c r="O13" s="114">
        <f>+N13/'P&amp;L Summary'!M$21</f>
        <v>0</v>
      </c>
      <c r="P13" s="114"/>
      <c r="Q13" s="74">
        <f>IF(ISERROR(VLOOKUP($X13,ess_bud,Q$6,FALSE)),0,VLOOKUP($X13,ess_bud,Q$6,FALSE))+IF(ISERROR(VLOOKUP($Z13,ess_bud,Q$6,FALSE)),0,VLOOKUP($Z13,ess_bud,Q$6,FALSE))+IF(ISERROR(VLOOKUP($Y13,ess_bud,Q$6,FALSE)),0,VLOOKUP($Y13,ess_bud,Q$6,FALSE))+IF(ISERROR(VLOOKUP($AA13,ess_bud,Q$6,FALSE)),0,VLOOKUP($AA13,ess_bud,Q$6,FALSE))</f>
        <v>636</v>
      </c>
      <c r="R13" s="114">
        <f>+Q13/'P&amp;L Summary'!P$21</f>
        <v>0.0003003176</v>
      </c>
      <c r="S13" s="114">
        <f t="shared" ref="S13:S15" si="6">+IF(Q13=0,0,(N13-Q13)/Q13)</f>
        <v>-1</v>
      </c>
      <c r="T13" s="114"/>
      <c r="U13" s="126">
        <f t="shared" ref="U13:U40" si="7">IF(ISERROR(VLOOKUP($X13,ess_act,U$6,FALSE)),0,VLOOKUP($X13,ess_act,U$6,FALSE))+IF(ISERROR(VLOOKUP($Z13,ess_act,U$6,FALSE)),0,VLOOKUP($Z13,ess_act,U$6,FALSE))+IF(ISERROR(VLOOKUP($Y13,ess_act,U$6,FALSE)),0,VLOOKUP($Y13,ess_act,U$6,FALSE))+IF(ISERROR(VLOOKUP($AA13,ess_act,U$6,FALSE)),0,VLOOKUP($AA13,ess_act,U$6,FALSE))</f>
        <v>0</v>
      </c>
      <c r="V13" s="114">
        <f>+U13/'P&amp;L Summary'!T$21</f>
        <v>0</v>
      </c>
      <c r="W13" s="116">
        <f t="shared" ref="W13:W24" si="8">+IF(U13=0,0,(N13-U13)/U13)</f>
        <v>0</v>
      </c>
      <c r="X13" s="2" t="str">
        <f t="shared" ref="X13:X40" si="9">A13&amp;$A$9</f>
        <v>42200CD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ht="12.75" customHeight="1">
      <c r="A14" s="124">
        <v>43500.0</v>
      </c>
      <c r="B14" s="8" t="s">
        <v>98</v>
      </c>
      <c r="C14" s="125">
        <f t="shared" si="1"/>
        <v>0</v>
      </c>
      <c r="D14" s="114">
        <f>+C14/'P&amp;L Summary'!B$21</f>
        <v>0</v>
      </c>
      <c r="E14" s="114"/>
      <c r="F14" s="118">
        <f>IF(ISERROR(VLOOKUP($X14,ess_bud,F$6,FALSE)),0,VLOOKUP($X14,ess_bud,F$6,FALSE))+IF(ISERROR(VLOOKUP($Z14,ess_bud,F$6,FALSE)),0,VLOOKUP($Z14,ess_bud,F$6,FALSE))+IF(ISERROR(VLOOKUP($Y14,ess_bud,F$6,FALSE)),0,VLOOKUP($Y14,ess_bud,F$6,FALSE))+IF(ISERROR(VLOOKUP($AA14,ess_bud,F$6,FALSE)),0,VLOOKUP($AA14,ess_bud,F$6,FALSE))</f>
        <v>0</v>
      </c>
      <c r="G14" s="114">
        <f>+F14/'P&amp;L Summary'!E$21</f>
        <v>0</v>
      </c>
      <c r="H14" s="114">
        <f t="shared" si="2"/>
        <v>0</v>
      </c>
      <c r="I14" s="114"/>
      <c r="J14" s="118">
        <f t="shared" si="3"/>
        <v>0</v>
      </c>
      <c r="K14" s="114">
        <f>+J14/'P&amp;L Summary'!I$21</f>
        <v>0</v>
      </c>
      <c r="L14" s="116">
        <f t="shared" si="4"/>
        <v>0</v>
      </c>
      <c r="M14" s="115"/>
      <c r="N14" s="125">
        <f t="shared" si="5"/>
        <v>0</v>
      </c>
      <c r="O14" s="114">
        <f>+N14/'P&amp;L Summary'!M$21</f>
        <v>0</v>
      </c>
      <c r="P14" s="114"/>
      <c r="Q14" s="74">
        <f>IF(ISERROR(VLOOKUP($X14,ess_bud,Q$6,FALSE)),0,VLOOKUP($X14,ess_bud,Q$6,FALSE))+IF(ISERROR(VLOOKUP($Z14,ess_bud,Q$6,FALSE)),0,VLOOKUP($Z14,ess_bud,Q$6,FALSE))+IF(ISERROR(VLOOKUP($Y14,ess_bud,Q$6,FALSE)),0,VLOOKUP($Y14,ess_bud,Q$6,FALSE))+IF(ISERROR(VLOOKUP($AA14,ess_bud,Q$6,FALSE)),0,VLOOKUP($AA14,ess_bud,Q$6,FALSE))</f>
        <v>127797</v>
      </c>
      <c r="R14" s="114">
        <f>+Q14/'P&amp;L Summary'!P$21</f>
        <v>0.0603454219</v>
      </c>
      <c r="S14" s="114">
        <f t="shared" si="6"/>
        <v>-1</v>
      </c>
      <c r="T14" s="114"/>
      <c r="U14" s="126">
        <f t="shared" si="7"/>
        <v>0</v>
      </c>
      <c r="V14" s="114">
        <f>+U14/'P&amp;L Summary'!T$21</f>
        <v>0</v>
      </c>
      <c r="W14" s="116">
        <f t="shared" si="8"/>
        <v>0</v>
      </c>
      <c r="X14" s="2" t="str">
        <f t="shared" si="9"/>
        <v>43500CD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ht="12.75" customHeight="1">
      <c r="A15" s="124">
        <v>45101.0</v>
      </c>
      <c r="B15" s="8" t="s">
        <v>100</v>
      </c>
      <c r="C15" s="125">
        <f t="shared" si="1"/>
        <v>0</v>
      </c>
      <c r="D15" s="114">
        <f>+C15/'P&amp;L Summary'!B$21</f>
        <v>0</v>
      </c>
      <c r="E15" s="114"/>
      <c r="F15" s="118">
        <f>IF(ISERROR(VLOOKUP($X15,ess_bud,F$6,FALSE)),0,VLOOKUP($X15,ess_bud,F$6,FALSE))+IF(ISERROR(VLOOKUP($Z15,ess_bud,F$6,FALSE)),0,VLOOKUP($Z15,ess_bud,F$6,FALSE))+IF(ISERROR(VLOOKUP($Y15,ess_bud,F$6,FALSE)),0,VLOOKUP($Y15,ess_bud,F$6,FALSE))+IF(ISERROR(VLOOKUP($AA15,ess_bud,F$6,FALSE)),0,VLOOKUP($AA15,ess_bud,F$6,FALSE))</f>
        <v>0</v>
      </c>
      <c r="G15" s="114">
        <f>+F15/'P&amp;L Summary'!E$21</f>
        <v>0</v>
      </c>
      <c r="H15" s="114">
        <f t="shared" si="2"/>
        <v>0</v>
      </c>
      <c r="I15" s="114"/>
      <c r="J15" s="118">
        <f t="shared" si="3"/>
        <v>0</v>
      </c>
      <c r="K15" s="114">
        <f>+J15/'P&amp;L Summary'!I$21</f>
        <v>0</v>
      </c>
      <c r="L15" s="116">
        <f t="shared" si="4"/>
        <v>0</v>
      </c>
      <c r="M15" s="115"/>
      <c r="N15" s="125">
        <f t="shared" si="5"/>
        <v>0</v>
      </c>
      <c r="O15" s="114">
        <f>+N15/'P&amp;L Summary'!M$21</f>
        <v>0</v>
      </c>
      <c r="P15" s="114"/>
      <c r="Q15" s="74">
        <f>IF(ISERROR(VLOOKUP($X15,ess_bud,Q$6,FALSE)),0,VLOOKUP($X15,ess_bud,Q$6,FALSE))+IF(ISERROR(VLOOKUP($Z15,ess_bud,Q$6,FALSE)),0,VLOOKUP($Z15,ess_bud,Q$6,FALSE))+IF(ISERROR(VLOOKUP($Y15,ess_bud,Q$6,FALSE)),0,VLOOKUP($Y15,ess_bud,Q$6,FALSE))+IF(ISERROR(VLOOKUP($AA15,ess_bud,Q$6,FALSE)),0,VLOOKUP($AA15,ess_bud,Q$6,FALSE))</f>
        <v>250</v>
      </c>
      <c r="R15" s="114">
        <f>+Q15/'P&amp;L Summary'!P$21</f>
        <v>0.0001180493711</v>
      </c>
      <c r="S15" s="114">
        <f t="shared" si="6"/>
        <v>-1</v>
      </c>
      <c r="T15" s="114"/>
      <c r="U15" s="126">
        <f t="shared" si="7"/>
        <v>0</v>
      </c>
      <c r="V15" s="114">
        <f>+U15/'P&amp;L Summary'!T$21</f>
        <v>0</v>
      </c>
      <c r="W15" s="116">
        <f t="shared" si="8"/>
        <v>0</v>
      </c>
      <c r="X15" s="2" t="str">
        <f t="shared" si="9"/>
        <v>45101CD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ht="12.75" customHeight="1">
      <c r="A16" s="124">
        <v>45303.0</v>
      </c>
      <c r="B16" s="8" t="s">
        <v>80</v>
      </c>
      <c r="C16" s="125">
        <f t="shared" si="1"/>
        <v>0</v>
      </c>
      <c r="D16" s="114">
        <f>+C16/'P&amp;L Summary'!B$21</f>
        <v>0</v>
      </c>
      <c r="E16" s="114"/>
      <c r="F16" s="118">
        <f>IF(ISERROR(VLOOKUP($X16,ess_bud,F$6,FALSE)),0,VLOOKUP($X16,ess_bud,F$6,FALSE))+IF(ISERROR(VLOOKUP($Z16,ess_bud,F$6,FALSE)),0,VLOOKUP($Z16,ess_bud,F$6,FALSE))+IF(ISERROR(VLOOKUP($Y16,ess_bud,F$6,FALSE)),0,VLOOKUP($Y16,ess_bud,F$6,FALSE))+IF(ISERROR(VLOOKUP($AA16,ess_bud,F$6,FALSE)),0,VLOOKUP($AA16,ess_bud,F$6,FALSE))</f>
        <v>0</v>
      </c>
      <c r="G16" s="114">
        <f>+F16/'P&amp;L Summary'!E$21</f>
        <v>0</v>
      </c>
      <c r="H16" s="114">
        <f>IF(F17=0,0,+(C17-F17)/F17)</f>
        <v>0</v>
      </c>
      <c r="I16" s="114"/>
      <c r="J16" s="118">
        <f t="shared" si="3"/>
        <v>0</v>
      </c>
      <c r="K16" s="114">
        <f>+J16/'P&amp;L Summary'!I$21</f>
        <v>0</v>
      </c>
      <c r="L16" s="116">
        <f>IF(J17=0,0,+(C17-J17)/J17)</f>
        <v>0</v>
      </c>
      <c r="M16" s="115"/>
      <c r="N16" s="125">
        <f t="shared" si="5"/>
        <v>0</v>
      </c>
      <c r="O16" s="114">
        <f>+N16/'P&amp;L Summary'!M$21</f>
        <v>0</v>
      </c>
      <c r="P16" s="114"/>
      <c r="Q16" s="74">
        <f>IF(ISERROR(VLOOKUP($X16,ess_bud,Q$6,FALSE)),0,VLOOKUP($X16,ess_bud,Q$6,FALSE))+IF(ISERROR(VLOOKUP($Z16,ess_bud,Q$6,FALSE)),0,VLOOKUP($Z16,ess_bud,Q$6,FALSE))+IF(ISERROR(VLOOKUP($Y16,ess_bud,Q$6,FALSE)),0,VLOOKUP($Y16,ess_bud,Q$6,FALSE))+IF(ISERROR(VLOOKUP($AA16,ess_bud,Q$6,FALSE)),0,VLOOKUP($AA16,ess_bud,Q$6,FALSE))</f>
        <v>0</v>
      </c>
      <c r="R16" s="114">
        <f>+Q16/'P&amp;L Summary'!P$21</f>
        <v>0</v>
      </c>
      <c r="S16" s="114">
        <f>+IF(Q17=0,0,(N17-Q17)/Q17)</f>
        <v>0</v>
      </c>
      <c r="T16" s="114"/>
      <c r="U16" s="126">
        <f t="shared" si="7"/>
        <v>0</v>
      </c>
      <c r="V16" s="114">
        <f>+U16/'P&amp;L Summary'!T$21</f>
        <v>0</v>
      </c>
      <c r="W16" s="116">
        <f t="shared" si="8"/>
        <v>0</v>
      </c>
      <c r="X16" s="2" t="str">
        <f t="shared" si="9"/>
        <v>45303CD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ht="12.75" customHeight="1">
      <c r="A17" s="124">
        <v>45403.0</v>
      </c>
      <c r="B17" s="8" t="s">
        <v>104</v>
      </c>
      <c r="C17" s="125">
        <f t="shared" si="1"/>
        <v>0</v>
      </c>
      <c r="D17" s="114">
        <f>+C17/'P&amp;L Summary'!B$21</f>
        <v>0</v>
      </c>
      <c r="E17" s="114"/>
      <c r="F17" s="118">
        <f>IF(ISERROR(VLOOKUP($X17,ess_bud,F$6,FALSE)),0,VLOOKUP($X17,ess_bud,F$6,FALSE))+IF(ISERROR(VLOOKUP($Z17,ess_bud,F$6,FALSE)),0,VLOOKUP($Z17,ess_bud,F$6,FALSE))+IF(ISERROR(VLOOKUP($Y17,ess_bud,F$6,FALSE)),0,VLOOKUP($Y17,ess_bud,F$6,FALSE))+IF(ISERROR(VLOOKUP($AA17,ess_bud,F$6,FALSE)),0,VLOOKUP($AA17,ess_bud,F$6,FALSE))</f>
        <v>0</v>
      </c>
      <c r="G17" s="114">
        <f>+F17/'P&amp;L Summary'!E$21</f>
        <v>0</v>
      </c>
      <c r="H17" s="114">
        <f t="shared" ref="H17:H24" si="10">IF(F17=0,0,+(C17-F17)/F17)</f>
        <v>0</v>
      </c>
      <c r="I17" s="114"/>
      <c r="J17" s="118">
        <f t="shared" si="3"/>
        <v>0</v>
      </c>
      <c r="K17" s="114">
        <f>+J17/'P&amp;L Summary'!I$21</f>
        <v>0</v>
      </c>
      <c r="L17" s="116">
        <f t="shared" ref="L17:L24" si="11">IF(J17=0,0,+(C17-J17)/J17)</f>
        <v>0</v>
      </c>
      <c r="M17" s="115"/>
      <c r="N17" s="125">
        <f t="shared" si="5"/>
        <v>0</v>
      </c>
      <c r="O17" s="114">
        <f>+N17/'P&amp;L Summary'!M$21</f>
        <v>0</v>
      </c>
      <c r="P17" s="114"/>
      <c r="Q17" s="74">
        <f>IF(ISERROR(VLOOKUP($X17,ess_bud,Q$6,FALSE)),0,VLOOKUP($X17,ess_bud,Q$6,FALSE))+IF(ISERROR(VLOOKUP($Z17,ess_bud,Q$6,FALSE)),0,VLOOKUP($Z17,ess_bud,Q$6,FALSE))+IF(ISERROR(VLOOKUP($Y17,ess_bud,Q$6,FALSE)),0,VLOOKUP($Y17,ess_bud,Q$6,FALSE))+IF(ISERROR(VLOOKUP($AA17,ess_bud,Q$6,FALSE)),0,VLOOKUP($AA17,ess_bud,Q$6,FALSE))</f>
        <v>0</v>
      </c>
      <c r="R17" s="114">
        <f>+Q17/'P&amp;L Summary'!P$21</f>
        <v>0</v>
      </c>
      <c r="S17" s="114">
        <f t="shared" ref="S17:S24" si="12">+IF(Q17=0,0,(N17-Q17)/Q17)</f>
        <v>0</v>
      </c>
      <c r="T17" s="114"/>
      <c r="U17" s="126">
        <f t="shared" si="7"/>
        <v>0</v>
      </c>
      <c r="V17" s="114">
        <f>+U17/'P&amp;L Summary'!T$21</f>
        <v>0</v>
      </c>
      <c r="W17" s="116">
        <f t="shared" si="8"/>
        <v>0</v>
      </c>
      <c r="X17" s="2" t="str">
        <f t="shared" si="9"/>
        <v>45403CD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ht="12.75" customHeight="1">
      <c r="A18" s="124">
        <v>45700.0</v>
      </c>
      <c r="B18" s="8" t="s">
        <v>81</v>
      </c>
      <c r="C18" s="125">
        <f t="shared" si="1"/>
        <v>0</v>
      </c>
      <c r="D18" s="114">
        <f>+C18/'P&amp;L Summary'!B$21</f>
        <v>0</v>
      </c>
      <c r="E18" s="114"/>
      <c r="F18" s="118">
        <f>IF(ISERROR(VLOOKUP($X18,ess_bud,F$6,FALSE)),0,VLOOKUP($X18,ess_bud,F$6,FALSE))+IF(ISERROR(VLOOKUP($Z18,ess_bud,F$6,FALSE)),0,VLOOKUP($Z18,ess_bud,F$6,FALSE))+IF(ISERROR(VLOOKUP($Y18,ess_bud,F$6,FALSE)),0,VLOOKUP($Y18,ess_bud,F$6,FALSE))+IF(ISERROR(VLOOKUP($AA18,ess_bud,F$6,FALSE)),0,VLOOKUP($AA18,ess_bud,F$6,FALSE))</f>
        <v>0</v>
      </c>
      <c r="G18" s="114">
        <f>+F18/'P&amp;L Summary'!E$21</f>
        <v>0</v>
      </c>
      <c r="H18" s="114">
        <f t="shared" si="10"/>
        <v>0</v>
      </c>
      <c r="I18" s="114"/>
      <c r="J18" s="118">
        <f t="shared" si="3"/>
        <v>0</v>
      </c>
      <c r="K18" s="114">
        <f>+J18/'P&amp;L Summary'!I$21</f>
        <v>0</v>
      </c>
      <c r="L18" s="116">
        <f t="shared" si="11"/>
        <v>0</v>
      </c>
      <c r="M18" s="115"/>
      <c r="N18" s="125">
        <f t="shared" si="5"/>
        <v>0</v>
      </c>
      <c r="O18" s="114">
        <f>+N18/'P&amp;L Summary'!M$21</f>
        <v>0</v>
      </c>
      <c r="P18" s="114"/>
      <c r="Q18" s="74">
        <f>IF(ISERROR(VLOOKUP($X18,ess_bud,Q$6,FALSE)),0,VLOOKUP($X18,ess_bud,Q$6,FALSE))+IF(ISERROR(VLOOKUP($Z18,ess_bud,Q$6,FALSE)),0,VLOOKUP($Z18,ess_bud,Q$6,FALSE))+IF(ISERROR(VLOOKUP($Y18,ess_bud,Q$6,FALSE)),0,VLOOKUP($Y18,ess_bud,Q$6,FALSE))+IF(ISERROR(VLOOKUP($AA18,ess_bud,Q$6,FALSE)),0,VLOOKUP($AA18,ess_bud,Q$6,FALSE))</f>
        <v>0</v>
      </c>
      <c r="R18" s="114">
        <f>+Q18/'P&amp;L Summary'!P$21</f>
        <v>0</v>
      </c>
      <c r="S18" s="114">
        <f t="shared" si="12"/>
        <v>0</v>
      </c>
      <c r="T18" s="114"/>
      <c r="U18" s="126">
        <f t="shared" si="7"/>
        <v>0</v>
      </c>
      <c r="V18" s="114">
        <f>+U18/'P&amp;L Summary'!T$21</f>
        <v>0</v>
      </c>
      <c r="W18" s="116">
        <f t="shared" si="8"/>
        <v>0</v>
      </c>
      <c r="X18" s="2" t="str">
        <f t="shared" si="9"/>
        <v>45700CD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ht="12.75" customHeight="1">
      <c r="A19" s="124">
        <v>45701.0</v>
      </c>
      <c r="B19" s="8" t="s">
        <v>82</v>
      </c>
      <c r="C19" s="125">
        <f t="shared" si="1"/>
        <v>0</v>
      </c>
      <c r="D19" s="114">
        <f>+C19/'P&amp;L Summary'!B$21</f>
        <v>0</v>
      </c>
      <c r="E19" s="114"/>
      <c r="F19" s="118">
        <f>IF(ISERROR(VLOOKUP($X19,ess_bud,F$6,FALSE)),0,VLOOKUP($X19,ess_bud,F$6,FALSE))+IF(ISERROR(VLOOKUP($Z19,ess_bud,F$6,FALSE)),0,VLOOKUP($Z19,ess_bud,F$6,FALSE))+IF(ISERROR(VLOOKUP($Y19,ess_bud,F$6,FALSE)),0,VLOOKUP($Y19,ess_bud,F$6,FALSE))+IF(ISERROR(VLOOKUP($AA19,ess_bud,F$6,FALSE)),0,VLOOKUP($AA19,ess_bud,F$6,FALSE))</f>
        <v>0</v>
      </c>
      <c r="G19" s="114">
        <f>+F19/'P&amp;L Summary'!E$21</f>
        <v>0</v>
      </c>
      <c r="H19" s="114">
        <f t="shared" si="10"/>
        <v>0</v>
      </c>
      <c r="I19" s="114"/>
      <c r="J19" s="118">
        <f t="shared" si="3"/>
        <v>0</v>
      </c>
      <c r="K19" s="114">
        <f>+J19/'P&amp;L Summary'!I$21</f>
        <v>0</v>
      </c>
      <c r="L19" s="116">
        <f t="shared" si="11"/>
        <v>0</v>
      </c>
      <c r="M19" s="115"/>
      <c r="N19" s="125">
        <f t="shared" si="5"/>
        <v>0</v>
      </c>
      <c r="O19" s="114">
        <f>+N19/'P&amp;L Summary'!M$21</f>
        <v>0</v>
      </c>
      <c r="P19" s="114"/>
      <c r="Q19" s="74">
        <f>IF(ISERROR(VLOOKUP($X19,ess_bud,Q$6,FALSE)),0,VLOOKUP($X19,ess_bud,Q$6,FALSE))+IF(ISERROR(VLOOKUP($Z19,ess_bud,Q$6,FALSE)),0,VLOOKUP($Z19,ess_bud,Q$6,FALSE))+IF(ISERROR(VLOOKUP($Y19,ess_bud,Q$6,FALSE)),0,VLOOKUP($Y19,ess_bud,Q$6,FALSE))+IF(ISERROR(VLOOKUP($AA19,ess_bud,Q$6,FALSE)),0,VLOOKUP($AA19,ess_bud,Q$6,FALSE))</f>
        <v>5779.75</v>
      </c>
      <c r="R19" s="114">
        <f>+Q19/'P&amp;L Summary'!P$21</f>
        <v>0.00272918341</v>
      </c>
      <c r="S19" s="114">
        <f t="shared" si="12"/>
        <v>-1</v>
      </c>
      <c r="T19" s="114"/>
      <c r="U19" s="126">
        <f t="shared" si="7"/>
        <v>0</v>
      </c>
      <c r="V19" s="114">
        <f>+U19/'P&amp;L Summary'!T$21</f>
        <v>0</v>
      </c>
      <c r="W19" s="116">
        <f t="shared" si="8"/>
        <v>0</v>
      </c>
      <c r="X19" s="2" t="str">
        <f t="shared" si="9"/>
        <v>45701CD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ht="12.75" customHeight="1">
      <c r="A20" s="124">
        <v>45702.0</v>
      </c>
      <c r="B20" s="8" t="s">
        <v>112</v>
      </c>
      <c r="C20" s="125">
        <f t="shared" si="1"/>
        <v>0</v>
      </c>
      <c r="D20" s="114">
        <f>+C20/'P&amp;L Summary'!B$21</f>
        <v>0</v>
      </c>
      <c r="E20" s="114"/>
      <c r="F20" s="118">
        <f>IF(ISERROR(VLOOKUP($X20,ess_bud,F$6,FALSE)),0,VLOOKUP($X20,ess_bud,F$6,FALSE))+IF(ISERROR(VLOOKUP($Z20,ess_bud,F$6,FALSE)),0,VLOOKUP($Z20,ess_bud,F$6,FALSE))+IF(ISERROR(VLOOKUP($Y20,ess_bud,F$6,FALSE)),0,VLOOKUP($Y20,ess_bud,F$6,FALSE))+IF(ISERROR(VLOOKUP($AA20,ess_bud,F$6,FALSE)),0,VLOOKUP($AA20,ess_bud,F$6,FALSE))</f>
        <v>0</v>
      </c>
      <c r="G20" s="114">
        <f>+F20/'P&amp;L Summary'!E$21</f>
        <v>0</v>
      </c>
      <c r="H20" s="114">
        <f t="shared" si="10"/>
        <v>0</v>
      </c>
      <c r="I20" s="114"/>
      <c r="J20" s="118">
        <f t="shared" si="3"/>
        <v>0</v>
      </c>
      <c r="K20" s="114">
        <f>+J20/'P&amp;L Summary'!I$21</f>
        <v>0</v>
      </c>
      <c r="L20" s="116">
        <f t="shared" si="11"/>
        <v>0</v>
      </c>
      <c r="M20" s="115"/>
      <c r="N20" s="125">
        <f t="shared" si="5"/>
        <v>0</v>
      </c>
      <c r="O20" s="114">
        <f>+N20/'P&amp;L Summary'!M$21</f>
        <v>0</v>
      </c>
      <c r="P20" s="114"/>
      <c r="Q20" s="74">
        <f>IF(ISERROR(VLOOKUP($X20,ess_bud,Q$6,FALSE)),0,VLOOKUP($X20,ess_bud,Q$6,FALSE))+IF(ISERROR(VLOOKUP($Z20,ess_bud,Q$6,FALSE)),0,VLOOKUP($Z20,ess_bud,Q$6,FALSE))+IF(ISERROR(VLOOKUP($Y20,ess_bud,Q$6,FALSE)),0,VLOOKUP($Y20,ess_bud,Q$6,FALSE))+IF(ISERROR(VLOOKUP($AA20,ess_bud,Q$6,FALSE)),0,VLOOKUP($AA20,ess_bud,Q$6,FALSE))</f>
        <v>0</v>
      </c>
      <c r="R20" s="114">
        <f>+Q20/'P&amp;L Summary'!P$21</f>
        <v>0</v>
      </c>
      <c r="S20" s="114">
        <f t="shared" si="12"/>
        <v>0</v>
      </c>
      <c r="T20" s="114"/>
      <c r="U20" s="126">
        <f t="shared" si="7"/>
        <v>0</v>
      </c>
      <c r="V20" s="114">
        <f>+U20/'P&amp;L Summary'!T$21</f>
        <v>0</v>
      </c>
      <c r="W20" s="116">
        <f t="shared" si="8"/>
        <v>0</v>
      </c>
      <c r="X20" s="2" t="str">
        <f t="shared" si="9"/>
        <v>45702CD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ht="12.75" customHeight="1">
      <c r="A21" s="124">
        <v>45703.0</v>
      </c>
      <c r="B21" s="8" t="s">
        <v>113</v>
      </c>
      <c r="C21" s="125">
        <f t="shared" si="1"/>
        <v>0</v>
      </c>
      <c r="D21" s="114">
        <f>+C21/'P&amp;L Summary'!B$21</f>
        <v>0</v>
      </c>
      <c r="E21" s="114"/>
      <c r="F21" s="118">
        <f>IF(ISERROR(VLOOKUP($X21,ess_bud,F$6,FALSE)),0,VLOOKUP($X21,ess_bud,F$6,FALSE))+IF(ISERROR(VLOOKUP($Z21,ess_bud,F$6,FALSE)),0,VLOOKUP($Z21,ess_bud,F$6,FALSE))+IF(ISERROR(VLOOKUP($Y21,ess_bud,F$6,FALSE)),0,VLOOKUP($Y21,ess_bud,F$6,FALSE))+IF(ISERROR(VLOOKUP($AA21,ess_bud,F$6,FALSE)),0,VLOOKUP($AA21,ess_bud,F$6,FALSE))</f>
        <v>0</v>
      </c>
      <c r="G21" s="114">
        <f>+F21/'P&amp;L Summary'!E$21</f>
        <v>0</v>
      </c>
      <c r="H21" s="114">
        <f t="shared" si="10"/>
        <v>0</v>
      </c>
      <c r="I21" s="114"/>
      <c r="J21" s="118">
        <f t="shared" si="3"/>
        <v>0</v>
      </c>
      <c r="K21" s="114">
        <f>+J21/'P&amp;L Summary'!I$21</f>
        <v>0</v>
      </c>
      <c r="L21" s="116">
        <f t="shared" si="11"/>
        <v>0</v>
      </c>
      <c r="M21" s="115"/>
      <c r="N21" s="125">
        <f t="shared" si="5"/>
        <v>0</v>
      </c>
      <c r="O21" s="114">
        <f>+N21/'P&amp;L Summary'!M$21</f>
        <v>0</v>
      </c>
      <c r="P21" s="114"/>
      <c r="Q21" s="74">
        <f>IF(ISERROR(VLOOKUP($X21,ess_bud,Q$6,FALSE)),0,VLOOKUP($X21,ess_bud,Q$6,FALSE))+IF(ISERROR(VLOOKUP($Z21,ess_bud,Q$6,FALSE)),0,VLOOKUP($Z21,ess_bud,Q$6,FALSE))+IF(ISERROR(VLOOKUP($Y21,ess_bud,Q$6,FALSE)),0,VLOOKUP($Y21,ess_bud,Q$6,FALSE))+IF(ISERROR(VLOOKUP($AA21,ess_bud,Q$6,FALSE)),0,VLOOKUP($AA21,ess_bud,Q$6,FALSE))</f>
        <v>0</v>
      </c>
      <c r="R21" s="114">
        <f>+Q21/'P&amp;L Summary'!P$21</f>
        <v>0</v>
      </c>
      <c r="S21" s="114">
        <f t="shared" si="12"/>
        <v>0</v>
      </c>
      <c r="T21" s="114"/>
      <c r="U21" s="126">
        <f t="shared" si="7"/>
        <v>0</v>
      </c>
      <c r="V21" s="114">
        <f>+U21/'P&amp;L Summary'!T$21</f>
        <v>0</v>
      </c>
      <c r="W21" s="116">
        <f t="shared" si="8"/>
        <v>0</v>
      </c>
      <c r="X21" s="2" t="str">
        <f t="shared" si="9"/>
        <v>45703CD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ht="12.75" customHeight="1">
      <c r="A22" s="124">
        <v>45704.0</v>
      </c>
      <c r="B22" s="8" t="s">
        <v>114</v>
      </c>
      <c r="C22" s="125">
        <f t="shared" si="1"/>
        <v>0</v>
      </c>
      <c r="D22" s="114">
        <f>+C22/'P&amp;L Summary'!B$21</f>
        <v>0</v>
      </c>
      <c r="E22" s="114"/>
      <c r="F22" s="118">
        <f>IF(ISERROR(VLOOKUP($X22,ess_bud,F$6,FALSE)),0,VLOOKUP($X22,ess_bud,F$6,FALSE))+IF(ISERROR(VLOOKUP($Z22,ess_bud,F$6,FALSE)),0,VLOOKUP($Z22,ess_bud,F$6,FALSE))+IF(ISERROR(VLOOKUP($Y22,ess_bud,F$6,FALSE)),0,VLOOKUP($Y22,ess_bud,F$6,FALSE))+IF(ISERROR(VLOOKUP($AA22,ess_bud,F$6,FALSE)),0,VLOOKUP($AA22,ess_bud,F$6,FALSE))</f>
        <v>0</v>
      </c>
      <c r="G22" s="114">
        <f>+F22/'P&amp;L Summary'!E$21</f>
        <v>0</v>
      </c>
      <c r="H22" s="114">
        <f t="shared" si="10"/>
        <v>0</v>
      </c>
      <c r="I22" s="114"/>
      <c r="J22" s="118">
        <f t="shared" si="3"/>
        <v>0</v>
      </c>
      <c r="K22" s="114">
        <f>+J22/'P&amp;L Summary'!I$21</f>
        <v>0</v>
      </c>
      <c r="L22" s="116">
        <f t="shared" si="11"/>
        <v>0</v>
      </c>
      <c r="M22" s="115"/>
      <c r="N22" s="125">
        <f t="shared" si="5"/>
        <v>0</v>
      </c>
      <c r="O22" s="114">
        <f>+N22/'P&amp;L Summary'!M$21</f>
        <v>0</v>
      </c>
      <c r="P22" s="114"/>
      <c r="Q22" s="74">
        <f>IF(ISERROR(VLOOKUP($X22,ess_bud,Q$6,FALSE)),0,VLOOKUP($X22,ess_bud,Q$6,FALSE))+IF(ISERROR(VLOOKUP($Z22,ess_bud,Q$6,FALSE)),0,VLOOKUP($Z22,ess_bud,Q$6,FALSE))+IF(ISERROR(VLOOKUP($Y22,ess_bud,Q$6,FALSE)),0,VLOOKUP($Y22,ess_bud,Q$6,FALSE))+IF(ISERROR(VLOOKUP($AA22,ess_bud,Q$6,FALSE)),0,VLOOKUP($AA22,ess_bud,Q$6,FALSE))</f>
        <v>250</v>
      </c>
      <c r="R22" s="114">
        <f>+Q22/'P&amp;L Summary'!P$21</f>
        <v>0.0001180493711</v>
      </c>
      <c r="S22" s="114">
        <f t="shared" si="12"/>
        <v>-1</v>
      </c>
      <c r="T22" s="114"/>
      <c r="U22" s="126">
        <f t="shared" si="7"/>
        <v>0</v>
      </c>
      <c r="V22" s="114">
        <f>+U22/'P&amp;L Summary'!T$21</f>
        <v>0</v>
      </c>
      <c r="W22" s="116">
        <f t="shared" si="8"/>
        <v>0</v>
      </c>
      <c r="X22" s="2" t="str">
        <f t="shared" si="9"/>
        <v>45704CD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ht="12.75" customHeight="1">
      <c r="A23" s="124">
        <v>45705.0</v>
      </c>
      <c r="B23" s="8" t="s">
        <v>116</v>
      </c>
      <c r="C23" s="125">
        <f t="shared" si="1"/>
        <v>0</v>
      </c>
      <c r="D23" s="114">
        <f>+C23/'P&amp;L Summary'!B$21</f>
        <v>0</v>
      </c>
      <c r="E23" s="114"/>
      <c r="F23" s="118">
        <f>IF(ISERROR(VLOOKUP($X23,ess_bud,F$6,FALSE)),0,VLOOKUP($X23,ess_bud,F$6,FALSE))+IF(ISERROR(VLOOKUP($Z23,ess_bud,F$6,FALSE)),0,VLOOKUP($Z23,ess_bud,F$6,FALSE))+IF(ISERROR(VLOOKUP($Y23,ess_bud,F$6,FALSE)),0,VLOOKUP($Y23,ess_bud,F$6,FALSE))+IF(ISERROR(VLOOKUP($AA23,ess_bud,F$6,FALSE)),0,VLOOKUP($AA23,ess_bud,F$6,FALSE))</f>
        <v>0</v>
      </c>
      <c r="G23" s="114">
        <f>+F23/'P&amp;L Summary'!E$21</f>
        <v>0</v>
      </c>
      <c r="H23" s="114">
        <f t="shared" si="10"/>
        <v>0</v>
      </c>
      <c r="I23" s="114"/>
      <c r="J23" s="118">
        <f t="shared" si="3"/>
        <v>0</v>
      </c>
      <c r="K23" s="114">
        <f>+J23/'P&amp;L Summary'!I$21</f>
        <v>0</v>
      </c>
      <c r="L23" s="116">
        <f t="shared" si="11"/>
        <v>0</v>
      </c>
      <c r="M23" s="115"/>
      <c r="N23" s="125">
        <f t="shared" si="5"/>
        <v>0</v>
      </c>
      <c r="O23" s="114">
        <f>+N23/'P&amp;L Summary'!M$21</f>
        <v>0</v>
      </c>
      <c r="P23" s="114"/>
      <c r="Q23" s="74">
        <f>IF(ISERROR(VLOOKUP($X23,ess_bud,Q$6,FALSE)),0,VLOOKUP($X23,ess_bud,Q$6,FALSE))+IF(ISERROR(VLOOKUP($Z23,ess_bud,Q$6,FALSE)),0,VLOOKUP($Z23,ess_bud,Q$6,FALSE))+IF(ISERROR(VLOOKUP($Y23,ess_bud,Q$6,FALSE)),0,VLOOKUP($Y23,ess_bud,Q$6,FALSE))+IF(ISERROR(VLOOKUP($AA23,ess_bud,Q$6,FALSE)),0,VLOOKUP($AA23,ess_bud,Q$6,FALSE))</f>
        <v>0</v>
      </c>
      <c r="R23" s="114">
        <f>+Q23/'P&amp;L Summary'!P$21</f>
        <v>0</v>
      </c>
      <c r="S23" s="114">
        <f t="shared" si="12"/>
        <v>0</v>
      </c>
      <c r="T23" s="114"/>
      <c r="U23" s="126">
        <f t="shared" si="7"/>
        <v>0</v>
      </c>
      <c r="V23" s="114">
        <f>+U23/'P&amp;L Summary'!T$21</f>
        <v>0</v>
      </c>
      <c r="W23" s="116">
        <f t="shared" si="8"/>
        <v>0</v>
      </c>
      <c r="X23" s="2" t="str">
        <f t="shared" si="9"/>
        <v>45705CD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ht="12.75" customHeight="1">
      <c r="A24" s="124">
        <v>45710.0</v>
      </c>
      <c r="B24" s="8" t="s">
        <v>119</v>
      </c>
      <c r="C24" s="125">
        <f t="shared" si="1"/>
        <v>0</v>
      </c>
      <c r="D24" s="114">
        <f>+C24/'P&amp;L Summary'!B$21</f>
        <v>0</v>
      </c>
      <c r="E24" s="114"/>
      <c r="F24" s="118">
        <f>IF(ISERROR(VLOOKUP($X24,ess_bud,F$6,FALSE)),0,VLOOKUP($X24,ess_bud,F$6,FALSE))+IF(ISERROR(VLOOKUP($Z24,ess_bud,F$6,FALSE)),0,VLOOKUP($Z24,ess_bud,F$6,FALSE))+IF(ISERROR(VLOOKUP($Y24,ess_bud,F$6,FALSE)),0,VLOOKUP($Y24,ess_bud,F$6,FALSE))+IF(ISERROR(VLOOKUP($AA24,ess_bud,F$6,FALSE)),0,VLOOKUP($AA24,ess_bud,F$6,FALSE))</f>
        <v>0</v>
      </c>
      <c r="G24" s="114">
        <f>+F24/'P&amp;L Summary'!E$21</f>
        <v>0</v>
      </c>
      <c r="H24" s="114">
        <f t="shared" si="10"/>
        <v>0</v>
      </c>
      <c r="I24" s="114"/>
      <c r="J24" s="118">
        <f t="shared" si="3"/>
        <v>0</v>
      </c>
      <c r="K24" s="114">
        <f>+J24/'P&amp;L Summary'!I$21</f>
        <v>0</v>
      </c>
      <c r="L24" s="116">
        <f t="shared" si="11"/>
        <v>0</v>
      </c>
      <c r="M24" s="115"/>
      <c r="N24" s="125">
        <f t="shared" si="5"/>
        <v>0</v>
      </c>
      <c r="O24" s="114">
        <f>+N24/'P&amp;L Summary'!M$21</f>
        <v>0</v>
      </c>
      <c r="P24" s="114"/>
      <c r="Q24" s="74">
        <f>IF(ISERROR(VLOOKUP($X24,ess_bud,Q$6,FALSE)),0,VLOOKUP($X24,ess_bud,Q$6,FALSE))+IF(ISERROR(VLOOKUP($Z24,ess_bud,Q$6,FALSE)),0,VLOOKUP($Z24,ess_bud,Q$6,FALSE))+IF(ISERROR(VLOOKUP($Y24,ess_bud,Q$6,FALSE)),0,VLOOKUP($Y24,ess_bud,Q$6,FALSE))+IF(ISERROR(VLOOKUP($AA24,ess_bud,Q$6,FALSE)),0,VLOOKUP($AA24,ess_bud,Q$6,FALSE))</f>
        <v>0</v>
      </c>
      <c r="R24" s="114">
        <f>+Q24/'P&amp;L Summary'!P$21</f>
        <v>0</v>
      </c>
      <c r="S24" s="114">
        <f t="shared" si="12"/>
        <v>0</v>
      </c>
      <c r="T24" s="114"/>
      <c r="U24" s="126">
        <f t="shared" si="7"/>
        <v>0</v>
      </c>
      <c r="V24" s="114">
        <f>+U24/'P&amp;L Summary'!T$21</f>
        <v>0</v>
      </c>
      <c r="W24" s="116">
        <f t="shared" si="8"/>
        <v>0</v>
      </c>
      <c r="X24" s="2" t="str">
        <f t="shared" si="9"/>
        <v>45710CD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ht="12.75" customHeight="1">
      <c r="A25" s="124">
        <v>45711.0</v>
      </c>
      <c r="B25" s="8" t="s">
        <v>121</v>
      </c>
      <c r="C25" s="125">
        <f t="shared" si="1"/>
        <v>0</v>
      </c>
      <c r="D25" s="114">
        <f>+C25/'P&amp;L Summary'!B$21</f>
        <v>0</v>
      </c>
      <c r="E25" s="114"/>
      <c r="F25" s="118">
        <f>IF(ISERROR(VLOOKUP($X25,ess_bud,F$6,FALSE)),0,VLOOKUP($X25,ess_bud,F$6,FALSE))+IF(ISERROR(VLOOKUP($Z25,ess_bud,F$6,FALSE)),0,VLOOKUP($Z25,ess_bud,F$6,FALSE))+IF(ISERROR(VLOOKUP($Y25,ess_bud,F$6,FALSE)),0,VLOOKUP($Y25,ess_bud,F$6,FALSE))+IF(ISERROR(VLOOKUP($AA25,ess_bud,F$6,FALSE)),0,VLOOKUP($AA25,ess_bud,F$6,FALSE))</f>
        <v>0</v>
      </c>
      <c r="G25" s="114">
        <f>+F25/'P&amp;L Summary'!E$21</f>
        <v>0</v>
      </c>
      <c r="H25" s="114"/>
      <c r="I25" s="114"/>
      <c r="J25" s="118">
        <f t="shared" si="3"/>
        <v>0</v>
      </c>
      <c r="K25" s="114">
        <f>+J25/'P&amp;L Summary'!I$21</f>
        <v>0</v>
      </c>
      <c r="L25" s="116"/>
      <c r="M25" s="115"/>
      <c r="N25" s="125">
        <f t="shared" si="5"/>
        <v>0</v>
      </c>
      <c r="O25" s="114">
        <f>+N25/'P&amp;L Summary'!M$21</f>
        <v>0</v>
      </c>
      <c r="P25" s="114"/>
      <c r="Q25" s="74">
        <f>IF(ISERROR(VLOOKUP($X25,ess_bud,Q$6,FALSE)),0,VLOOKUP($X25,ess_bud,Q$6,FALSE))+IF(ISERROR(VLOOKUP($Z25,ess_bud,Q$6,FALSE)),0,VLOOKUP($Z25,ess_bud,Q$6,FALSE))+IF(ISERROR(VLOOKUP($Y25,ess_bud,Q$6,FALSE)),0,VLOOKUP($Y25,ess_bud,Q$6,FALSE))+IF(ISERROR(VLOOKUP($AA25,ess_bud,Q$6,FALSE)),0,VLOOKUP($AA25,ess_bud,Q$6,FALSE))</f>
        <v>0</v>
      </c>
      <c r="R25" s="114">
        <f>+Q25/'P&amp;L Summary'!P$21</f>
        <v>0</v>
      </c>
      <c r="S25" s="114"/>
      <c r="T25" s="114"/>
      <c r="U25" s="126">
        <f t="shared" si="7"/>
        <v>0</v>
      </c>
      <c r="V25" s="114">
        <f>+U25/'P&amp;L Summary'!T$21</f>
        <v>0</v>
      </c>
      <c r="W25" s="116"/>
      <c r="X25" s="2" t="str">
        <f t="shared" si="9"/>
        <v>45711CD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ht="12.75" customHeight="1">
      <c r="A26" s="124">
        <v>45712.0</v>
      </c>
      <c r="B26" s="8" t="s">
        <v>85</v>
      </c>
      <c r="C26" s="125">
        <f t="shared" si="1"/>
        <v>0</v>
      </c>
      <c r="D26" s="114">
        <f>+C26/'P&amp;L Summary'!B$21</f>
        <v>0</v>
      </c>
      <c r="E26" s="114"/>
      <c r="F26" s="118">
        <f>IF(ISERROR(VLOOKUP($X26,ess_bud,F$6,FALSE)),0,VLOOKUP($X26,ess_bud,F$6,FALSE))+IF(ISERROR(VLOOKUP($Z26,ess_bud,F$6,FALSE)),0,VLOOKUP($Z26,ess_bud,F$6,FALSE))+IF(ISERROR(VLOOKUP($Y26,ess_bud,F$6,FALSE)),0,VLOOKUP($Y26,ess_bud,F$6,FALSE))+IF(ISERROR(VLOOKUP($AA26,ess_bud,F$6,FALSE)),0,VLOOKUP($AA26,ess_bud,F$6,FALSE))</f>
        <v>0</v>
      </c>
      <c r="G26" s="114">
        <f>+F26/'P&amp;L Summary'!E$21</f>
        <v>0</v>
      </c>
      <c r="H26" s="114">
        <f>IF(F29=0,0,+(C29-F29)/F29)</f>
        <v>0</v>
      </c>
      <c r="I26" s="114"/>
      <c r="J26" s="118">
        <f t="shared" si="3"/>
        <v>0</v>
      </c>
      <c r="K26" s="114">
        <f>+J26/'P&amp;L Summary'!I$21</f>
        <v>0</v>
      </c>
      <c r="L26" s="116">
        <f>IF(J29=0,0,+(C29-J29)/J29)</f>
        <v>0</v>
      </c>
      <c r="M26" s="115"/>
      <c r="N26" s="125">
        <f t="shared" si="5"/>
        <v>0</v>
      </c>
      <c r="O26" s="114">
        <f>+N26/'P&amp;L Summary'!M$21</f>
        <v>0</v>
      </c>
      <c r="P26" s="114"/>
      <c r="Q26" s="74">
        <f>IF(ISERROR(VLOOKUP($X26,ess_bud,Q$6,FALSE)),0,VLOOKUP($X26,ess_bud,Q$6,FALSE))+IF(ISERROR(VLOOKUP($Z26,ess_bud,Q$6,FALSE)),0,VLOOKUP($Z26,ess_bud,Q$6,FALSE))+IF(ISERROR(VLOOKUP($Y26,ess_bud,Q$6,FALSE)),0,VLOOKUP($Y26,ess_bud,Q$6,FALSE))+IF(ISERROR(VLOOKUP($AA26,ess_bud,Q$6,FALSE)),0,VLOOKUP($AA26,ess_bud,Q$6,FALSE))</f>
        <v>0</v>
      </c>
      <c r="R26" s="114">
        <f>+Q26/'P&amp;L Summary'!P$21</f>
        <v>0</v>
      </c>
      <c r="S26" s="114">
        <f>+IF(Q29=0,0,(N29-Q29)/Q29)</f>
        <v>0</v>
      </c>
      <c r="T26" s="114"/>
      <c r="U26" s="126">
        <f t="shared" si="7"/>
        <v>0</v>
      </c>
      <c r="V26" s="114">
        <f>+U26/'P&amp;L Summary'!T$21</f>
        <v>0</v>
      </c>
      <c r="W26" s="116">
        <f t="shared" ref="W26:W38" si="13">+IF(U26=0,0,(N26-U26)/U26)</f>
        <v>0</v>
      </c>
      <c r="X26" s="2" t="str">
        <f t="shared" si="9"/>
        <v>45712CD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ht="12.75" customHeight="1">
      <c r="A27" s="124">
        <v>45713.0</v>
      </c>
      <c r="B27" s="8" t="s">
        <v>124</v>
      </c>
      <c r="C27" s="125">
        <f t="shared" si="1"/>
        <v>0</v>
      </c>
      <c r="D27" s="114">
        <f>+C27/'P&amp;L Summary'!B$21</f>
        <v>0</v>
      </c>
      <c r="E27" s="114"/>
      <c r="F27" s="118">
        <f>IF(ISERROR(VLOOKUP($X27,ess_bud,F$6,FALSE)),0,VLOOKUP($X27,ess_bud,F$6,FALSE))+IF(ISERROR(VLOOKUP($Z27,ess_bud,F$6,FALSE)),0,VLOOKUP($Z27,ess_bud,F$6,FALSE))+IF(ISERROR(VLOOKUP($Y27,ess_bud,F$6,FALSE)),0,VLOOKUP($Y27,ess_bud,F$6,FALSE))+IF(ISERROR(VLOOKUP($AA27,ess_bud,F$6,FALSE)),0,VLOOKUP($AA27,ess_bud,F$6,FALSE))</f>
        <v>0</v>
      </c>
      <c r="G27" s="114">
        <f>+F27/'P&amp;L Summary'!E$21</f>
        <v>0</v>
      </c>
      <c r="H27" s="114">
        <f t="shared" ref="H27:H37" si="14">IF(F27=0,0,+(C27-F27)/F27)</f>
        <v>0</v>
      </c>
      <c r="I27" s="114"/>
      <c r="J27" s="118">
        <f t="shared" si="3"/>
        <v>0</v>
      </c>
      <c r="K27" s="114">
        <f>+J27/'P&amp;L Summary'!I$21</f>
        <v>0</v>
      </c>
      <c r="L27" s="116">
        <f t="shared" ref="L27:L37" si="15">IF(J27=0,0,+(C27-J27)/J27)</f>
        <v>0</v>
      </c>
      <c r="M27" s="115"/>
      <c r="N27" s="125">
        <f t="shared" si="5"/>
        <v>0</v>
      </c>
      <c r="O27" s="114">
        <f>+N27/'P&amp;L Summary'!M$21</f>
        <v>0</v>
      </c>
      <c r="P27" s="114"/>
      <c r="Q27" s="74">
        <f>IF(ISERROR(VLOOKUP($X27,ess_bud,Q$6,FALSE)),0,VLOOKUP($X27,ess_bud,Q$6,FALSE))+IF(ISERROR(VLOOKUP($Z27,ess_bud,Q$6,FALSE)),0,VLOOKUP($Z27,ess_bud,Q$6,FALSE))+IF(ISERROR(VLOOKUP($Y27,ess_bud,Q$6,FALSE)),0,VLOOKUP($Y27,ess_bud,Q$6,FALSE))+IF(ISERROR(VLOOKUP($AA27,ess_bud,Q$6,FALSE)),0,VLOOKUP($AA27,ess_bud,Q$6,FALSE))</f>
        <v>1237.5</v>
      </c>
      <c r="R27" s="114">
        <f>+Q27/'P&amp;L Summary'!P$21</f>
        <v>0.0005843443868</v>
      </c>
      <c r="S27" s="114">
        <f t="shared" ref="S27:S37" si="16">+IF(Q27=0,0,(N27-Q27)/Q27)</f>
        <v>-1</v>
      </c>
      <c r="T27" s="114"/>
      <c r="U27" s="126">
        <f t="shared" si="7"/>
        <v>0</v>
      </c>
      <c r="V27" s="114">
        <f>+U27/'P&amp;L Summary'!T$21</f>
        <v>0</v>
      </c>
      <c r="W27" s="116">
        <f t="shared" si="13"/>
        <v>0</v>
      </c>
      <c r="X27" s="2" t="str">
        <f t="shared" si="9"/>
        <v>45713CD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ht="12.75" customHeight="1">
      <c r="A28" s="124">
        <v>45714.0</v>
      </c>
      <c r="B28" s="8" t="s">
        <v>145</v>
      </c>
      <c r="C28" s="125">
        <f t="shared" si="1"/>
        <v>0</v>
      </c>
      <c r="D28" s="114">
        <f>+C28/'P&amp;L Summary'!B$21</f>
        <v>0</v>
      </c>
      <c r="E28" s="114"/>
      <c r="F28" s="118">
        <f>IF(ISERROR(VLOOKUP($X28,ess_bud,F$6,FALSE)),0,VLOOKUP($X28,ess_bud,F$6,FALSE))+IF(ISERROR(VLOOKUP($Z28,ess_bud,F$6,FALSE)),0,VLOOKUP($Z28,ess_bud,F$6,FALSE))+IF(ISERROR(VLOOKUP($Y28,ess_bud,F$6,FALSE)),0,VLOOKUP($Y28,ess_bud,F$6,FALSE))+IF(ISERROR(VLOOKUP($AA28,ess_bud,F$6,FALSE)),0,VLOOKUP($AA28,ess_bud,F$6,FALSE))</f>
        <v>0</v>
      </c>
      <c r="G28" s="114">
        <f>+F28/'P&amp;L Summary'!E$21</f>
        <v>0</v>
      </c>
      <c r="H28" s="114">
        <f t="shared" si="14"/>
        <v>0</v>
      </c>
      <c r="I28" s="114"/>
      <c r="J28" s="118">
        <f t="shared" si="3"/>
        <v>0</v>
      </c>
      <c r="K28" s="114">
        <f>+J28/'P&amp;L Summary'!I$21</f>
        <v>0</v>
      </c>
      <c r="L28" s="116">
        <f t="shared" si="15"/>
        <v>0</v>
      </c>
      <c r="M28" s="115"/>
      <c r="N28" s="125">
        <f t="shared" si="5"/>
        <v>0</v>
      </c>
      <c r="O28" s="114">
        <f>+N28/'P&amp;L Summary'!M$21</f>
        <v>0</v>
      </c>
      <c r="P28" s="114"/>
      <c r="Q28" s="74">
        <f>IF(ISERROR(VLOOKUP($X28,ess_bud,Q$6,FALSE)),0,VLOOKUP($X28,ess_bud,Q$6,FALSE))+IF(ISERROR(VLOOKUP($Z28,ess_bud,Q$6,FALSE)),0,VLOOKUP($Z28,ess_bud,Q$6,FALSE))+IF(ISERROR(VLOOKUP($Y28,ess_bud,Q$6,FALSE)),0,VLOOKUP($Y28,ess_bud,Q$6,FALSE))+IF(ISERROR(VLOOKUP($AA28,ess_bud,Q$6,FALSE)),0,VLOOKUP($AA28,ess_bud,Q$6,FALSE))</f>
        <v>0</v>
      </c>
      <c r="R28" s="114">
        <f>+Q28/'P&amp;L Summary'!P$21</f>
        <v>0</v>
      </c>
      <c r="S28" s="114">
        <f t="shared" si="16"/>
        <v>0</v>
      </c>
      <c r="T28" s="114"/>
      <c r="U28" s="126">
        <f t="shared" si="7"/>
        <v>0</v>
      </c>
      <c r="V28" s="114">
        <f>+U28/'P&amp;L Summary'!T$21</f>
        <v>0</v>
      </c>
      <c r="W28" s="116">
        <f t="shared" si="13"/>
        <v>0</v>
      </c>
      <c r="X28" s="2" t="str">
        <f t="shared" si="9"/>
        <v>45714CD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ht="12.75" customHeight="1">
      <c r="A29" s="124">
        <v>45715.0</v>
      </c>
      <c r="B29" s="8" t="s">
        <v>129</v>
      </c>
      <c r="C29" s="125">
        <f t="shared" si="1"/>
        <v>0</v>
      </c>
      <c r="D29" s="114">
        <f>+C29/'P&amp;L Summary'!B$21</f>
        <v>0</v>
      </c>
      <c r="E29" s="114"/>
      <c r="F29" s="118">
        <f>IF(ISERROR(VLOOKUP($X29,ess_bud,F$6,FALSE)),0,VLOOKUP($X29,ess_bud,F$6,FALSE))+IF(ISERROR(VLOOKUP($Z29,ess_bud,F$6,FALSE)),0,VLOOKUP($Z29,ess_bud,F$6,FALSE))+IF(ISERROR(VLOOKUP($Y29,ess_bud,F$6,FALSE)),0,VLOOKUP($Y29,ess_bud,F$6,FALSE))+IF(ISERROR(VLOOKUP($AA29,ess_bud,F$6,FALSE)),0,VLOOKUP($AA29,ess_bud,F$6,FALSE))</f>
        <v>0</v>
      </c>
      <c r="G29" s="114">
        <f>+F29/'P&amp;L Summary'!E$21</f>
        <v>0</v>
      </c>
      <c r="H29" s="114">
        <f t="shared" si="14"/>
        <v>0</v>
      </c>
      <c r="I29" s="114"/>
      <c r="J29" s="118">
        <f t="shared" si="3"/>
        <v>0</v>
      </c>
      <c r="K29" s="114">
        <f>+J29/'P&amp;L Summary'!I$21</f>
        <v>0</v>
      </c>
      <c r="L29" s="116">
        <f t="shared" si="15"/>
        <v>0</v>
      </c>
      <c r="M29" s="115"/>
      <c r="N29" s="125">
        <f t="shared" si="5"/>
        <v>0</v>
      </c>
      <c r="O29" s="114">
        <f>+N29/'P&amp;L Summary'!M$21</f>
        <v>0</v>
      </c>
      <c r="P29" s="114"/>
      <c r="Q29" s="74">
        <f>IF(ISERROR(VLOOKUP($X29,ess_bud,Q$6,FALSE)),0,VLOOKUP($X29,ess_bud,Q$6,FALSE))+IF(ISERROR(VLOOKUP($Z29,ess_bud,Q$6,FALSE)),0,VLOOKUP($Z29,ess_bud,Q$6,FALSE))+IF(ISERROR(VLOOKUP($Y29,ess_bud,Q$6,FALSE)),0,VLOOKUP($Y29,ess_bud,Q$6,FALSE))+IF(ISERROR(VLOOKUP($AA29,ess_bud,Q$6,FALSE)),0,VLOOKUP($AA29,ess_bud,Q$6,FALSE))</f>
        <v>0</v>
      </c>
      <c r="R29" s="114">
        <f>+Q29/'P&amp;L Summary'!P$21</f>
        <v>0</v>
      </c>
      <c r="S29" s="114">
        <f t="shared" si="16"/>
        <v>0</v>
      </c>
      <c r="T29" s="114"/>
      <c r="U29" s="126">
        <f t="shared" si="7"/>
        <v>0</v>
      </c>
      <c r="V29" s="114">
        <f>+U29/'P&amp;L Summary'!T$21</f>
        <v>0</v>
      </c>
      <c r="W29" s="116">
        <f t="shared" si="13"/>
        <v>0</v>
      </c>
      <c r="X29" s="2" t="str">
        <f t="shared" si="9"/>
        <v>45715CD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ht="12.75" customHeight="1">
      <c r="A30" s="124">
        <v>45716.0</v>
      </c>
      <c r="B30" s="8" t="s">
        <v>131</v>
      </c>
      <c r="C30" s="125">
        <f t="shared" si="1"/>
        <v>0</v>
      </c>
      <c r="D30" s="114">
        <f>+C30/'P&amp;L Summary'!B$21</f>
        <v>0</v>
      </c>
      <c r="E30" s="114"/>
      <c r="F30" s="118">
        <f>IF(ISERROR(VLOOKUP($X30,ess_bud,F$6,FALSE)),0,VLOOKUP($X30,ess_bud,F$6,FALSE))+IF(ISERROR(VLOOKUP($Z30,ess_bud,F$6,FALSE)),0,VLOOKUP($Z30,ess_bud,F$6,FALSE))+IF(ISERROR(VLOOKUP($Y30,ess_bud,F$6,FALSE)),0,VLOOKUP($Y30,ess_bud,F$6,FALSE))+IF(ISERROR(VLOOKUP($AA30,ess_bud,F$6,FALSE)),0,VLOOKUP($AA30,ess_bud,F$6,FALSE))</f>
        <v>0</v>
      </c>
      <c r="G30" s="114">
        <f>+F30/'P&amp;L Summary'!E$21</f>
        <v>0</v>
      </c>
      <c r="H30" s="114">
        <f t="shared" si="14"/>
        <v>0</v>
      </c>
      <c r="I30" s="114"/>
      <c r="J30" s="118">
        <f t="shared" si="3"/>
        <v>0</v>
      </c>
      <c r="K30" s="114">
        <f>+J30/'P&amp;L Summary'!I$21</f>
        <v>0</v>
      </c>
      <c r="L30" s="116">
        <f t="shared" si="15"/>
        <v>0</v>
      </c>
      <c r="M30" s="115"/>
      <c r="N30" s="125">
        <f t="shared" si="5"/>
        <v>0</v>
      </c>
      <c r="O30" s="114">
        <f>+N30/'P&amp;L Summary'!M$21</f>
        <v>0</v>
      </c>
      <c r="P30" s="114"/>
      <c r="Q30" s="74">
        <f>IF(ISERROR(VLOOKUP($X30,ess_bud,Q$6,FALSE)),0,VLOOKUP($X30,ess_bud,Q$6,FALSE))+IF(ISERROR(VLOOKUP($Z30,ess_bud,Q$6,FALSE)),0,VLOOKUP($Z30,ess_bud,Q$6,FALSE))+IF(ISERROR(VLOOKUP($Y30,ess_bud,Q$6,FALSE)),0,VLOOKUP($Y30,ess_bud,Q$6,FALSE))+IF(ISERROR(VLOOKUP($AA30,ess_bud,Q$6,FALSE)),0,VLOOKUP($AA30,ess_bud,Q$6,FALSE))</f>
        <v>0</v>
      </c>
      <c r="R30" s="114">
        <f>+Q30/'P&amp;L Summary'!P$21</f>
        <v>0</v>
      </c>
      <c r="S30" s="114">
        <f t="shared" si="16"/>
        <v>0</v>
      </c>
      <c r="T30" s="114"/>
      <c r="U30" s="126">
        <f t="shared" si="7"/>
        <v>0</v>
      </c>
      <c r="V30" s="114">
        <f>+U30/'P&amp;L Summary'!T$21</f>
        <v>0</v>
      </c>
      <c r="W30" s="116">
        <f t="shared" si="13"/>
        <v>0</v>
      </c>
      <c r="X30" s="2" t="str">
        <f t="shared" si="9"/>
        <v>45716CD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ht="12.75" customHeight="1">
      <c r="A31" s="124">
        <v>45717.0</v>
      </c>
      <c r="B31" s="8" t="s">
        <v>133</v>
      </c>
      <c r="C31" s="125">
        <f t="shared" si="1"/>
        <v>0</v>
      </c>
      <c r="D31" s="114">
        <f>+C31/'P&amp;L Summary'!B$21</f>
        <v>0</v>
      </c>
      <c r="E31" s="114"/>
      <c r="F31" s="118">
        <f>IF(ISERROR(VLOOKUP($X31,ess_bud,F$6,FALSE)),0,VLOOKUP($X31,ess_bud,F$6,FALSE))+IF(ISERROR(VLOOKUP($Z31,ess_bud,F$6,FALSE)),0,VLOOKUP($Z31,ess_bud,F$6,FALSE))+IF(ISERROR(VLOOKUP($Y31,ess_bud,F$6,FALSE)),0,VLOOKUP($Y31,ess_bud,F$6,FALSE))+IF(ISERROR(VLOOKUP($AA31,ess_bud,F$6,FALSE)),0,VLOOKUP($AA31,ess_bud,F$6,FALSE))</f>
        <v>0</v>
      </c>
      <c r="G31" s="114">
        <f>+F31/'P&amp;L Summary'!E$21</f>
        <v>0</v>
      </c>
      <c r="H31" s="114">
        <f t="shared" si="14"/>
        <v>0</v>
      </c>
      <c r="I31" s="114"/>
      <c r="J31" s="118">
        <f t="shared" si="3"/>
        <v>0</v>
      </c>
      <c r="K31" s="114">
        <f>+J31/'P&amp;L Summary'!I$21</f>
        <v>0</v>
      </c>
      <c r="L31" s="116">
        <f t="shared" si="15"/>
        <v>0</v>
      </c>
      <c r="M31" s="115"/>
      <c r="N31" s="125">
        <f t="shared" si="5"/>
        <v>0</v>
      </c>
      <c r="O31" s="114">
        <f>+N31/'P&amp;L Summary'!M$21</f>
        <v>0</v>
      </c>
      <c r="P31" s="114"/>
      <c r="Q31" s="74">
        <f>IF(ISERROR(VLOOKUP($X31,ess_bud,Q$6,FALSE)),0,VLOOKUP($X31,ess_bud,Q$6,FALSE))+IF(ISERROR(VLOOKUP($Z31,ess_bud,Q$6,FALSE)),0,VLOOKUP($Z31,ess_bud,Q$6,FALSE))+IF(ISERROR(VLOOKUP($Y31,ess_bud,Q$6,FALSE)),0,VLOOKUP($Y31,ess_bud,Q$6,FALSE))+IF(ISERROR(VLOOKUP($AA31,ess_bud,Q$6,FALSE)),0,VLOOKUP($AA31,ess_bud,Q$6,FALSE))</f>
        <v>0</v>
      </c>
      <c r="R31" s="114">
        <f>+Q31/'P&amp;L Summary'!P$21</f>
        <v>0</v>
      </c>
      <c r="S31" s="114">
        <f t="shared" si="16"/>
        <v>0</v>
      </c>
      <c r="T31" s="114"/>
      <c r="U31" s="126">
        <f t="shared" si="7"/>
        <v>0</v>
      </c>
      <c r="V31" s="114">
        <f>+U31/'P&amp;L Summary'!T$21</f>
        <v>0</v>
      </c>
      <c r="W31" s="116">
        <f t="shared" si="13"/>
        <v>0</v>
      </c>
      <c r="X31" s="2" t="str">
        <f t="shared" si="9"/>
        <v>45717CD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ht="12.75" customHeight="1">
      <c r="A32" s="124">
        <v>45718.0</v>
      </c>
      <c r="B32" s="8" t="s">
        <v>135</v>
      </c>
      <c r="C32" s="125">
        <f t="shared" si="1"/>
        <v>0</v>
      </c>
      <c r="D32" s="114">
        <f>+C32/'P&amp;L Summary'!B$21</f>
        <v>0</v>
      </c>
      <c r="E32" s="114"/>
      <c r="F32" s="118">
        <f>IF(ISERROR(VLOOKUP($X32,ess_bud,F$6,FALSE)),0,VLOOKUP($X32,ess_bud,F$6,FALSE))+IF(ISERROR(VLOOKUP($Z32,ess_bud,F$6,FALSE)),0,VLOOKUP($Z32,ess_bud,F$6,FALSE))+IF(ISERROR(VLOOKUP($Y32,ess_bud,F$6,FALSE)),0,VLOOKUP($Y32,ess_bud,F$6,FALSE))+IF(ISERROR(VLOOKUP($AA32,ess_bud,F$6,FALSE)),0,VLOOKUP($AA32,ess_bud,F$6,FALSE))</f>
        <v>0</v>
      </c>
      <c r="G32" s="114">
        <f>+F32/'P&amp;L Summary'!E$21</f>
        <v>0</v>
      </c>
      <c r="H32" s="114">
        <f t="shared" si="14"/>
        <v>0</v>
      </c>
      <c r="I32" s="114"/>
      <c r="J32" s="118">
        <f t="shared" si="3"/>
        <v>0</v>
      </c>
      <c r="K32" s="114">
        <f>+J32/'P&amp;L Summary'!I$21</f>
        <v>0</v>
      </c>
      <c r="L32" s="116">
        <f t="shared" si="15"/>
        <v>0</v>
      </c>
      <c r="M32" s="115"/>
      <c r="N32" s="125">
        <f t="shared" si="5"/>
        <v>0</v>
      </c>
      <c r="O32" s="114">
        <f>+N32/'P&amp;L Summary'!M$21</f>
        <v>0</v>
      </c>
      <c r="P32" s="114"/>
      <c r="Q32" s="74">
        <f>IF(ISERROR(VLOOKUP($X32,ess_bud,Q$6,FALSE)),0,VLOOKUP($X32,ess_bud,Q$6,FALSE))+IF(ISERROR(VLOOKUP($Z32,ess_bud,Q$6,FALSE)),0,VLOOKUP($Z32,ess_bud,Q$6,FALSE))+IF(ISERROR(VLOOKUP($Y32,ess_bud,Q$6,FALSE)),0,VLOOKUP($Y32,ess_bud,Q$6,FALSE))+IF(ISERROR(VLOOKUP($AA32,ess_bud,Q$6,FALSE)),0,VLOOKUP($AA32,ess_bud,Q$6,FALSE))</f>
        <v>0</v>
      </c>
      <c r="R32" s="114">
        <f>+Q32/'P&amp;L Summary'!P$21</f>
        <v>0</v>
      </c>
      <c r="S32" s="114">
        <f t="shared" si="16"/>
        <v>0</v>
      </c>
      <c r="T32" s="114"/>
      <c r="U32" s="126">
        <f t="shared" si="7"/>
        <v>0</v>
      </c>
      <c r="V32" s="114">
        <f>+U32/'P&amp;L Summary'!T$21</f>
        <v>0</v>
      </c>
      <c r="W32" s="116">
        <f t="shared" si="13"/>
        <v>0</v>
      </c>
      <c r="X32" s="2" t="str">
        <f t="shared" si="9"/>
        <v>45718CD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ht="12.75" customHeight="1">
      <c r="A33" s="124">
        <v>45719.0</v>
      </c>
      <c r="B33" s="8" t="s">
        <v>87</v>
      </c>
      <c r="C33" s="125">
        <f t="shared" si="1"/>
        <v>0</v>
      </c>
      <c r="D33" s="114">
        <f>+C33/'P&amp;L Summary'!B$21</f>
        <v>0</v>
      </c>
      <c r="E33" s="114"/>
      <c r="F33" s="118">
        <f>IF(ISERROR(VLOOKUP($X33,ess_bud,F$6,FALSE)),0,VLOOKUP($X33,ess_bud,F$6,FALSE))+IF(ISERROR(VLOOKUP($Z33,ess_bud,F$6,FALSE)),0,VLOOKUP($Z33,ess_bud,F$6,FALSE))+IF(ISERROR(VLOOKUP($Y33,ess_bud,F$6,FALSE)),0,VLOOKUP($Y33,ess_bud,F$6,FALSE))+IF(ISERROR(VLOOKUP($AA33,ess_bud,F$6,FALSE)),0,VLOOKUP($AA33,ess_bud,F$6,FALSE))</f>
        <v>0</v>
      </c>
      <c r="G33" s="114">
        <f>+F33/'P&amp;L Summary'!E$21</f>
        <v>0</v>
      </c>
      <c r="H33" s="114">
        <f t="shared" si="14"/>
        <v>0</v>
      </c>
      <c r="I33" s="114"/>
      <c r="J33" s="118">
        <f t="shared" si="3"/>
        <v>0</v>
      </c>
      <c r="K33" s="114">
        <f>+J33/'P&amp;L Summary'!I$21</f>
        <v>0</v>
      </c>
      <c r="L33" s="116">
        <f t="shared" si="15"/>
        <v>0</v>
      </c>
      <c r="M33" s="115"/>
      <c r="N33" s="125">
        <f t="shared" si="5"/>
        <v>0</v>
      </c>
      <c r="O33" s="114">
        <f>+N33/'P&amp;L Summary'!M$21</f>
        <v>0</v>
      </c>
      <c r="P33" s="114"/>
      <c r="Q33" s="74">
        <f>IF(ISERROR(VLOOKUP($X33,ess_bud,Q$6,FALSE)),0,VLOOKUP($X33,ess_bud,Q$6,FALSE))+IF(ISERROR(VLOOKUP($Z33,ess_bud,Q$6,FALSE)),0,VLOOKUP($Z33,ess_bud,Q$6,FALSE))+IF(ISERROR(VLOOKUP($Y33,ess_bud,Q$6,FALSE)),0,VLOOKUP($Y33,ess_bud,Q$6,FALSE))+IF(ISERROR(VLOOKUP($AA33,ess_bud,Q$6,FALSE)),0,VLOOKUP($AA33,ess_bud,Q$6,FALSE))</f>
        <v>0</v>
      </c>
      <c r="R33" s="114">
        <f>+Q33/'P&amp;L Summary'!P$21</f>
        <v>0</v>
      </c>
      <c r="S33" s="114">
        <f t="shared" si="16"/>
        <v>0</v>
      </c>
      <c r="T33" s="114"/>
      <c r="U33" s="126">
        <f t="shared" si="7"/>
        <v>0</v>
      </c>
      <c r="V33" s="114">
        <f>+U33/'P&amp;L Summary'!T$21</f>
        <v>0</v>
      </c>
      <c r="W33" s="116">
        <f t="shared" si="13"/>
        <v>0</v>
      </c>
      <c r="X33" s="2" t="str">
        <f t="shared" si="9"/>
        <v>45719CD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ht="12.75" customHeight="1">
      <c r="A34" s="124">
        <v>45720.0</v>
      </c>
      <c r="B34" s="8" t="s">
        <v>88</v>
      </c>
      <c r="C34" s="125">
        <f t="shared" si="1"/>
        <v>0</v>
      </c>
      <c r="D34" s="114">
        <f>+C34/'P&amp;L Summary'!B$21</f>
        <v>0</v>
      </c>
      <c r="E34" s="114"/>
      <c r="F34" s="118">
        <f>IF(ISERROR(VLOOKUP($X34,ess_bud,F$6,FALSE)),0,VLOOKUP($X34,ess_bud,F$6,FALSE))+IF(ISERROR(VLOOKUP($Z34,ess_bud,F$6,FALSE)),0,VLOOKUP($Z34,ess_bud,F$6,FALSE))+IF(ISERROR(VLOOKUP($Y34,ess_bud,F$6,FALSE)),0,VLOOKUP($Y34,ess_bud,F$6,FALSE))+IF(ISERROR(VLOOKUP($AA34,ess_bud,F$6,FALSE)),0,VLOOKUP($AA34,ess_bud,F$6,FALSE))</f>
        <v>0</v>
      </c>
      <c r="G34" s="114">
        <f>+F34/'P&amp;L Summary'!E$21</f>
        <v>0</v>
      </c>
      <c r="H34" s="114">
        <f t="shared" si="14"/>
        <v>0</v>
      </c>
      <c r="I34" s="114"/>
      <c r="J34" s="118">
        <f t="shared" si="3"/>
        <v>0</v>
      </c>
      <c r="K34" s="114">
        <f>+J34/'P&amp;L Summary'!I$21</f>
        <v>0</v>
      </c>
      <c r="L34" s="116">
        <f t="shared" si="15"/>
        <v>0</v>
      </c>
      <c r="M34" s="115"/>
      <c r="N34" s="125">
        <f t="shared" si="5"/>
        <v>0</v>
      </c>
      <c r="O34" s="114">
        <f>+N34/'P&amp;L Summary'!M$21</f>
        <v>0</v>
      </c>
      <c r="P34" s="114"/>
      <c r="Q34" s="74">
        <f>IF(ISERROR(VLOOKUP($X34,ess_bud,Q$6,FALSE)),0,VLOOKUP($X34,ess_bud,Q$6,FALSE))+IF(ISERROR(VLOOKUP($Z34,ess_bud,Q$6,FALSE)),0,VLOOKUP($Z34,ess_bud,Q$6,FALSE))+IF(ISERROR(VLOOKUP($Y34,ess_bud,Q$6,FALSE)),0,VLOOKUP($Y34,ess_bud,Q$6,FALSE))+IF(ISERROR(VLOOKUP($AA34,ess_bud,Q$6,FALSE)),0,VLOOKUP($AA34,ess_bud,Q$6,FALSE))</f>
        <v>0</v>
      </c>
      <c r="R34" s="114">
        <f>+Q34/'P&amp;L Summary'!P$21</f>
        <v>0</v>
      </c>
      <c r="S34" s="114">
        <f t="shared" si="16"/>
        <v>0</v>
      </c>
      <c r="T34" s="114"/>
      <c r="U34" s="126">
        <f t="shared" si="7"/>
        <v>0</v>
      </c>
      <c r="V34" s="114">
        <f>+U34/'P&amp;L Summary'!T$21</f>
        <v>0</v>
      </c>
      <c r="W34" s="116">
        <f t="shared" si="13"/>
        <v>0</v>
      </c>
      <c r="X34" s="2" t="str">
        <f t="shared" si="9"/>
        <v>45720CD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ht="12.75" customHeight="1">
      <c r="A35" s="124">
        <v>45721.0</v>
      </c>
      <c r="B35" s="8" t="s">
        <v>141</v>
      </c>
      <c r="C35" s="125">
        <f t="shared" si="1"/>
        <v>0</v>
      </c>
      <c r="D35" s="114">
        <f>+C35/'P&amp;L Summary'!B$21</f>
        <v>0</v>
      </c>
      <c r="E35" s="114"/>
      <c r="F35" s="118">
        <f>IF(ISERROR(VLOOKUP($X35,ess_bud,F$6,FALSE)),0,VLOOKUP($X35,ess_bud,F$6,FALSE))+IF(ISERROR(VLOOKUP($Z35,ess_bud,F$6,FALSE)),0,VLOOKUP($Z35,ess_bud,F$6,FALSE))+IF(ISERROR(VLOOKUP($Y35,ess_bud,F$6,FALSE)),0,VLOOKUP($Y35,ess_bud,F$6,FALSE))+IF(ISERROR(VLOOKUP($AA35,ess_bud,F$6,FALSE)),0,VLOOKUP($AA35,ess_bud,F$6,FALSE))</f>
        <v>0</v>
      </c>
      <c r="G35" s="114">
        <f>+F35/'P&amp;L Summary'!E$21</f>
        <v>0</v>
      </c>
      <c r="H35" s="114">
        <f t="shared" si="14"/>
        <v>0</v>
      </c>
      <c r="I35" s="114"/>
      <c r="J35" s="118">
        <f t="shared" si="3"/>
        <v>0</v>
      </c>
      <c r="K35" s="114">
        <f>+J35/'P&amp;L Summary'!I$21</f>
        <v>0</v>
      </c>
      <c r="L35" s="116">
        <f t="shared" si="15"/>
        <v>0</v>
      </c>
      <c r="M35" s="115"/>
      <c r="N35" s="125">
        <f t="shared" si="5"/>
        <v>0</v>
      </c>
      <c r="O35" s="114">
        <f>+N35/'P&amp;L Summary'!M$21</f>
        <v>0</v>
      </c>
      <c r="P35" s="114"/>
      <c r="Q35" s="74">
        <f>IF(ISERROR(VLOOKUP($X35,ess_bud,Q$6,FALSE)),0,VLOOKUP($X35,ess_bud,Q$6,FALSE))+IF(ISERROR(VLOOKUP($Z35,ess_bud,Q$6,FALSE)),0,VLOOKUP($Z35,ess_bud,Q$6,FALSE))+IF(ISERROR(VLOOKUP($Y35,ess_bud,Q$6,FALSE)),0,VLOOKUP($Y35,ess_bud,Q$6,FALSE))+IF(ISERROR(VLOOKUP($AA35,ess_bud,Q$6,FALSE)),0,VLOOKUP($AA35,ess_bud,Q$6,FALSE))</f>
        <v>0</v>
      </c>
      <c r="R35" s="114">
        <f>+Q35/'P&amp;L Summary'!P$21</f>
        <v>0</v>
      </c>
      <c r="S35" s="114">
        <f t="shared" si="16"/>
        <v>0</v>
      </c>
      <c r="T35" s="114"/>
      <c r="U35" s="126">
        <f t="shared" si="7"/>
        <v>0</v>
      </c>
      <c r="V35" s="114">
        <f>+U35/'P&amp;L Summary'!T$21</f>
        <v>0</v>
      </c>
      <c r="W35" s="116">
        <f t="shared" si="13"/>
        <v>0</v>
      </c>
      <c r="X35" s="2" t="str">
        <f t="shared" si="9"/>
        <v>45721CD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ht="12.75" customHeight="1">
      <c r="A36" s="124">
        <v>45722.0</v>
      </c>
      <c r="B36" s="8" t="s">
        <v>143</v>
      </c>
      <c r="C36" s="125">
        <f t="shared" si="1"/>
        <v>0</v>
      </c>
      <c r="D36" s="114">
        <f>+C36/'P&amp;L Summary'!B$21</f>
        <v>0</v>
      </c>
      <c r="E36" s="114"/>
      <c r="F36" s="118">
        <f>IF(ISERROR(VLOOKUP($X36,ess_bud,F$6,FALSE)),0,VLOOKUP($X36,ess_bud,F$6,FALSE))+IF(ISERROR(VLOOKUP($Z36,ess_bud,F$6,FALSE)),0,VLOOKUP($Z36,ess_bud,F$6,FALSE))+IF(ISERROR(VLOOKUP($Y36,ess_bud,F$6,FALSE)),0,VLOOKUP($Y36,ess_bud,F$6,FALSE))+IF(ISERROR(VLOOKUP($AA36,ess_bud,F$6,FALSE)),0,VLOOKUP($AA36,ess_bud,F$6,FALSE))</f>
        <v>0</v>
      </c>
      <c r="G36" s="114">
        <f>+F36/'P&amp;L Summary'!E$21</f>
        <v>0</v>
      </c>
      <c r="H36" s="114">
        <f t="shared" si="14"/>
        <v>0</v>
      </c>
      <c r="I36" s="114"/>
      <c r="J36" s="118">
        <f t="shared" si="3"/>
        <v>0</v>
      </c>
      <c r="K36" s="114">
        <f>+J36/'P&amp;L Summary'!I$21</f>
        <v>0</v>
      </c>
      <c r="L36" s="116">
        <f t="shared" si="15"/>
        <v>0</v>
      </c>
      <c r="M36" s="115"/>
      <c r="N36" s="125">
        <f t="shared" si="5"/>
        <v>0</v>
      </c>
      <c r="O36" s="114">
        <f>+N36/'P&amp;L Summary'!M$21</f>
        <v>0</v>
      </c>
      <c r="P36" s="114"/>
      <c r="Q36" s="74">
        <f>IF(ISERROR(VLOOKUP($X36,ess_bud,Q$6,FALSE)),0,VLOOKUP($X36,ess_bud,Q$6,FALSE))+IF(ISERROR(VLOOKUP($Z36,ess_bud,Q$6,FALSE)),0,VLOOKUP($Z36,ess_bud,Q$6,FALSE))+IF(ISERROR(VLOOKUP($Y36,ess_bud,Q$6,FALSE)),0,VLOOKUP($Y36,ess_bud,Q$6,FALSE))+IF(ISERROR(VLOOKUP($AA36,ess_bud,Q$6,FALSE)),0,VLOOKUP($AA36,ess_bud,Q$6,FALSE))</f>
        <v>0</v>
      </c>
      <c r="R36" s="114">
        <f>+Q36/'P&amp;L Summary'!P$21</f>
        <v>0</v>
      </c>
      <c r="S36" s="114">
        <f t="shared" si="16"/>
        <v>0</v>
      </c>
      <c r="T36" s="114"/>
      <c r="U36" s="126">
        <f t="shared" si="7"/>
        <v>0</v>
      </c>
      <c r="V36" s="114">
        <f>+U36/'P&amp;L Summary'!T$21</f>
        <v>0</v>
      </c>
      <c r="W36" s="116">
        <f t="shared" si="13"/>
        <v>0</v>
      </c>
      <c r="X36" s="2" t="str">
        <f t="shared" si="9"/>
        <v>45722CD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ht="12.75" customHeight="1">
      <c r="A37" s="124">
        <v>45723.0</v>
      </c>
      <c r="B37" s="8" t="s">
        <v>147</v>
      </c>
      <c r="C37" s="125">
        <f t="shared" si="1"/>
        <v>0</v>
      </c>
      <c r="D37" s="114">
        <f>+C37/'P&amp;L Summary'!B$21</f>
        <v>0</v>
      </c>
      <c r="E37" s="114"/>
      <c r="F37" s="118">
        <f>IF(ISERROR(VLOOKUP($X37,ess_bud,F$6,FALSE)),0,VLOOKUP($X37,ess_bud,F$6,FALSE))+IF(ISERROR(VLOOKUP($Z37,ess_bud,F$6,FALSE)),0,VLOOKUP($Z37,ess_bud,F$6,FALSE))+IF(ISERROR(VLOOKUP($Y37,ess_bud,F$6,FALSE)),0,VLOOKUP($Y37,ess_bud,F$6,FALSE))+IF(ISERROR(VLOOKUP($AA37,ess_bud,F$6,FALSE)),0,VLOOKUP($AA37,ess_bud,F$6,FALSE))</f>
        <v>0</v>
      </c>
      <c r="G37" s="114">
        <f>+F37/'P&amp;L Summary'!E$21</f>
        <v>0</v>
      </c>
      <c r="H37" s="114">
        <f t="shared" si="14"/>
        <v>0</v>
      </c>
      <c r="I37" s="114"/>
      <c r="J37" s="118">
        <f t="shared" si="3"/>
        <v>0</v>
      </c>
      <c r="K37" s="114">
        <f>+J37/'P&amp;L Summary'!I$21</f>
        <v>0</v>
      </c>
      <c r="L37" s="116">
        <f t="shared" si="15"/>
        <v>0</v>
      </c>
      <c r="M37" s="115"/>
      <c r="N37" s="125">
        <f t="shared" si="5"/>
        <v>0</v>
      </c>
      <c r="O37" s="114">
        <f>+N37/'P&amp;L Summary'!M$21</f>
        <v>0</v>
      </c>
      <c r="P37" s="114"/>
      <c r="Q37" s="74">
        <f>IF(ISERROR(VLOOKUP($X37,ess_bud,Q$6,FALSE)),0,VLOOKUP($X37,ess_bud,Q$6,FALSE))+IF(ISERROR(VLOOKUP($Z37,ess_bud,Q$6,FALSE)),0,VLOOKUP($Z37,ess_bud,Q$6,FALSE))+IF(ISERROR(VLOOKUP($Y37,ess_bud,Q$6,FALSE)),0,VLOOKUP($Y37,ess_bud,Q$6,FALSE))+IF(ISERROR(VLOOKUP($AA37,ess_bud,Q$6,FALSE)),0,VLOOKUP($AA37,ess_bud,Q$6,FALSE))</f>
        <v>130</v>
      </c>
      <c r="R37" s="114">
        <f>+Q37/'P&amp;L Summary'!P$21</f>
        <v>0.00006138567296</v>
      </c>
      <c r="S37" s="114">
        <f t="shared" si="16"/>
        <v>-1</v>
      </c>
      <c r="T37" s="114"/>
      <c r="U37" s="126">
        <f t="shared" si="7"/>
        <v>0</v>
      </c>
      <c r="V37" s="114">
        <f>+U37/'P&amp;L Summary'!T$21</f>
        <v>0</v>
      </c>
      <c r="W37" s="116">
        <f t="shared" si="13"/>
        <v>0</v>
      </c>
      <c r="X37" s="2" t="str">
        <f t="shared" si="9"/>
        <v>45723CD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ht="12.75" customHeight="1">
      <c r="A38" s="124">
        <v>45724.0</v>
      </c>
      <c r="B38" s="8" t="s">
        <v>94</v>
      </c>
      <c r="C38" s="125">
        <f t="shared" si="1"/>
        <v>0</v>
      </c>
      <c r="D38" s="114">
        <f>+C38/'P&amp;L Summary'!B$21</f>
        <v>0</v>
      </c>
      <c r="E38" s="114"/>
      <c r="F38" s="118">
        <f>IF(ISERROR(VLOOKUP($X38,ess_bud,F$6,FALSE)),0,VLOOKUP($X38,ess_bud,F$6,FALSE))+IF(ISERROR(VLOOKUP($Z38,ess_bud,F$6,FALSE)),0,VLOOKUP($Z38,ess_bud,F$6,FALSE))+IF(ISERROR(VLOOKUP($Y38,ess_bud,F$6,FALSE)),0,VLOOKUP($Y38,ess_bud,F$6,FALSE))+IF(ISERROR(VLOOKUP($AA38,ess_bud,F$6,FALSE)),0,VLOOKUP($AA38,ess_bud,F$6,FALSE))</f>
        <v>0</v>
      </c>
      <c r="G38" s="114">
        <f>+F38/'P&amp;L Summary'!E$21</f>
        <v>0</v>
      </c>
      <c r="H38" s="114">
        <f>IF(F40=0,0,+(C40-F40)/F40)</f>
        <v>0</v>
      </c>
      <c r="I38" s="114"/>
      <c r="J38" s="118">
        <f t="shared" si="3"/>
        <v>0</v>
      </c>
      <c r="K38" s="114">
        <f>+J38/'P&amp;L Summary'!I$21</f>
        <v>0</v>
      </c>
      <c r="L38" s="116">
        <f>IF(J40=0,0,+(C40-J40)/J40)</f>
        <v>0</v>
      </c>
      <c r="M38" s="115"/>
      <c r="N38" s="125">
        <f t="shared" si="5"/>
        <v>0</v>
      </c>
      <c r="O38" s="114">
        <f>+N38/'P&amp;L Summary'!M$21</f>
        <v>0</v>
      </c>
      <c r="P38" s="114"/>
      <c r="Q38" s="74">
        <f>IF(ISERROR(VLOOKUP($X38,ess_bud,Q$6,FALSE)),0,VLOOKUP($X38,ess_bud,Q$6,FALSE))+IF(ISERROR(VLOOKUP($Z38,ess_bud,Q$6,FALSE)),0,VLOOKUP($Z38,ess_bud,Q$6,FALSE))+IF(ISERROR(VLOOKUP($Y38,ess_bud,Q$6,FALSE)),0,VLOOKUP($Y38,ess_bud,Q$6,FALSE))+IF(ISERROR(VLOOKUP($AA38,ess_bud,Q$6,FALSE)),0,VLOOKUP($AA38,ess_bud,Q$6,FALSE))</f>
        <v>0</v>
      </c>
      <c r="R38" s="114">
        <f>+Q38/'P&amp;L Summary'!P$21</f>
        <v>0</v>
      </c>
      <c r="S38" s="114">
        <f>+IF(Q40=0,0,(N40-Q40)/Q40)</f>
        <v>0</v>
      </c>
      <c r="T38" s="114"/>
      <c r="U38" s="126">
        <f t="shared" si="7"/>
        <v>0</v>
      </c>
      <c r="V38" s="114">
        <f>+U38/'P&amp;L Summary'!T$21</f>
        <v>0</v>
      </c>
      <c r="W38" s="116">
        <f t="shared" si="13"/>
        <v>0</v>
      </c>
      <c r="X38" s="2" t="str">
        <f t="shared" si="9"/>
        <v>45724CD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ht="12.75" customHeight="1">
      <c r="A39" s="124">
        <v>49109.0</v>
      </c>
      <c r="B39" s="8" t="s">
        <v>150</v>
      </c>
      <c r="C39" s="125">
        <f t="shared" si="1"/>
        <v>0</v>
      </c>
      <c r="D39" s="114">
        <f>+C39/'P&amp;L Summary'!B$21</f>
        <v>0</v>
      </c>
      <c r="E39" s="114"/>
      <c r="F39" s="118">
        <f>IF(ISERROR(VLOOKUP($X39,ess_bud,F$6,FALSE)),0,VLOOKUP($X39,ess_bud,F$6,FALSE))+IF(ISERROR(VLOOKUP($Z39,ess_bud,F$6,FALSE)),0,VLOOKUP($Z39,ess_bud,F$6,FALSE))+IF(ISERROR(VLOOKUP($Y39,ess_bud,F$6,FALSE)),0,VLOOKUP($Y39,ess_bud,F$6,FALSE))+IF(ISERROR(VLOOKUP($AA39,ess_bud,F$6,FALSE)),0,VLOOKUP($AA39,ess_bud,F$6,FALSE))</f>
        <v>0</v>
      </c>
      <c r="G39" s="114">
        <f>+F39/'P&amp;L Summary'!E$21</f>
        <v>0</v>
      </c>
      <c r="H39" s="114"/>
      <c r="I39" s="114"/>
      <c r="J39" s="118">
        <f t="shared" si="3"/>
        <v>0</v>
      </c>
      <c r="K39" s="114">
        <f>+J39/'P&amp;L Summary'!I$21</f>
        <v>0</v>
      </c>
      <c r="L39" s="116"/>
      <c r="M39" s="115"/>
      <c r="N39" s="125">
        <f t="shared" si="5"/>
        <v>0</v>
      </c>
      <c r="O39" s="114">
        <f>+N39/'P&amp;L Summary'!M$21</f>
        <v>0</v>
      </c>
      <c r="P39" s="114"/>
      <c r="Q39" s="74">
        <f>IF(ISERROR(VLOOKUP($X39,ess_bud,Q$6,FALSE)),0,VLOOKUP($X39,ess_bud,Q$6,FALSE))+IF(ISERROR(VLOOKUP($Z39,ess_bud,Q$6,FALSE)),0,VLOOKUP($Z39,ess_bud,Q$6,FALSE))+IF(ISERROR(VLOOKUP($Y39,ess_bud,Q$6,FALSE)),0,VLOOKUP($Y39,ess_bud,Q$6,FALSE))+IF(ISERROR(VLOOKUP($AA39,ess_bud,Q$6,FALSE)),0,VLOOKUP($AA39,ess_bud,Q$6,FALSE))</f>
        <v>0</v>
      </c>
      <c r="R39" s="114">
        <f>+Q39/'P&amp;L Summary'!P$21</f>
        <v>0</v>
      </c>
      <c r="S39" s="114"/>
      <c r="T39" s="114"/>
      <c r="U39" s="126">
        <f t="shared" si="7"/>
        <v>0</v>
      </c>
      <c r="V39" s="114">
        <f>+U39/'P&amp;L Summary'!T$21</f>
        <v>0</v>
      </c>
      <c r="W39" s="116"/>
      <c r="X39" s="2" t="str">
        <f t="shared" si="9"/>
        <v>49109CD</v>
      </c>
      <c r="Y39" s="2"/>
      <c r="Z39" s="2" t="str">
        <f>49107&amp;$A$9</f>
        <v>49107CD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ht="12.75" customHeight="1">
      <c r="A40" s="124">
        <v>45725.0</v>
      </c>
      <c r="B40" s="8" t="s">
        <v>95</v>
      </c>
      <c r="C40" s="125">
        <f t="shared" si="1"/>
        <v>0</v>
      </c>
      <c r="D40" s="114">
        <f>+C40/'P&amp;L Summary'!B$21</f>
        <v>0</v>
      </c>
      <c r="E40" s="114"/>
      <c r="F40" s="118">
        <f>IF(ISERROR(VLOOKUP($X40,ess_bud,F$6,FALSE)),0,VLOOKUP($X40,ess_bud,F$6,FALSE))+IF(ISERROR(VLOOKUP($Z40,ess_bud,F$6,FALSE)),0,VLOOKUP($Z40,ess_bud,F$6,FALSE))+IF(ISERROR(VLOOKUP($Y40,ess_bud,F$6,FALSE)),0,VLOOKUP($Y40,ess_bud,F$6,FALSE))+IF(ISERROR(VLOOKUP($AA40,ess_bud,F$6,FALSE)),0,VLOOKUP($AA40,ess_bud,F$6,FALSE))</f>
        <v>0</v>
      </c>
      <c r="G40" s="114">
        <f>+F40/'P&amp;L Summary'!E$21</f>
        <v>0</v>
      </c>
      <c r="H40" s="114">
        <f t="shared" ref="H40:H41" si="17">IF(F40=0,0,+(C40-F40)/F40)</f>
        <v>0</v>
      </c>
      <c r="I40" s="114"/>
      <c r="J40" s="118">
        <f t="shared" si="3"/>
        <v>0</v>
      </c>
      <c r="K40" s="114">
        <f>+J40/'P&amp;L Summary'!I$21</f>
        <v>0</v>
      </c>
      <c r="L40" s="116">
        <f t="shared" ref="L40:L41" si="18">IF(J40=0,0,+(C40-J40)/J40)</f>
        <v>0</v>
      </c>
      <c r="M40" s="115"/>
      <c r="N40" s="125">
        <f t="shared" si="5"/>
        <v>0</v>
      </c>
      <c r="O40" s="114">
        <f>+N40/'P&amp;L Summary'!M$21</f>
        <v>0</v>
      </c>
      <c r="P40" s="114"/>
      <c r="Q40" s="74">
        <f>IF(ISERROR(VLOOKUP($X40,ess_bud,Q$6,FALSE)),0,VLOOKUP($X40,ess_bud,Q$6,FALSE))+IF(ISERROR(VLOOKUP($Z40,ess_bud,Q$6,FALSE)),0,VLOOKUP($Z40,ess_bud,Q$6,FALSE))+IF(ISERROR(VLOOKUP($Y40,ess_bud,Q$6,FALSE)),0,VLOOKUP($Y40,ess_bud,Q$6,FALSE))+IF(ISERROR(VLOOKUP($AA40,ess_bud,Q$6,FALSE)),0,VLOOKUP($AA40,ess_bud,Q$6,FALSE))</f>
        <v>0</v>
      </c>
      <c r="R40" s="114">
        <f>+Q40/'P&amp;L Summary'!P$21</f>
        <v>0</v>
      </c>
      <c r="S40" s="114">
        <f t="shared" ref="S40:S41" si="19">+IF(Q40=0,0,(N40-Q40)/Q40)</f>
        <v>0</v>
      </c>
      <c r="T40" s="114"/>
      <c r="U40" s="126">
        <f t="shared" si="7"/>
        <v>0</v>
      </c>
      <c r="V40" s="114">
        <f>+U40/'P&amp;L Summary'!T$21</f>
        <v>0</v>
      </c>
      <c r="W40" s="116">
        <f t="shared" ref="W40:W41" si="20">+IF(U40=0,0,(N40-U40)/U40)</f>
        <v>0</v>
      </c>
      <c r="X40" s="2" t="str">
        <f t="shared" si="9"/>
        <v>45725CD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ht="12.75" customHeight="1">
      <c r="A41" s="2"/>
      <c r="B41" s="24" t="s">
        <v>40</v>
      </c>
      <c r="C41" s="144">
        <f>SUM(C13:C40)</f>
        <v>0</v>
      </c>
      <c r="D41" s="145">
        <f>+C41/'P&amp;L Summary'!B$21</f>
        <v>0</v>
      </c>
      <c r="E41" s="145"/>
      <c r="F41" s="146">
        <f>SUM(F13:F40)</f>
        <v>0</v>
      </c>
      <c r="G41" s="145">
        <f>+F41/'P&amp;L Summary'!E$21</f>
        <v>0</v>
      </c>
      <c r="H41" s="145">
        <f t="shared" si="17"/>
        <v>0</v>
      </c>
      <c r="I41" s="145"/>
      <c r="J41" s="147">
        <f>SUM(J13:J40)</f>
        <v>0</v>
      </c>
      <c r="K41" s="145">
        <f>+J41/'P&amp;L Summary'!I$21</f>
        <v>0</v>
      </c>
      <c r="L41" s="148">
        <f t="shared" si="18"/>
        <v>0</v>
      </c>
      <c r="M41" s="115"/>
      <c r="N41" s="144">
        <f>SUM(N13:N40)</f>
        <v>0</v>
      </c>
      <c r="O41" s="145">
        <f>+N41/'P&amp;L Summary'!M$21</f>
        <v>0</v>
      </c>
      <c r="P41" s="145"/>
      <c r="Q41" s="146">
        <f>SUM(Q13:Q40)</f>
        <v>136080.25</v>
      </c>
      <c r="R41" s="145">
        <f>+Q41/'P&amp;L Summary'!P$21</f>
        <v>0.06425675172</v>
      </c>
      <c r="S41" s="145">
        <f t="shared" si="19"/>
        <v>-1</v>
      </c>
      <c r="T41" s="145"/>
      <c r="U41" s="146">
        <f>SUM(U13:U40)</f>
        <v>0</v>
      </c>
      <c r="V41" s="145">
        <f>+U41/'P&amp;L Summary'!T$21</f>
        <v>0</v>
      </c>
      <c r="W41" s="148">
        <f t="shared" si="20"/>
        <v>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ht="12.75" customHeight="1">
      <c r="A42" s="2"/>
      <c r="B42" s="71"/>
      <c r="C42" s="125"/>
      <c r="D42" s="114"/>
      <c r="E42" s="114"/>
      <c r="F42" s="74"/>
      <c r="G42" s="114"/>
      <c r="H42" s="137"/>
      <c r="I42" s="137"/>
      <c r="J42" s="118"/>
      <c r="K42" s="114"/>
      <c r="L42" s="116"/>
      <c r="M42" s="115"/>
      <c r="N42" s="125"/>
      <c r="O42" s="114"/>
      <c r="P42" s="114"/>
      <c r="Q42" s="74"/>
      <c r="R42" s="114"/>
      <c r="S42" s="137"/>
      <c r="T42" s="137"/>
      <c r="U42" s="74"/>
      <c r="V42" s="114"/>
      <c r="W42" s="116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ht="12.75" customHeight="1">
      <c r="A43" s="2"/>
      <c r="B43" s="24" t="s">
        <v>33</v>
      </c>
      <c r="C43" s="125"/>
      <c r="D43" s="137"/>
      <c r="E43" s="137"/>
      <c r="F43" s="74"/>
      <c r="G43" s="137"/>
      <c r="H43" s="137"/>
      <c r="I43" s="137"/>
      <c r="J43" s="118"/>
      <c r="K43" s="137"/>
      <c r="L43" s="138"/>
      <c r="M43" s="115"/>
      <c r="N43" s="125"/>
      <c r="O43" s="137"/>
      <c r="P43" s="137"/>
      <c r="Q43" s="74"/>
      <c r="R43" s="137"/>
      <c r="S43" s="137"/>
      <c r="T43" s="137"/>
      <c r="U43" s="74"/>
      <c r="V43" s="137"/>
      <c r="W43" s="13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ht="12.75" customHeight="1">
      <c r="A44" s="32">
        <v>45102.0</v>
      </c>
      <c r="B44" s="8" t="s">
        <v>154</v>
      </c>
      <c r="C44" s="125">
        <f t="shared" ref="C44:C65" si="21">IF(ISERROR(VLOOKUP($X44,ess_act,C$6,FALSE)),0,VLOOKUP($X44,ess_act,C$6,FALSE))+IF(ISERROR(VLOOKUP($Z44,ess_act,C$6,FALSE)),0,VLOOKUP($Z44,ess_act,C$6,FALSE))+IF(ISERROR(VLOOKUP($Y44,ess_act,C$6,FALSE)),0,VLOOKUP($Y44,ess_act,C$6,FALSE))+IF(ISERROR(VLOOKUP($AA44,ess_act,C$6,FALSE)),0,VLOOKUP($AA44,ess_act,C$6,FALSE))</f>
        <v>0</v>
      </c>
      <c r="D44" s="114">
        <f>+C44/'P&amp;L Summary'!B$21</f>
        <v>0</v>
      </c>
      <c r="E44" s="114"/>
      <c r="F44" s="118">
        <f>IF(ISERROR(VLOOKUP($X44,ess_bud,F$6,FALSE)),0,VLOOKUP($X44,ess_bud,F$6,FALSE))+IF(ISERROR(VLOOKUP($Z44,ess_bud,F$6,FALSE)),0,VLOOKUP($Z44,ess_bud,F$6,FALSE))+IF(ISERROR(VLOOKUP($Y44,ess_bud,F$6,FALSE)),0,VLOOKUP($Y44,ess_bud,F$6,FALSE))+IF(ISERROR(VLOOKUP($AA44,ess_bud,F$6,FALSE)),0,VLOOKUP($AA44,ess_bud,F$6,FALSE))</f>
        <v>0</v>
      </c>
      <c r="G44" s="114">
        <f>+F44/'P&amp;L Summary'!E$21</f>
        <v>0</v>
      </c>
      <c r="H44" s="114">
        <f t="shared" ref="H44:H52" si="22">IF(F44=0,0,+(C44-F44)/F44)</f>
        <v>0</v>
      </c>
      <c r="I44" s="114"/>
      <c r="J44" s="118">
        <f t="shared" ref="J44:J65" si="23">IF(ISERROR(VLOOKUP($X44,ess_act,J$6,FALSE)),0,VLOOKUP($X44,ess_act,J$6,FALSE))+IF(ISERROR(VLOOKUP($Z44,ess_act,J$6,FALSE)),0,VLOOKUP($Z44,ess_act,J$6,FALSE))+IF(ISERROR(VLOOKUP($Y44,ess_act,J$6,FALSE)),0,VLOOKUP($Y44,ess_act,J$6,FALSE))+IF(ISERROR(VLOOKUP($AA44,ess_act,J$6,FALSE)),0,VLOOKUP($AA44,ess_act,J$6,FALSE))</f>
        <v>0</v>
      </c>
      <c r="K44" s="114">
        <f>+J44/'P&amp;L Summary'!I$21</f>
        <v>0</v>
      </c>
      <c r="L44" s="116">
        <f t="shared" ref="L44:L52" si="24">IF(J44=0,0,+(C44-J44)/J44)</f>
        <v>0</v>
      </c>
      <c r="M44" s="115"/>
      <c r="N44" s="125">
        <f t="shared" ref="N44:N65" si="25">IF(ISERROR(VLOOKUP($X44,ess_act,N$6,FALSE)),0,VLOOKUP($X44,ess_act,N$6,FALSE))+IF(ISERROR(VLOOKUP($Z44,ess_act,N$6,FALSE)),0,VLOOKUP($Z44,ess_act,N$6,FALSE))+IF(ISERROR(VLOOKUP($Y44,ess_act,N$6,FALSE)),0,VLOOKUP($Y44,ess_act,N$6,FALSE))+IF(ISERROR(VLOOKUP($AA44,ess_act,N$6,FALSE)),0,VLOOKUP($AA44,ess_act,N$6,FALSE))</f>
        <v>0</v>
      </c>
      <c r="O44" s="114">
        <f>+N44/'P&amp;L Summary'!M$21</f>
        <v>0</v>
      </c>
      <c r="P44" s="114"/>
      <c r="Q44" s="74">
        <f>IF(ISERROR(VLOOKUP($X44,ess_bud,Q$6,FALSE)),0,VLOOKUP($X44,ess_bud,Q$6,FALSE))+IF(ISERROR(VLOOKUP($Z44,ess_bud,Q$6,FALSE)),0,VLOOKUP($Z44,ess_bud,Q$6,FALSE))+IF(ISERROR(VLOOKUP($Y44,ess_bud,Q$6,FALSE)),0,VLOOKUP($Y44,ess_bud,Q$6,FALSE))+IF(ISERROR(VLOOKUP($AA44,ess_bud,Q$6,FALSE)),0,VLOOKUP($AA44,ess_bud,Q$6,FALSE))</f>
        <v>0</v>
      </c>
      <c r="R44" s="114">
        <f>+Q44/'P&amp;L Summary'!P$21</f>
        <v>0</v>
      </c>
      <c r="S44" s="114">
        <f t="shared" ref="S44:S52" si="26">+IF(Q44=0,0,(N44-Q44)/Q44)</f>
        <v>0</v>
      </c>
      <c r="T44" s="114"/>
      <c r="U44" s="126">
        <f t="shared" ref="U44:U65" si="27">IF(ISERROR(VLOOKUP($X44,ess_act,U$6,FALSE)),0,VLOOKUP($X44,ess_act,U$6,FALSE))+IF(ISERROR(VLOOKUP($Z44,ess_act,U$6,FALSE)),0,VLOOKUP($Z44,ess_act,U$6,FALSE))+IF(ISERROR(VLOOKUP($Y44,ess_act,U$6,FALSE)),0,VLOOKUP($Y44,ess_act,U$6,FALSE))+IF(ISERROR(VLOOKUP($AA44,ess_act,U$6,FALSE)),0,VLOOKUP($AA44,ess_act,U$6,FALSE))</f>
        <v>0</v>
      </c>
      <c r="V44" s="114">
        <f>+U44/'P&amp;L Summary'!T$21</f>
        <v>0</v>
      </c>
      <c r="W44" s="116">
        <f t="shared" ref="W44:W62" si="28">+IF(U44=0,0,(N44-U44)/U44)</f>
        <v>0</v>
      </c>
      <c r="X44" s="2" t="str">
        <f t="shared" ref="X44:X65" si="29">A44&amp;$A$9</f>
        <v>45102CD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ht="12.75" customHeight="1">
      <c r="A45" s="32">
        <v>45103.0</v>
      </c>
      <c r="B45" s="8" t="s">
        <v>123</v>
      </c>
      <c r="C45" s="125">
        <f t="shared" si="21"/>
        <v>0</v>
      </c>
      <c r="D45" s="114">
        <f>+C45/'P&amp;L Summary'!B$21</f>
        <v>0</v>
      </c>
      <c r="E45" s="114"/>
      <c r="F45" s="118">
        <f>IF(ISERROR(VLOOKUP($X45,ess_bud,F$6,FALSE)),0,VLOOKUP($X45,ess_bud,F$6,FALSE))+IF(ISERROR(VLOOKUP($Z45,ess_bud,F$6,FALSE)),0,VLOOKUP($Z45,ess_bud,F$6,FALSE))+IF(ISERROR(VLOOKUP($Y45,ess_bud,F$6,FALSE)),0,VLOOKUP($Y45,ess_bud,F$6,FALSE))+IF(ISERROR(VLOOKUP($AA45,ess_bud,F$6,FALSE)),0,VLOOKUP($AA45,ess_bud,F$6,FALSE))</f>
        <v>0</v>
      </c>
      <c r="G45" s="114">
        <f>+F45/'P&amp;L Summary'!E$21</f>
        <v>0</v>
      </c>
      <c r="H45" s="114">
        <f t="shared" si="22"/>
        <v>0</v>
      </c>
      <c r="I45" s="114"/>
      <c r="J45" s="118">
        <f t="shared" si="23"/>
        <v>0</v>
      </c>
      <c r="K45" s="114">
        <f>+J45/'P&amp;L Summary'!I$21</f>
        <v>0</v>
      </c>
      <c r="L45" s="116">
        <f t="shared" si="24"/>
        <v>0</v>
      </c>
      <c r="M45" s="115"/>
      <c r="N45" s="125">
        <f t="shared" si="25"/>
        <v>0</v>
      </c>
      <c r="O45" s="114">
        <f>+N45/'P&amp;L Summary'!M$21</f>
        <v>0</v>
      </c>
      <c r="P45" s="114"/>
      <c r="Q45" s="74">
        <f>IF(ISERROR(VLOOKUP($X45,ess_bud,Q$6,FALSE)),0,VLOOKUP($X45,ess_bud,Q$6,FALSE))+IF(ISERROR(VLOOKUP($Z45,ess_bud,Q$6,FALSE)),0,VLOOKUP($Z45,ess_bud,Q$6,FALSE))+IF(ISERROR(VLOOKUP($Y45,ess_bud,Q$6,FALSE)),0,VLOOKUP($Y45,ess_bud,Q$6,FALSE))+IF(ISERROR(VLOOKUP($AA45,ess_bud,Q$6,FALSE)),0,VLOOKUP($AA45,ess_bud,Q$6,FALSE))</f>
        <v>0</v>
      </c>
      <c r="R45" s="114">
        <f>+Q45/'P&amp;L Summary'!P$21</f>
        <v>0</v>
      </c>
      <c r="S45" s="114">
        <f t="shared" si="26"/>
        <v>0</v>
      </c>
      <c r="T45" s="114"/>
      <c r="U45" s="126">
        <f t="shared" si="27"/>
        <v>0</v>
      </c>
      <c r="V45" s="114">
        <f>+U45/'P&amp;L Summary'!T$21</f>
        <v>0</v>
      </c>
      <c r="W45" s="116">
        <f t="shared" si="28"/>
        <v>0</v>
      </c>
      <c r="X45" s="2" t="str">
        <f t="shared" si="29"/>
        <v>45103CD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ht="12.75" customHeight="1">
      <c r="A46" s="32">
        <v>46200.0</v>
      </c>
      <c r="B46" s="8" t="s">
        <v>126</v>
      </c>
      <c r="C46" s="125">
        <f t="shared" si="21"/>
        <v>0</v>
      </c>
      <c r="D46" s="114">
        <f>+C46/'P&amp;L Summary'!B$21</f>
        <v>0</v>
      </c>
      <c r="E46" s="114"/>
      <c r="F46" s="118">
        <f>IF(ISERROR(VLOOKUP($X46,ess_bud,F$6,FALSE)),0,VLOOKUP($X46,ess_bud,F$6,FALSE))+IF(ISERROR(VLOOKUP($Z46,ess_bud,F$6,FALSE)),0,VLOOKUP($Z46,ess_bud,F$6,FALSE))+IF(ISERROR(VLOOKUP($Y46,ess_bud,F$6,FALSE)),0,VLOOKUP($Y46,ess_bud,F$6,FALSE))+IF(ISERROR(VLOOKUP($AA46,ess_bud,F$6,FALSE)),0,VLOOKUP($AA46,ess_bud,F$6,FALSE))</f>
        <v>0</v>
      </c>
      <c r="G46" s="114">
        <f>+F46/'P&amp;L Summary'!E$21</f>
        <v>0</v>
      </c>
      <c r="H46" s="114">
        <f t="shared" si="22"/>
        <v>0</v>
      </c>
      <c r="I46" s="114"/>
      <c r="J46" s="118">
        <f t="shared" si="23"/>
        <v>0</v>
      </c>
      <c r="K46" s="114">
        <f>+J46/'P&amp;L Summary'!I$21</f>
        <v>0</v>
      </c>
      <c r="L46" s="116">
        <f t="shared" si="24"/>
        <v>0</v>
      </c>
      <c r="M46" s="115"/>
      <c r="N46" s="125">
        <f t="shared" si="25"/>
        <v>0</v>
      </c>
      <c r="O46" s="114">
        <f>+N46/'P&amp;L Summary'!M$21</f>
        <v>0</v>
      </c>
      <c r="P46" s="114"/>
      <c r="Q46" s="74">
        <f>IF(ISERROR(VLOOKUP($X46,ess_bud,Q$6,FALSE)),0,VLOOKUP($X46,ess_bud,Q$6,FALSE))+IF(ISERROR(VLOOKUP($Z46,ess_bud,Q$6,FALSE)),0,VLOOKUP($Z46,ess_bud,Q$6,FALSE))+IF(ISERROR(VLOOKUP($Y46,ess_bud,Q$6,FALSE)),0,VLOOKUP($Y46,ess_bud,Q$6,FALSE))+IF(ISERROR(VLOOKUP($AA46,ess_bud,Q$6,FALSE)),0,VLOOKUP($AA46,ess_bud,Q$6,FALSE))</f>
        <v>6480.5</v>
      </c>
      <c r="R46" s="114">
        <f>+Q46/'P&amp;L Summary'!P$21</f>
        <v>0.003060075797</v>
      </c>
      <c r="S46" s="114">
        <f t="shared" si="26"/>
        <v>-1</v>
      </c>
      <c r="T46" s="114"/>
      <c r="U46" s="126">
        <f t="shared" si="27"/>
        <v>0</v>
      </c>
      <c r="V46" s="114">
        <f>+U46/'P&amp;L Summary'!T$21</f>
        <v>0</v>
      </c>
      <c r="W46" s="116">
        <f t="shared" si="28"/>
        <v>0</v>
      </c>
      <c r="X46" s="2" t="str">
        <f t="shared" si="29"/>
        <v>46200CD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ht="12.75" customHeight="1">
      <c r="A47" s="32">
        <v>46201.0</v>
      </c>
      <c r="B47" s="8" t="s">
        <v>118</v>
      </c>
      <c r="C47" s="125">
        <f t="shared" si="21"/>
        <v>0</v>
      </c>
      <c r="D47" s="114">
        <f>+C47/'P&amp;L Summary'!B$21</f>
        <v>0</v>
      </c>
      <c r="E47" s="114"/>
      <c r="F47" s="118">
        <f>IF(ISERROR(VLOOKUP($X47,ess_bud,F$6,FALSE)),0,VLOOKUP($X47,ess_bud,F$6,FALSE))+IF(ISERROR(VLOOKUP($Z47,ess_bud,F$6,FALSE)),0,VLOOKUP($Z47,ess_bud,F$6,FALSE))+IF(ISERROR(VLOOKUP($Y47,ess_bud,F$6,FALSE)),0,VLOOKUP($Y47,ess_bud,F$6,FALSE))+IF(ISERROR(VLOOKUP($AA47,ess_bud,F$6,FALSE)),0,VLOOKUP($AA47,ess_bud,F$6,FALSE))</f>
        <v>0</v>
      </c>
      <c r="G47" s="114">
        <f>+F47/'P&amp;L Summary'!E$21</f>
        <v>0</v>
      </c>
      <c r="H47" s="114">
        <f t="shared" si="22"/>
        <v>0</v>
      </c>
      <c r="I47" s="114"/>
      <c r="J47" s="118">
        <f t="shared" si="23"/>
        <v>0</v>
      </c>
      <c r="K47" s="114">
        <f>+J47/'P&amp;L Summary'!I$21</f>
        <v>0</v>
      </c>
      <c r="L47" s="116">
        <f t="shared" si="24"/>
        <v>0</v>
      </c>
      <c r="M47" s="115"/>
      <c r="N47" s="125">
        <f t="shared" si="25"/>
        <v>0</v>
      </c>
      <c r="O47" s="114">
        <f>+N47/'P&amp;L Summary'!M$21</f>
        <v>0</v>
      </c>
      <c r="P47" s="114"/>
      <c r="Q47" s="74">
        <f>IF(ISERROR(VLOOKUP($X47,ess_bud,Q$6,FALSE)),0,VLOOKUP($X47,ess_bud,Q$6,FALSE))+IF(ISERROR(VLOOKUP($Z47,ess_bud,Q$6,FALSE)),0,VLOOKUP($Z47,ess_bud,Q$6,FALSE))+IF(ISERROR(VLOOKUP($Y47,ess_bud,Q$6,FALSE)),0,VLOOKUP($Y47,ess_bud,Q$6,FALSE))+IF(ISERROR(VLOOKUP($AA47,ess_bud,Q$6,FALSE)),0,VLOOKUP($AA47,ess_bud,Q$6,FALSE))</f>
        <v>0</v>
      </c>
      <c r="R47" s="114">
        <f>+Q47/'P&amp;L Summary'!P$21</f>
        <v>0</v>
      </c>
      <c r="S47" s="114">
        <f t="shared" si="26"/>
        <v>0</v>
      </c>
      <c r="T47" s="114"/>
      <c r="U47" s="126">
        <f t="shared" si="27"/>
        <v>0</v>
      </c>
      <c r="V47" s="114">
        <f>+U47/'P&amp;L Summary'!T$21</f>
        <v>0</v>
      </c>
      <c r="W47" s="116">
        <f t="shared" si="28"/>
        <v>0</v>
      </c>
      <c r="X47" s="2" t="str">
        <f t="shared" si="29"/>
        <v>46201CD</v>
      </c>
      <c r="Y47" s="2"/>
      <c r="Z47" s="8" t="str">
        <f>46203&amp;$X$6</f>
        <v>46203CD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ht="12.75" customHeight="1">
      <c r="A48" s="32">
        <v>46202.0</v>
      </c>
      <c r="B48" s="8" t="s">
        <v>115</v>
      </c>
      <c r="C48" s="125">
        <f t="shared" si="21"/>
        <v>0</v>
      </c>
      <c r="D48" s="114">
        <f>+C48/'P&amp;L Summary'!B$21</f>
        <v>0</v>
      </c>
      <c r="E48" s="114"/>
      <c r="F48" s="118">
        <f>IF(ISERROR(VLOOKUP($X48,ess_bud,F$6,FALSE)),0,VLOOKUP($X48,ess_bud,F$6,FALSE))+IF(ISERROR(VLOOKUP($Z48,ess_bud,F$6,FALSE)),0,VLOOKUP($Z48,ess_bud,F$6,FALSE))+IF(ISERROR(VLOOKUP($Y48,ess_bud,F$6,FALSE)),0,VLOOKUP($Y48,ess_bud,F$6,FALSE))+IF(ISERROR(VLOOKUP($AA48,ess_bud,F$6,FALSE)),0,VLOOKUP($AA48,ess_bud,F$6,FALSE))</f>
        <v>0</v>
      </c>
      <c r="G48" s="114">
        <f>+F48/'P&amp;L Summary'!E$21</f>
        <v>0</v>
      </c>
      <c r="H48" s="114">
        <f t="shared" si="22"/>
        <v>0</v>
      </c>
      <c r="I48" s="114"/>
      <c r="J48" s="118">
        <f t="shared" si="23"/>
        <v>0</v>
      </c>
      <c r="K48" s="114">
        <f>+J48/'P&amp;L Summary'!I$21</f>
        <v>0</v>
      </c>
      <c r="L48" s="116">
        <f t="shared" si="24"/>
        <v>0</v>
      </c>
      <c r="M48" s="115"/>
      <c r="N48" s="125">
        <f t="shared" si="25"/>
        <v>0</v>
      </c>
      <c r="O48" s="114">
        <f>+N48/'P&amp;L Summary'!M$21</f>
        <v>0</v>
      </c>
      <c r="P48" s="114"/>
      <c r="Q48" s="74">
        <f>IF(ISERROR(VLOOKUP($X48,ess_bud,Q$6,FALSE)),0,VLOOKUP($X48,ess_bud,Q$6,FALSE))+IF(ISERROR(VLOOKUP($Z48,ess_bud,Q$6,FALSE)),0,VLOOKUP($Z48,ess_bud,Q$6,FALSE))+IF(ISERROR(VLOOKUP($Y48,ess_bud,Q$6,FALSE)),0,VLOOKUP($Y48,ess_bud,Q$6,FALSE))+IF(ISERROR(VLOOKUP($AA48,ess_bud,Q$6,FALSE)),0,VLOOKUP($AA48,ess_bud,Q$6,FALSE))</f>
        <v>0</v>
      </c>
      <c r="R48" s="114">
        <f>+Q48/'P&amp;L Summary'!P$21</f>
        <v>0</v>
      </c>
      <c r="S48" s="114">
        <f t="shared" si="26"/>
        <v>0</v>
      </c>
      <c r="T48" s="114"/>
      <c r="U48" s="126">
        <f t="shared" si="27"/>
        <v>0</v>
      </c>
      <c r="V48" s="114">
        <f>+U48/'P&amp;L Summary'!T$21</f>
        <v>0</v>
      </c>
      <c r="W48" s="116">
        <f t="shared" si="28"/>
        <v>0</v>
      </c>
      <c r="X48" s="2" t="str">
        <f t="shared" si="29"/>
        <v>46202CD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ht="12.75" customHeight="1">
      <c r="A49" s="32">
        <v>47304.0</v>
      </c>
      <c r="B49" s="8" t="s">
        <v>155</v>
      </c>
      <c r="C49" s="125">
        <f t="shared" si="21"/>
        <v>0</v>
      </c>
      <c r="D49" s="114">
        <f>+C49/'P&amp;L Summary'!B$21</f>
        <v>0</v>
      </c>
      <c r="E49" s="114"/>
      <c r="F49" s="118">
        <f>IF(ISERROR(VLOOKUP($X49,ess_bud,F$6,FALSE)),0,VLOOKUP($X49,ess_bud,F$6,FALSE))+IF(ISERROR(VLOOKUP($Z49,ess_bud,F$6,FALSE)),0,VLOOKUP($Z49,ess_bud,F$6,FALSE))+IF(ISERROR(VLOOKUP($Y49,ess_bud,F$6,FALSE)),0,VLOOKUP($Y49,ess_bud,F$6,FALSE))+IF(ISERROR(VLOOKUP($AA49,ess_bud,F$6,FALSE)),0,VLOOKUP($AA49,ess_bud,F$6,FALSE))</f>
        <v>0</v>
      </c>
      <c r="G49" s="114">
        <f>+F49/'P&amp;L Summary'!E$21</f>
        <v>0</v>
      </c>
      <c r="H49" s="114">
        <f t="shared" si="22"/>
        <v>0</v>
      </c>
      <c r="I49" s="114"/>
      <c r="J49" s="118">
        <f t="shared" si="23"/>
        <v>0</v>
      </c>
      <c r="K49" s="114">
        <f>+J49/'P&amp;L Summary'!I$21</f>
        <v>0</v>
      </c>
      <c r="L49" s="116">
        <f t="shared" si="24"/>
        <v>0</v>
      </c>
      <c r="M49" s="115"/>
      <c r="N49" s="125">
        <f t="shared" si="25"/>
        <v>0</v>
      </c>
      <c r="O49" s="114">
        <f>+N49/'P&amp;L Summary'!M$21</f>
        <v>0</v>
      </c>
      <c r="P49" s="114"/>
      <c r="Q49" s="74">
        <f>IF(ISERROR(VLOOKUP($X49,ess_bud,Q$6,FALSE)),0,VLOOKUP($X49,ess_bud,Q$6,FALSE))+IF(ISERROR(VLOOKUP($Z49,ess_bud,Q$6,FALSE)),0,VLOOKUP($Z49,ess_bud,Q$6,FALSE))+IF(ISERROR(VLOOKUP($Y49,ess_bud,Q$6,FALSE)),0,VLOOKUP($Y49,ess_bud,Q$6,FALSE))+IF(ISERROR(VLOOKUP($AA49,ess_bud,Q$6,FALSE)),0,VLOOKUP($AA49,ess_bud,Q$6,FALSE))</f>
        <v>102629.5</v>
      </c>
      <c r="R49" s="114">
        <f>+Q49/'P&amp;L Summary'!P$21</f>
        <v>0.04846139172</v>
      </c>
      <c r="S49" s="114">
        <f t="shared" si="26"/>
        <v>-1</v>
      </c>
      <c r="T49" s="114"/>
      <c r="U49" s="126">
        <f t="shared" si="27"/>
        <v>0</v>
      </c>
      <c r="V49" s="114">
        <f>+U49/'P&amp;L Summary'!T$21</f>
        <v>0</v>
      </c>
      <c r="W49" s="116">
        <f t="shared" si="28"/>
        <v>0</v>
      </c>
      <c r="X49" s="2" t="str">
        <f t="shared" si="29"/>
        <v>47304CD</v>
      </c>
      <c r="Y49" s="2"/>
      <c r="Z49" s="8" t="str">
        <f>47300&amp;$X$6</f>
        <v>47300CD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ht="12.75" customHeight="1">
      <c r="A50" s="32">
        <v>47305.0</v>
      </c>
      <c r="B50" s="8" t="s">
        <v>156</v>
      </c>
      <c r="C50" s="125">
        <f t="shared" si="21"/>
        <v>0</v>
      </c>
      <c r="D50" s="114">
        <f>+C50/'P&amp;L Summary'!B$21</f>
        <v>0</v>
      </c>
      <c r="E50" s="114"/>
      <c r="F50" s="118">
        <f>IF(ISERROR(VLOOKUP($X50,ess_bud,F$6,FALSE)),0,VLOOKUP($X50,ess_bud,F$6,FALSE))+IF(ISERROR(VLOOKUP($Z50,ess_bud,F$6,FALSE)),0,VLOOKUP($Z50,ess_bud,F$6,FALSE))+IF(ISERROR(VLOOKUP($Y50,ess_bud,F$6,FALSE)),0,VLOOKUP($Y50,ess_bud,F$6,FALSE))+IF(ISERROR(VLOOKUP($AA50,ess_bud,F$6,FALSE)),0,VLOOKUP($AA50,ess_bud,F$6,FALSE))</f>
        <v>0</v>
      </c>
      <c r="G50" s="114">
        <f>+F50/'P&amp;L Summary'!E$21</f>
        <v>0</v>
      </c>
      <c r="H50" s="114">
        <f t="shared" si="22"/>
        <v>0</v>
      </c>
      <c r="I50" s="114"/>
      <c r="J50" s="118">
        <f t="shared" si="23"/>
        <v>0</v>
      </c>
      <c r="K50" s="114">
        <f>+J50/'P&amp;L Summary'!I$21</f>
        <v>0</v>
      </c>
      <c r="L50" s="116">
        <f t="shared" si="24"/>
        <v>0</v>
      </c>
      <c r="M50" s="115"/>
      <c r="N50" s="125">
        <f t="shared" si="25"/>
        <v>0</v>
      </c>
      <c r="O50" s="114">
        <f>+N50/'P&amp;L Summary'!M$21</f>
        <v>0</v>
      </c>
      <c r="P50" s="114"/>
      <c r="Q50" s="74">
        <f>IF(ISERROR(VLOOKUP($X50,ess_bud,Q$6,FALSE)),0,VLOOKUP($X50,ess_bud,Q$6,FALSE))+IF(ISERROR(VLOOKUP($Z50,ess_bud,Q$6,FALSE)),0,VLOOKUP($Z50,ess_bud,Q$6,FALSE))+IF(ISERROR(VLOOKUP($Y50,ess_bud,Q$6,FALSE)),0,VLOOKUP($Y50,ess_bud,Q$6,FALSE))+IF(ISERROR(VLOOKUP($AA50,ess_bud,Q$6,FALSE)),0,VLOOKUP($AA50,ess_bud,Q$6,FALSE))</f>
        <v>814.75</v>
      </c>
      <c r="R50" s="114">
        <f>+Q50/'P&amp;L Summary'!P$21</f>
        <v>0.0003847229004</v>
      </c>
      <c r="S50" s="114">
        <f t="shared" si="26"/>
        <v>-1</v>
      </c>
      <c r="T50" s="114"/>
      <c r="U50" s="126">
        <f t="shared" si="27"/>
        <v>0</v>
      </c>
      <c r="V50" s="114">
        <f>+U50/'P&amp;L Summary'!T$21</f>
        <v>0</v>
      </c>
      <c r="W50" s="116">
        <f t="shared" si="28"/>
        <v>0</v>
      </c>
      <c r="X50" s="2" t="str">
        <f t="shared" si="29"/>
        <v>47305CD</v>
      </c>
      <c r="Y50" s="2"/>
      <c r="Z50" s="8" t="str">
        <f>47301&amp;$X$6</f>
        <v>47301CD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ht="12.75" customHeight="1">
      <c r="A51" s="32">
        <v>47306.0</v>
      </c>
      <c r="B51" s="8" t="s">
        <v>157</v>
      </c>
      <c r="C51" s="125">
        <f t="shared" si="21"/>
        <v>0</v>
      </c>
      <c r="D51" s="114">
        <f>+C51/'P&amp;L Summary'!B$21</f>
        <v>0</v>
      </c>
      <c r="E51" s="114"/>
      <c r="F51" s="118">
        <f>IF(ISERROR(VLOOKUP($X51,ess_bud,F$6,FALSE)),0,VLOOKUP($X51,ess_bud,F$6,FALSE))+IF(ISERROR(VLOOKUP($Z51,ess_bud,F$6,FALSE)),0,VLOOKUP($Z51,ess_bud,F$6,FALSE))+IF(ISERROR(VLOOKUP($Y51,ess_bud,F$6,FALSE)),0,VLOOKUP($Y51,ess_bud,F$6,FALSE))+IF(ISERROR(VLOOKUP($AA51,ess_bud,F$6,FALSE)),0,VLOOKUP($AA51,ess_bud,F$6,FALSE))</f>
        <v>0</v>
      </c>
      <c r="G51" s="114">
        <f>+F51/'P&amp;L Summary'!E$21</f>
        <v>0</v>
      </c>
      <c r="H51" s="114">
        <f t="shared" si="22"/>
        <v>0</v>
      </c>
      <c r="I51" s="114"/>
      <c r="J51" s="118">
        <f t="shared" si="23"/>
        <v>0</v>
      </c>
      <c r="K51" s="114">
        <f>+J51/'P&amp;L Summary'!I$21</f>
        <v>0</v>
      </c>
      <c r="L51" s="116">
        <f t="shared" si="24"/>
        <v>0</v>
      </c>
      <c r="M51" s="115"/>
      <c r="N51" s="125">
        <f t="shared" si="25"/>
        <v>0</v>
      </c>
      <c r="O51" s="114">
        <f>+N51/'P&amp;L Summary'!M$21</f>
        <v>0</v>
      </c>
      <c r="P51" s="114"/>
      <c r="Q51" s="74">
        <f>IF(ISERROR(VLOOKUP($X51,ess_bud,Q$6,FALSE)),0,VLOOKUP($X51,ess_bud,Q$6,FALSE))+IF(ISERROR(VLOOKUP($Z51,ess_bud,Q$6,FALSE)),0,VLOOKUP($Z51,ess_bud,Q$6,FALSE))+IF(ISERROR(VLOOKUP($Y51,ess_bud,Q$6,FALSE)),0,VLOOKUP($Y51,ess_bud,Q$6,FALSE))+IF(ISERROR(VLOOKUP($AA51,ess_bud,Q$6,FALSE)),0,VLOOKUP($AA51,ess_bud,Q$6,FALSE))</f>
        <v>9720.75</v>
      </c>
      <c r="R51" s="114">
        <f>+Q51/'P&amp;L Summary'!P$21</f>
        <v>0.004590113696</v>
      </c>
      <c r="S51" s="114">
        <f t="shared" si="26"/>
        <v>-1</v>
      </c>
      <c r="T51" s="114"/>
      <c r="U51" s="126">
        <f t="shared" si="27"/>
        <v>0</v>
      </c>
      <c r="V51" s="114">
        <f>+U51/'P&amp;L Summary'!T$21</f>
        <v>0</v>
      </c>
      <c r="W51" s="116">
        <f t="shared" si="28"/>
        <v>0</v>
      </c>
      <c r="X51" s="2" t="str">
        <f t="shared" si="29"/>
        <v>47306CD</v>
      </c>
      <c r="Y51" s="2"/>
      <c r="Z51" s="8" t="str">
        <f>47302&amp;$X$6</f>
        <v>47302CD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ht="12.75" customHeight="1">
      <c r="A52" s="32">
        <v>47307.0</v>
      </c>
      <c r="B52" s="8" t="s">
        <v>158</v>
      </c>
      <c r="C52" s="125">
        <f t="shared" si="21"/>
        <v>0</v>
      </c>
      <c r="D52" s="114">
        <f>+C52/'P&amp;L Summary'!B$21</f>
        <v>0</v>
      </c>
      <c r="E52" s="114"/>
      <c r="F52" s="118">
        <f>IF(ISERROR(VLOOKUP($X52,ess_bud,F$6,FALSE)),0,VLOOKUP($X52,ess_bud,F$6,FALSE))+IF(ISERROR(VLOOKUP($Z52,ess_bud,F$6,FALSE)),0,VLOOKUP($Z52,ess_bud,F$6,FALSE))+IF(ISERROR(VLOOKUP($Y52,ess_bud,F$6,FALSE)),0,VLOOKUP($Y52,ess_bud,F$6,FALSE))+IF(ISERROR(VLOOKUP($AA52,ess_bud,F$6,FALSE)),0,VLOOKUP($AA52,ess_bud,F$6,FALSE))</f>
        <v>0</v>
      </c>
      <c r="G52" s="114">
        <f>+F52/'P&amp;L Summary'!E$21</f>
        <v>0</v>
      </c>
      <c r="H52" s="114">
        <f t="shared" si="22"/>
        <v>0</v>
      </c>
      <c r="I52" s="114"/>
      <c r="J52" s="118">
        <f t="shared" si="23"/>
        <v>0</v>
      </c>
      <c r="K52" s="114">
        <f>+J52/'P&amp;L Summary'!I$21</f>
        <v>0</v>
      </c>
      <c r="L52" s="116">
        <f t="shared" si="24"/>
        <v>0</v>
      </c>
      <c r="M52" s="115"/>
      <c r="N52" s="125">
        <f t="shared" si="25"/>
        <v>0</v>
      </c>
      <c r="O52" s="114">
        <f>+N52/'P&amp;L Summary'!M$21</f>
        <v>0</v>
      </c>
      <c r="P52" s="114"/>
      <c r="Q52" s="74">
        <f>IF(ISERROR(VLOOKUP($X52,ess_bud,Q$6,FALSE)),0,VLOOKUP($X52,ess_bud,Q$6,FALSE))+IF(ISERROR(VLOOKUP($Z52,ess_bud,Q$6,FALSE)),0,VLOOKUP($Z52,ess_bud,Q$6,FALSE))+IF(ISERROR(VLOOKUP($Y52,ess_bud,Q$6,FALSE)),0,VLOOKUP($Y52,ess_bud,Q$6,FALSE))+IF(ISERROR(VLOOKUP($AA52,ess_bud,Q$6,FALSE)),0,VLOOKUP($AA52,ess_bud,Q$6,FALSE))</f>
        <v>3240.25</v>
      </c>
      <c r="R52" s="114">
        <f>+Q52/'P&amp;L Summary'!P$21</f>
        <v>0.001530037899</v>
      </c>
      <c r="S52" s="114">
        <f t="shared" si="26"/>
        <v>-1</v>
      </c>
      <c r="T52" s="114"/>
      <c r="U52" s="126">
        <f t="shared" si="27"/>
        <v>0</v>
      </c>
      <c r="V52" s="114">
        <f>+U52/'P&amp;L Summary'!T$21</f>
        <v>0</v>
      </c>
      <c r="W52" s="116">
        <f t="shared" si="28"/>
        <v>0</v>
      </c>
      <c r="X52" s="2" t="str">
        <f t="shared" si="29"/>
        <v>47307CD</v>
      </c>
      <c r="Y52" s="2"/>
      <c r="Z52" s="8" t="str">
        <f>47303&amp;$X$6</f>
        <v>47303CD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ht="12.75" customHeight="1">
      <c r="A53" s="32">
        <v>47314.0</v>
      </c>
      <c r="B53" s="8" t="s">
        <v>159</v>
      </c>
      <c r="C53" s="125">
        <f t="shared" si="21"/>
        <v>0</v>
      </c>
      <c r="D53" s="114">
        <f>+C53/'P&amp;L Summary'!B$21</f>
        <v>0</v>
      </c>
      <c r="E53" s="114"/>
      <c r="F53" s="118">
        <f>IF(ISERROR(VLOOKUP($X53,ess_bud,F$6,FALSE)),0,VLOOKUP($X53,ess_bud,F$6,FALSE))+IF(ISERROR(VLOOKUP($Z53,ess_bud,F$6,FALSE)),0,VLOOKUP($Z53,ess_bud,F$6,FALSE))+IF(ISERROR(VLOOKUP($Y53,ess_bud,F$6,FALSE)),0,VLOOKUP($Y53,ess_bud,F$6,FALSE))+IF(ISERROR(VLOOKUP($AA53,ess_bud,F$6,FALSE)),0,VLOOKUP($AA53,ess_bud,F$6,FALSE))</f>
        <v>0</v>
      </c>
      <c r="G53" s="114">
        <f>+F53/'P&amp;L Summary'!E$21</f>
        <v>0</v>
      </c>
      <c r="H53" s="114">
        <f>IF(F54=0,0,+(C54-F54)/F54)</f>
        <v>0</v>
      </c>
      <c r="I53" s="114"/>
      <c r="J53" s="118">
        <f t="shared" si="23"/>
        <v>0</v>
      </c>
      <c r="K53" s="114">
        <f>+J53/'P&amp;L Summary'!I$21</f>
        <v>0</v>
      </c>
      <c r="L53" s="116">
        <f>IF(J54=0,0,+(C54-J54)/J54)</f>
        <v>0</v>
      </c>
      <c r="M53" s="115"/>
      <c r="N53" s="125">
        <f t="shared" si="25"/>
        <v>0</v>
      </c>
      <c r="O53" s="114">
        <f>+N53/'P&amp;L Summary'!M$21</f>
        <v>0</v>
      </c>
      <c r="P53" s="114"/>
      <c r="Q53" s="74">
        <f>IF(ISERROR(VLOOKUP($X53,ess_bud,Q$6,FALSE)),0,VLOOKUP($X53,ess_bud,Q$6,FALSE))+IF(ISERROR(VLOOKUP($Z53,ess_bud,Q$6,FALSE)),0,VLOOKUP($Z53,ess_bud,Q$6,FALSE))+IF(ISERROR(VLOOKUP($Y53,ess_bud,Q$6,FALSE)),0,VLOOKUP($Y53,ess_bud,Q$6,FALSE))+IF(ISERROR(VLOOKUP($AA53,ess_bud,Q$6,FALSE)),0,VLOOKUP($AA53,ess_bud,Q$6,FALSE))</f>
        <v>0</v>
      </c>
      <c r="R53" s="114">
        <f>+Q53/'P&amp;L Summary'!P$21</f>
        <v>0</v>
      </c>
      <c r="S53" s="114">
        <f>+IF(Q54=0,0,(N54-Q54)/Q54)</f>
        <v>0</v>
      </c>
      <c r="T53" s="114"/>
      <c r="U53" s="126">
        <f t="shared" si="27"/>
        <v>0</v>
      </c>
      <c r="V53" s="114">
        <f>+U53/'P&amp;L Summary'!T$21</f>
        <v>0</v>
      </c>
      <c r="W53" s="116">
        <f t="shared" si="28"/>
        <v>0</v>
      </c>
      <c r="X53" s="2" t="str">
        <f t="shared" si="29"/>
        <v>47314CD</v>
      </c>
      <c r="Y53" s="2"/>
      <c r="Z53" s="8" t="str">
        <f>47310&amp;$X$6</f>
        <v>47310CD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ht="12.75" customHeight="1">
      <c r="A54" s="32">
        <v>47315.0</v>
      </c>
      <c r="B54" s="8" t="s">
        <v>160</v>
      </c>
      <c r="C54" s="125">
        <f t="shared" si="21"/>
        <v>0</v>
      </c>
      <c r="D54" s="114">
        <f>+C54/'P&amp;L Summary'!B$21</f>
        <v>0</v>
      </c>
      <c r="E54" s="114"/>
      <c r="F54" s="118">
        <f>IF(ISERROR(VLOOKUP($X54,ess_bud,F$6,FALSE)),0,VLOOKUP($X54,ess_bud,F$6,FALSE))+IF(ISERROR(VLOOKUP($Z54,ess_bud,F$6,FALSE)),0,VLOOKUP($Z54,ess_bud,F$6,FALSE))+IF(ISERROR(VLOOKUP($Y54,ess_bud,F$6,FALSE)),0,VLOOKUP($Y54,ess_bud,F$6,FALSE))+IF(ISERROR(VLOOKUP($AA54,ess_bud,F$6,FALSE)),0,VLOOKUP($AA54,ess_bud,F$6,FALSE))</f>
        <v>0</v>
      </c>
      <c r="G54" s="114">
        <f>+F54/'P&amp;L Summary'!E$21</f>
        <v>0</v>
      </c>
      <c r="H54" s="114">
        <f t="shared" ref="H54:H57" si="30">IF(F54=0,0,+(C54-F54)/F54)</f>
        <v>0</v>
      </c>
      <c r="I54" s="114"/>
      <c r="J54" s="118">
        <f t="shared" si="23"/>
        <v>0</v>
      </c>
      <c r="K54" s="114">
        <f>+J54/'P&amp;L Summary'!I$21</f>
        <v>0</v>
      </c>
      <c r="L54" s="116">
        <f t="shared" ref="L54:L57" si="31">IF(J54=0,0,+(C54-J54)/J54)</f>
        <v>0</v>
      </c>
      <c r="M54" s="115"/>
      <c r="N54" s="125">
        <f t="shared" si="25"/>
        <v>0</v>
      </c>
      <c r="O54" s="114">
        <f>+N54/'P&amp;L Summary'!M$21</f>
        <v>0</v>
      </c>
      <c r="P54" s="114"/>
      <c r="Q54" s="74">
        <f>IF(ISERROR(VLOOKUP($X54,ess_bud,Q$6,FALSE)),0,VLOOKUP($X54,ess_bud,Q$6,FALSE))+IF(ISERROR(VLOOKUP($Z54,ess_bud,Q$6,FALSE)),0,VLOOKUP($Z54,ess_bud,Q$6,FALSE))+IF(ISERROR(VLOOKUP($Y54,ess_bud,Q$6,FALSE)),0,VLOOKUP($Y54,ess_bud,Q$6,FALSE))+IF(ISERROR(VLOOKUP($AA54,ess_bud,Q$6,FALSE)),0,VLOOKUP($AA54,ess_bud,Q$6,FALSE))</f>
        <v>0</v>
      </c>
      <c r="R54" s="114">
        <f>+Q54/'P&amp;L Summary'!P$21</f>
        <v>0</v>
      </c>
      <c r="S54" s="114">
        <f t="shared" ref="S54:S57" si="32">+IF(Q54=0,0,(N54-Q54)/Q54)</f>
        <v>0</v>
      </c>
      <c r="T54" s="114"/>
      <c r="U54" s="126">
        <f t="shared" si="27"/>
        <v>0</v>
      </c>
      <c r="V54" s="114">
        <f>+U54/'P&amp;L Summary'!T$21</f>
        <v>0</v>
      </c>
      <c r="W54" s="116">
        <f t="shared" si="28"/>
        <v>0</v>
      </c>
      <c r="X54" s="2" t="str">
        <f t="shared" si="29"/>
        <v>47315CD</v>
      </c>
      <c r="Y54" s="2"/>
      <c r="Z54" s="8" t="str">
        <f>47311&amp;$X$6</f>
        <v>47311CD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ht="12.75" customHeight="1">
      <c r="A55" s="32">
        <v>47316.0</v>
      </c>
      <c r="B55" s="8" t="s">
        <v>161</v>
      </c>
      <c r="C55" s="125">
        <f t="shared" si="21"/>
        <v>0</v>
      </c>
      <c r="D55" s="114">
        <f>+C55/'P&amp;L Summary'!B$21</f>
        <v>0</v>
      </c>
      <c r="E55" s="114"/>
      <c r="F55" s="118">
        <f>IF(ISERROR(VLOOKUP($X55,ess_bud,F$6,FALSE)),0,VLOOKUP($X55,ess_bud,F$6,FALSE))+IF(ISERROR(VLOOKUP($Z55,ess_bud,F$6,FALSE)),0,VLOOKUP($Z55,ess_bud,F$6,FALSE))+IF(ISERROR(VLOOKUP($Y55,ess_bud,F$6,FALSE)),0,VLOOKUP($Y55,ess_bud,F$6,FALSE))+IF(ISERROR(VLOOKUP($AA55,ess_bud,F$6,FALSE)),0,VLOOKUP($AA55,ess_bud,F$6,FALSE))</f>
        <v>0</v>
      </c>
      <c r="G55" s="114">
        <f>+F55/'P&amp;L Summary'!E$21</f>
        <v>0</v>
      </c>
      <c r="H55" s="115">
        <f t="shared" si="30"/>
        <v>0</v>
      </c>
      <c r="I55" s="114"/>
      <c r="J55" s="118">
        <f t="shared" si="23"/>
        <v>0</v>
      </c>
      <c r="K55" s="114">
        <f>+J55/'P&amp;L Summary'!I$21</f>
        <v>0</v>
      </c>
      <c r="L55" s="116">
        <f t="shared" si="31"/>
        <v>0</v>
      </c>
      <c r="M55" s="115"/>
      <c r="N55" s="125">
        <f t="shared" si="25"/>
        <v>0</v>
      </c>
      <c r="O55" s="114">
        <f>+N55/'P&amp;L Summary'!M$21</f>
        <v>0</v>
      </c>
      <c r="P55" s="114"/>
      <c r="Q55" s="74">
        <f>IF(ISERROR(VLOOKUP($X55,ess_bud,Q$6,FALSE)),0,VLOOKUP($X55,ess_bud,Q$6,FALSE))+IF(ISERROR(VLOOKUP($Z55,ess_bud,Q$6,FALSE)),0,VLOOKUP($Z55,ess_bud,Q$6,FALSE))+IF(ISERROR(VLOOKUP($Y55,ess_bud,Q$6,FALSE)),0,VLOOKUP($Y55,ess_bud,Q$6,FALSE))+IF(ISERROR(VLOOKUP($AA55,ess_bud,Q$6,FALSE)),0,VLOOKUP($AA55,ess_bud,Q$6,FALSE))</f>
        <v>452.75</v>
      </c>
      <c r="R55" s="114">
        <f>+Q55/'P&amp;L Summary'!P$21</f>
        <v>0.000213787411</v>
      </c>
      <c r="S55" s="114">
        <f t="shared" si="32"/>
        <v>-1</v>
      </c>
      <c r="T55" s="114"/>
      <c r="U55" s="126">
        <f t="shared" si="27"/>
        <v>0</v>
      </c>
      <c r="V55" s="114">
        <f>+U55/'P&amp;L Summary'!T$21</f>
        <v>0</v>
      </c>
      <c r="W55" s="116">
        <f t="shared" si="28"/>
        <v>0</v>
      </c>
      <c r="X55" s="2" t="str">
        <f t="shared" si="29"/>
        <v>47316CD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ht="12.75" customHeight="1">
      <c r="A56" s="32">
        <v>47354.0</v>
      </c>
      <c r="B56" s="8" t="s">
        <v>162</v>
      </c>
      <c r="C56" s="125">
        <f t="shared" si="21"/>
        <v>0</v>
      </c>
      <c r="D56" s="114">
        <f>+C56/'P&amp;L Summary'!B$21</f>
        <v>0</v>
      </c>
      <c r="E56" s="114"/>
      <c r="F56" s="118">
        <f>IF(ISERROR(VLOOKUP($X56,ess_bud,F$6,FALSE)),0,VLOOKUP($X56,ess_bud,F$6,FALSE))+IF(ISERROR(VLOOKUP($Z56,ess_bud,F$6,FALSE)),0,VLOOKUP($Z56,ess_bud,F$6,FALSE))+IF(ISERROR(VLOOKUP($Y56,ess_bud,F$6,FALSE)),0,VLOOKUP($Y56,ess_bud,F$6,FALSE))+IF(ISERROR(VLOOKUP($AA56,ess_bud,F$6,FALSE)),0,VLOOKUP($AA56,ess_bud,F$6,FALSE))</f>
        <v>0</v>
      </c>
      <c r="G56" s="114">
        <f>+F56/'P&amp;L Summary'!E$21</f>
        <v>0</v>
      </c>
      <c r="H56" s="114">
        <f t="shared" si="30"/>
        <v>0</v>
      </c>
      <c r="I56" s="114"/>
      <c r="J56" s="118">
        <f t="shared" si="23"/>
        <v>0</v>
      </c>
      <c r="K56" s="114">
        <f>+J56/'P&amp;L Summary'!I$21</f>
        <v>0</v>
      </c>
      <c r="L56" s="116">
        <f t="shared" si="31"/>
        <v>0</v>
      </c>
      <c r="M56" s="115"/>
      <c r="N56" s="125">
        <f t="shared" si="25"/>
        <v>0</v>
      </c>
      <c r="O56" s="114">
        <f>+N56/'P&amp;L Summary'!M$21</f>
        <v>0</v>
      </c>
      <c r="P56" s="114"/>
      <c r="Q56" s="74">
        <f>IF(ISERROR(VLOOKUP($X56,ess_bud,Q$6,FALSE)),0,VLOOKUP($X56,ess_bud,Q$6,FALSE))+IF(ISERROR(VLOOKUP($Z56,ess_bud,Q$6,FALSE)),0,VLOOKUP($Z56,ess_bud,Q$6,FALSE))+IF(ISERROR(VLOOKUP($Y56,ess_bud,Q$6,FALSE)),0,VLOOKUP($Y56,ess_bud,Q$6,FALSE))+IF(ISERROR(VLOOKUP($AA56,ess_bud,Q$6,FALSE)),0,VLOOKUP($AA56,ess_bud,Q$6,FALSE))</f>
        <v>0</v>
      </c>
      <c r="R56" s="114">
        <f>+Q56/'P&amp;L Summary'!P$21</f>
        <v>0</v>
      </c>
      <c r="S56" s="114">
        <f t="shared" si="32"/>
        <v>0</v>
      </c>
      <c r="T56" s="114"/>
      <c r="U56" s="126">
        <f t="shared" si="27"/>
        <v>0</v>
      </c>
      <c r="V56" s="114">
        <f>+U56/'P&amp;L Summary'!T$21</f>
        <v>0</v>
      </c>
      <c r="W56" s="116">
        <f t="shared" si="28"/>
        <v>0</v>
      </c>
      <c r="X56" s="2" t="str">
        <f t="shared" si="29"/>
        <v>47354CD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ht="12.75" customHeight="1">
      <c r="A57" s="32">
        <v>47400.0</v>
      </c>
      <c r="B57" s="8" t="s">
        <v>148</v>
      </c>
      <c r="C57" s="125">
        <f t="shared" si="21"/>
        <v>0</v>
      </c>
      <c r="D57" s="114">
        <f>+C57/'P&amp;L Summary'!B$21</f>
        <v>0</v>
      </c>
      <c r="E57" s="114"/>
      <c r="F57" s="118">
        <f>IF(ISERROR(VLOOKUP($X57,ess_bud,F$6,FALSE)),0,VLOOKUP($X57,ess_bud,F$6,FALSE))+IF(ISERROR(VLOOKUP($Z57,ess_bud,F$6,FALSE)),0,VLOOKUP($Z57,ess_bud,F$6,FALSE))+IF(ISERROR(VLOOKUP($Y57,ess_bud,F$6,FALSE)),0,VLOOKUP($Y57,ess_bud,F$6,FALSE))+IF(ISERROR(VLOOKUP($AA57,ess_bud,F$6,FALSE)),0,VLOOKUP($AA57,ess_bud,F$6,FALSE))</f>
        <v>0</v>
      </c>
      <c r="G57" s="114">
        <f>+F57/'P&amp;L Summary'!E$21</f>
        <v>0</v>
      </c>
      <c r="H57" s="114">
        <f t="shared" si="30"/>
        <v>0</v>
      </c>
      <c r="I57" s="114"/>
      <c r="J57" s="118">
        <f t="shared" si="23"/>
        <v>0</v>
      </c>
      <c r="K57" s="114">
        <f>+J57/'P&amp;L Summary'!I$21</f>
        <v>0</v>
      </c>
      <c r="L57" s="116">
        <f t="shared" si="31"/>
        <v>0</v>
      </c>
      <c r="M57" s="115"/>
      <c r="N57" s="125">
        <f t="shared" si="25"/>
        <v>0</v>
      </c>
      <c r="O57" s="114">
        <f>+N57/'P&amp;L Summary'!M$21</f>
        <v>0</v>
      </c>
      <c r="P57" s="114"/>
      <c r="Q57" s="74">
        <f>IF(ISERROR(VLOOKUP($X57,ess_bud,Q$6,FALSE)),0,VLOOKUP($X57,ess_bud,Q$6,FALSE))+IF(ISERROR(VLOOKUP($Z57,ess_bud,Q$6,FALSE)),0,VLOOKUP($Z57,ess_bud,Q$6,FALSE))+IF(ISERROR(VLOOKUP($Y57,ess_bud,Q$6,FALSE)),0,VLOOKUP($Y57,ess_bud,Q$6,FALSE))+IF(ISERROR(VLOOKUP($AA57,ess_bud,Q$6,FALSE)),0,VLOOKUP($AA57,ess_bud,Q$6,FALSE))</f>
        <v>0</v>
      </c>
      <c r="R57" s="114">
        <f>+Q57/'P&amp;L Summary'!P$21</f>
        <v>0</v>
      </c>
      <c r="S57" s="114">
        <f t="shared" si="32"/>
        <v>0</v>
      </c>
      <c r="T57" s="114"/>
      <c r="U57" s="126">
        <f t="shared" si="27"/>
        <v>0</v>
      </c>
      <c r="V57" s="114">
        <f>+U57/'P&amp;L Summary'!T$21</f>
        <v>0</v>
      </c>
      <c r="W57" s="116">
        <f t="shared" si="28"/>
        <v>0</v>
      </c>
      <c r="X57" s="2" t="str">
        <f t="shared" si="29"/>
        <v>47400CD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ht="12.75" customHeight="1">
      <c r="A58" s="32">
        <v>47401.0</v>
      </c>
      <c r="B58" s="8" t="s">
        <v>149</v>
      </c>
      <c r="C58" s="125">
        <f t="shared" si="21"/>
        <v>0</v>
      </c>
      <c r="D58" s="114">
        <f>+C58/'P&amp;L Summary'!B$21</f>
        <v>0</v>
      </c>
      <c r="E58" s="114"/>
      <c r="F58" s="118">
        <f>IF(ISERROR(VLOOKUP($X58,ess_bud,F$6,FALSE)),0,VLOOKUP($X58,ess_bud,F$6,FALSE))+IF(ISERROR(VLOOKUP($Z58,ess_bud,F$6,FALSE)),0,VLOOKUP($Z58,ess_bud,F$6,FALSE))+IF(ISERROR(VLOOKUP($Y58,ess_bud,F$6,FALSE)),0,VLOOKUP($Y58,ess_bud,F$6,FALSE))+IF(ISERROR(VLOOKUP($AA58,ess_bud,F$6,FALSE)),0,VLOOKUP($AA58,ess_bud,F$6,FALSE))</f>
        <v>0</v>
      </c>
      <c r="G58" s="114">
        <f>+F58/'P&amp;L Summary'!E$21</f>
        <v>0</v>
      </c>
      <c r="H58" s="114">
        <f t="shared" ref="H58:H59" si="33">IF(F70=0,0,+(C70-F70)/F70)</f>
        <v>0</v>
      </c>
      <c r="I58" s="114"/>
      <c r="J58" s="118">
        <f t="shared" si="23"/>
        <v>0</v>
      </c>
      <c r="K58" s="114">
        <f>+J58/'P&amp;L Summary'!I$21</f>
        <v>0</v>
      </c>
      <c r="L58" s="116">
        <f t="shared" ref="L58:L59" si="34">IF(J70=0,0,+(C70-J70)/J70)</f>
        <v>0</v>
      </c>
      <c r="M58" s="115"/>
      <c r="N58" s="125">
        <f t="shared" si="25"/>
        <v>0</v>
      </c>
      <c r="O58" s="114">
        <f>+N58/'P&amp;L Summary'!M$21</f>
        <v>0</v>
      </c>
      <c r="P58" s="114"/>
      <c r="Q58" s="74">
        <f>IF(ISERROR(VLOOKUP($X58,ess_bud,Q$6,FALSE)),0,VLOOKUP($X58,ess_bud,Q$6,FALSE))+IF(ISERROR(VLOOKUP($Z58,ess_bud,Q$6,FALSE)),0,VLOOKUP($Z58,ess_bud,Q$6,FALSE))+IF(ISERROR(VLOOKUP($Y58,ess_bud,Q$6,FALSE)),0,VLOOKUP($Y58,ess_bud,Q$6,FALSE))+IF(ISERROR(VLOOKUP($AA58,ess_bud,Q$6,FALSE)),0,VLOOKUP($AA58,ess_bud,Q$6,FALSE))</f>
        <v>892</v>
      </c>
      <c r="R58" s="114">
        <f>+Q58/'P&amp;L Summary'!P$21</f>
        <v>0.000421200156</v>
      </c>
      <c r="S58" s="114">
        <f t="shared" ref="S58:S59" si="35">+IF(Q70=0,0,(N70-Q70)/Q70)</f>
        <v>0</v>
      </c>
      <c r="T58" s="114"/>
      <c r="U58" s="126">
        <f t="shared" si="27"/>
        <v>0</v>
      </c>
      <c r="V58" s="114">
        <f>+U58/'P&amp;L Summary'!T$21</f>
        <v>0</v>
      </c>
      <c r="W58" s="116">
        <f t="shared" si="28"/>
        <v>0</v>
      </c>
      <c r="X58" s="2" t="str">
        <f t="shared" si="29"/>
        <v>47401CD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ht="12.75" customHeight="1">
      <c r="A59" s="32">
        <v>47402.0</v>
      </c>
      <c r="B59" s="8" t="s">
        <v>151</v>
      </c>
      <c r="C59" s="125">
        <f t="shared" si="21"/>
        <v>0</v>
      </c>
      <c r="D59" s="114">
        <f>+C59/'P&amp;L Summary'!B$21</f>
        <v>0</v>
      </c>
      <c r="E59" s="114"/>
      <c r="F59" s="118">
        <f>IF(ISERROR(VLOOKUP($X59,ess_bud,F$6,FALSE)),0,VLOOKUP($X59,ess_bud,F$6,FALSE))+IF(ISERROR(VLOOKUP($Z59,ess_bud,F$6,FALSE)),0,VLOOKUP($Z59,ess_bud,F$6,FALSE))+IF(ISERROR(VLOOKUP($Y59,ess_bud,F$6,FALSE)),0,VLOOKUP($Y59,ess_bud,F$6,FALSE))+IF(ISERROR(VLOOKUP($AA59,ess_bud,F$6,FALSE)),0,VLOOKUP($AA59,ess_bud,F$6,FALSE))</f>
        <v>0</v>
      </c>
      <c r="G59" s="114">
        <f>+F59/'P&amp;L Summary'!E$21</f>
        <v>0</v>
      </c>
      <c r="H59" s="114">
        <f t="shared" si="33"/>
        <v>0</v>
      </c>
      <c r="I59" s="114"/>
      <c r="J59" s="118">
        <f t="shared" si="23"/>
        <v>0</v>
      </c>
      <c r="K59" s="114">
        <f>+J59/'P&amp;L Summary'!I$21</f>
        <v>0</v>
      </c>
      <c r="L59" s="116">
        <f t="shared" si="34"/>
        <v>0</v>
      </c>
      <c r="M59" s="115"/>
      <c r="N59" s="125">
        <f t="shared" si="25"/>
        <v>0</v>
      </c>
      <c r="O59" s="114">
        <f>+N59/'P&amp;L Summary'!M$21</f>
        <v>0</v>
      </c>
      <c r="P59" s="114"/>
      <c r="Q59" s="74">
        <f>IF(ISERROR(VLOOKUP($X59,ess_bud,Q$6,FALSE)),0,VLOOKUP($X59,ess_bud,Q$6,FALSE))+IF(ISERROR(VLOOKUP($Z59,ess_bud,Q$6,FALSE)),0,VLOOKUP($Z59,ess_bud,Q$6,FALSE))+IF(ISERROR(VLOOKUP($Y59,ess_bud,Q$6,FALSE)),0,VLOOKUP($Y59,ess_bud,Q$6,FALSE))+IF(ISERROR(VLOOKUP($AA59,ess_bud,Q$6,FALSE)),0,VLOOKUP($AA59,ess_bud,Q$6,FALSE))</f>
        <v>0</v>
      </c>
      <c r="R59" s="114">
        <f>+Q59/'P&amp;L Summary'!P$21</f>
        <v>0</v>
      </c>
      <c r="S59" s="114">
        <f t="shared" si="35"/>
        <v>0</v>
      </c>
      <c r="T59" s="114"/>
      <c r="U59" s="126">
        <f t="shared" si="27"/>
        <v>0</v>
      </c>
      <c r="V59" s="114">
        <f>+U59/'P&amp;L Summary'!T$21</f>
        <v>0</v>
      </c>
      <c r="W59" s="116">
        <f t="shared" si="28"/>
        <v>0</v>
      </c>
      <c r="X59" s="2" t="str">
        <f t="shared" si="29"/>
        <v>47402CD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ht="12.75" customHeight="1">
      <c r="A60" s="32">
        <v>47403.0</v>
      </c>
      <c r="B60" s="8" t="s">
        <v>163</v>
      </c>
      <c r="C60" s="125">
        <f t="shared" si="21"/>
        <v>0</v>
      </c>
      <c r="D60" s="114">
        <f>+C60/'P&amp;L Summary'!B$21</f>
        <v>0</v>
      </c>
      <c r="E60" s="114"/>
      <c r="F60" s="118">
        <f>IF(ISERROR(VLOOKUP($X60,ess_bud,F$6,FALSE)),0,VLOOKUP($X60,ess_bud,F$6,FALSE))+IF(ISERROR(VLOOKUP($Z60,ess_bud,F$6,FALSE)),0,VLOOKUP($Z60,ess_bud,F$6,FALSE))+IF(ISERROR(VLOOKUP($Y60,ess_bud,F$6,FALSE)),0,VLOOKUP($Y60,ess_bud,F$6,FALSE))+IF(ISERROR(VLOOKUP($AA60,ess_bud,F$6,FALSE)),0,VLOOKUP($AA60,ess_bud,F$6,FALSE))</f>
        <v>0</v>
      </c>
      <c r="G60" s="114">
        <f>+F60/'P&amp;L Summary'!E$21</f>
        <v>0</v>
      </c>
      <c r="H60" s="114">
        <f>IF(F74=0,0,+(C74-F74)/F74)</f>
        <v>0</v>
      </c>
      <c r="I60" s="114"/>
      <c r="J60" s="118">
        <f t="shared" si="23"/>
        <v>0</v>
      </c>
      <c r="K60" s="114">
        <f>+J60/'P&amp;L Summary'!I$21</f>
        <v>0</v>
      </c>
      <c r="L60" s="116">
        <f>IF(J74=0,0,+(C74-J74)/J74)</f>
        <v>0</v>
      </c>
      <c r="M60" s="115"/>
      <c r="N60" s="125">
        <f t="shared" si="25"/>
        <v>0</v>
      </c>
      <c r="O60" s="114">
        <f>+N60/'P&amp;L Summary'!M$21</f>
        <v>0</v>
      </c>
      <c r="P60" s="114"/>
      <c r="Q60" s="74">
        <f>IF(ISERROR(VLOOKUP($X60,ess_bud,Q$6,FALSE)),0,VLOOKUP($X60,ess_bud,Q$6,FALSE))+IF(ISERROR(VLOOKUP($Z60,ess_bud,Q$6,FALSE)),0,VLOOKUP($Z60,ess_bud,Q$6,FALSE))+IF(ISERROR(VLOOKUP($Y60,ess_bud,Q$6,FALSE)),0,VLOOKUP($Y60,ess_bud,Q$6,FALSE))+IF(ISERROR(VLOOKUP($AA60,ess_bud,Q$6,FALSE)),0,VLOOKUP($AA60,ess_bud,Q$6,FALSE))</f>
        <v>892</v>
      </c>
      <c r="R60" s="114">
        <f>+Q60/'P&amp;L Summary'!P$21</f>
        <v>0.000421200156</v>
      </c>
      <c r="S60" s="114">
        <f>+IF(Q74=0,0,(N74-Q74)/Q74)</f>
        <v>0</v>
      </c>
      <c r="T60" s="114"/>
      <c r="U60" s="126">
        <f t="shared" si="27"/>
        <v>0</v>
      </c>
      <c r="V60" s="114">
        <f>+U60/'P&amp;L Summary'!T$21</f>
        <v>0</v>
      </c>
      <c r="W60" s="116">
        <f t="shared" si="28"/>
        <v>0</v>
      </c>
      <c r="X60" s="2" t="str">
        <f t="shared" si="29"/>
        <v>47403CD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ht="12.75" customHeight="1">
      <c r="A61" s="32">
        <v>47500.0</v>
      </c>
      <c r="B61" s="8" t="s">
        <v>164</v>
      </c>
      <c r="C61" s="125">
        <f t="shared" si="21"/>
        <v>0</v>
      </c>
      <c r="D61" s="114">
        <f>+C61/'P&amp;L Summary'!B$21</f>
        <v>0</v>
      </c>
      <c r="E61" s="114"/>
      <c r="F61" s="118">
        <f>IF(ISERROR(VLOOKUP($X61,ess_bud,F$6,FALSE)),0,VLOOKUP($X61,ess_bud,F$6,FALSE))+IF(ISERROR(VLOOKUP($Z61,ess_bud,F$6,FALSE)),0,VLOOKUP($Z61,ess_bud,F$6,FALSE))+IF(ISERROR(VLOOKUP($Y61,ess_bud,F$6,FALSE)),0,VLOOKUP($Y61,ess_bud,F$6,FALSE))+IF(ISERROR(VLOOKUP($AA61,ess_bud,F$6,FALSE)),0,VLOOKUP($AA61,ess_bud,F$6,FALSE))</f>
        <v>0</v>
      </c>
      <c r="G61" s="114">
        <f>+F61/'P&amp;L Summary'!E$21</f>
        <v>0</v>
      </c>
      <c r="H61" s="114">
        <f t="shared" ref="H61:H62" si="36">IF(F74=0,0,+(C74-F74)/F74)</f>
        <v>0</v>
      </c>
      <c r="I61" s="114"/>
      <c r="J61" s="118">
        <f t="shared" si="23"/>
        <v>0</v>
      </c>
      <c r="K61" s="114">
        <f>+J61/'P&amp;L Summary'!I$21</f>
        <v>0</v>
      </c>
      <c r="L61" s="116">
        <f t="shared" ref="L61:L62" si="37">IF(J74=0,0,+(C74-J74)/J74)</f>
        <v>0</v>
      </c>
      <c r="M61" s="115"/>
      <c r="N61" s="125">
        <f t="shared" si="25"/>
        <v>0</v>
      </c>
      <c r="O61" s="114">
        <f>+N61/'P&amp;L Summary'!M$21</f>
        <v>0</v>
      </c>
      <c r="P61" s="114"/>
      <c r="Q61" s="74">
        <f>IF(ISERROR(VLOOKUP($X61,ess_bud,Q$6,FALSE)),0,VLOOKUP($X61,ess_bud,Q$6,FALSE))+IF(ISERROR(VLOOKUP($Z61,ess_bud,Q$6,FALSE)),0,VLOOKUP($Z61,ess_bud,Q$6,FALSE))+IF(ISERROR(VLOOKUP($Y61,ess_bud,Q$6,FALSE)),0,VLOOKUP($Y61,ess_bud,Q$6,FALSE))+IF(ISERROR(VLOOKUP($AA61,ess_bud,Q$6,FALSE)),0,VLOOKUP($AA61,ess_bud,Q$6,FALSE))</f>
        <v>0</v>
      </c>
      <c r="R61" s="114">
        <f>+Q61/'P&amp;L Summary'!P$21</f>
        <v>0</v>
      </c>
      <c r="S61" s="114">
        <f t="shared" ref="S61:S62" si="38">+IF(Q74=0,0,(N74-Q74)/Q74)</f>
        <v>0</v>
      </c>
      <c r="T61" s="114"/>
      <c r="U61" s="126">
        <f t="shared" si="27"/>
        <v>0</v>
      </c>
      <c r="V61" s="114">
        <f>+U61/'P&amp;L Summary'!T$21</f>
        <v>0</v>
      </c>
      <c r="W61" s="116">
        <f t="shared" si="28"/>
        <v>0</v>
      </c>
      <c r="X61" s="2" t="str">
        <f t="shared" si="29"/>
        <v>47500CD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ht="12.75" customHeight="1">
      <c r="A62" s="32">
        <v>47501.0</v>
      </c>
      <c r="B62" s="8" t="s">
        <v>165</v>
      </c>
      <c r="C62" s="125">
        <f t="shared" si="21"/>
        <v>0</v>
      </c>
      <c r="D62" s="114">
        <f>+C62/'P&amp;L Summary'!B$21</f>
        <v>0</v>
      </c>
      <c r="E62" s="114"/>
      <c r="F62" s="118">
        <f>IF(ISERROR(VLOOKUP($X62,ess_bud,F$6,FALSE)),0,VLOOKUP($X62,ess_bud,F$6,FALSE))+IF(ISERROR(VLOOKUP($Z62,ess_bud,F$6,FALSE)),0,VLOOKUP($Z62,ess_bud,F$6,FALSE))+IF(ISERROR(VLOOKUP($Y62,ess_bud,F$6,FALSE)),0,VLOOKUP($Y62,ess_bud,F$6,FALSE))+IF(ISERROR(VLOOKUP($AA62,ess_bud,F$6,FALSE)),0,VLOOKUP($AA62,ess_bud,F$6,FALSE))</f>
        <v>0</v>
      </c>
      <c r="G62" s="114">
        <f>+F62/'P&amp;L Summary'!E$21</f>
        <v>0</v>
      </c>
      <c r="H62" s="114">
        <f t="shared" si="36"/>
        <v>0</v>
      </c>
      <c r="I62" s="114"/>
      <c r="J62" s="118">
        <f t="shared" si="23"/>
        <v>0</v>
      </c>
      <c r="K62" s="114">
        <f>+J62/'P&amp;L Summary'!I$21</f>
        <v>0</v>
      </c>
      <c r="L62" s="116">
        <f t="shared" si="37"/>
        <v>0</v>
      </c>
      <c r="M62" s="115"/>
      <c r="N62" s="125">
        <f t="shared" si="25"/>
        <v>0</v>
      </c>
      <c r="O62" s="114">
        <f>+N62/'P&amp;L Summary'!M$21</f>
        <v>0</v>
      </c>
      <c r="P62" s="114"/>
      <c r="Q62" s="74">
        <f>IF(ISERROR(VLOOKUP($X62,ess_bud,Q$6,FALSE)),0,VLOOKUP($X62,ess_bud,Q$6,FALSE))+IF(ISERROR(VLOOKUP($Z62,ess_bud,Q$6,FALSE)),0,VLOOKUP($Z62,ess_bud,Q$6,FALSE))+IF(ISERROR(VLOOKUP($Y62,ess_bud,Q$6,FALSE)),0,VLOOKUP($Y62,ess_bud,Q$6,FALSE))+IF(ISERROR(VLOOKUP($AA62,ess_bud,Q$6,FALSE)),0,VLOOKUP($AA62,ess_bud,Q$6,FALSE))</f>
        <v>0</v>
      </c>
      <c r="R62" s="114">
        <f>+Q62/'P&amp;L Summary'!P$21</f>
        <v>0</v>
      </c>
      <c r="S62" s="114">
        <f t="shared" si="38"/>
        <v>-1</v>
      </c>
      <c r="T62" s="114"/>
      <c r="U62" s="126">
        <f t="shared" si="27"/>
        <v>0</v>
      </c>
      <c r="V62" s="114">
        <f>+U62/'P&amp;L Summary'!T$21</f>
        <v>0</v>
      </c>
      <c r="W62" s="116">
        <f t="shared" si="28"/>
        <v>0</v>
      </c>
      <c r="X62" s="2" t="str">
        <f t="shared" si="29"/>
        <v>47501CD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ht="12.75" customHeight="1">
      <c r="A63" s="32">
        <v>47502.0</v>
      </c>
      <c r="B63" s="8" t="s">
        <v>166</v>
      </c>
      <c r="C63" s="125">
        <f t="shared" si="21"/>
        <v>0</v>
      </c>
      <c r="D63" s="114">
        <f>+C63/'P&amp;L Summary'!B$21</f>
        <v>0</v>
      </c>
      <c r="E63" s="114"/>
      <c r="F63" s="118">
        <f>IF(ISERROR(VLOOKUP($X63,ess_bud,F$6,FALSE)),0,VLOOKUP($X63,ess_bud,F$6,FALSE))+IF(ISERROR(VLOOKUP($Z63,ess_bud,F$6,FALSE)),0,VLOOKUP($Z63,ess_bud,F$6,FALSE))+IF(ISERROR(VLOOKUP($Y63,ess_bud,F$6,FALSE)),0,VLOOKUP($Y63,ess_bud,F$6,FALSE))+IF(ISERROR(VLOOKUP($AA63,ess_bud,F$6,FALSE)),0,VLOOKUP($AA63,ess_bud,F$6,FALSE))</f>
        <v>0</v>
      </c>
      <c r="G63" s="114">
        <f>+F63/'P&amp;L Summary'!E$21</f>
        <v>0</v>
      </c>
      <c r="H63" s="114"/>
      <c r="I63" s="114"/>
      <c r="J63" s="118">
        <f t="shared" si="23"/>
        <v>0</v>
      </c>
      <c r="K63" s="114">
        <f>+J63/'P&amp;L Summary'!I$21</f>
        <v>0</v>
      </c>
      <c r="L63" s="116"/>
      <c r="M63" s="115"/>
      <c r="N63" s="125">
        <f t="shared" si="25"/>
        <v>0</v>
      </c>
      <c r="O63" s="114">
        <f>+N63/'P&amp;L Summary'!M$21</f>
        <v>0</v>
      </c>
      <c r="P63" s="114"/>
      <c r="Q63" s="74">
        <f>IF(ISERROR(VLOOKUP($X63,ess_bud,Q$6,FALSE)),0,VLOOKUP($X63,ess_bud,Q$6,FALSE))+IF(ISERROR(VLOOKUP($Z63,ess_bud,Q$6,FALSE)),0,VLOOKUP($Z63,ess_bud,Q$6,FALSE))+IF(ISERROR(VLOOKUP($Y63,ess_bud,Q$6,FALSE)),0,VLOOKUP($Y63,ess_bud,Q$6,FALSE))+IF(ISERROR(VLOOKUP($AA63,ess_bud,Q$6,FALSE)),0,VLOOKUP($AA63,ess_bud,Q$6,FALSE))</f>
        <v>0</v>
      </c>
      <c r="R63" s="114">
        <f>+Q63/'P&amp;L Summary'!P$21</f>
        <v>0</v>
      </c>
      <c r="S63" s="114"/>
      <c r="T63" s="114"/>
      <c r="U63" s="126">
        <f t="shared" si="27"/>
        <v>0</v>
      </c>
      <c r="V63" s="114">
        <f>+U63/'P&amp;L Summary'!T$21</f>
        <v>0</v>
      </c>
      <c r="W63" s="116"/>
      <c r="X63" s="2" t="str">
        <f t="shared" si="29"/>
        <v>47502CD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ht="12.75" customHeight="1">
      <c r="A64" s="32">
        <v>45800.0</v>
      </c>
      <c r="B64" s="8" t="s">
        <v>167</v>
      </c>
      <c r="C64" s="125">
        <f t="shared" si="21"/>
        <v>0</v>
      </c>
      <c r="D64" s="114">
        <f>+C64/'P&amp;L Summary'!B$21</f>
        <v>0</v>
      </c>
      <c r="E64" s="114"/>
      <c r="F64" s="118">
        <f>IF(ISERROR(VLOOKUP($X64,ess_bud,F$6,FALSE)),0,VLOOKUP($X64,ess_bud,F$6,FALSE))+IF(ISERROR(VLOOKUP($Z64,ess_bud,F$6,FALSE)),0,VLOOKUP($Z64,ess_bud,F$6,FALSE))+IF(ISERROR(VLOOKUP($Y64,ess_bud,F$6,FALSE)),0,VLOOKUP($Y64,ess_bud,F$6,FALSE))+IF(ISERROR(VLOOKUP($AA64,ess_bud,F$6,FALSE)),0,VLOOKUP($AA64,ess_bud,F$6,FALSE))</f>
        <v>0</v>
      </c>
      <c r="G64" s="114">
        <f>+F64/'P&amp;L Summary'!E$21</f>
        <v>0</v>
      </c>
      <c r="H64" s="114">
        <f>IF(F73=0,0,+(C73-F73)/F73)</f>
        <v>0</v>
      </c>
      <c r="I64" s="114"/>
      <c r="J64" s="118">
        <f t="shared" si="23"/>
        <v>0</v>
      </c>
      <c r="K64" s="114">
        <f>+J64/'P&amp;L Summary'!I$21</f>
        <v>0</v>
      </c>
      <c r="L64" s="116">
        <f>IF(J73=0,0,+(C73-J73)/J73)</f>
        <v>0</v>
      </c>
      <c r="M64" s="115"/>
      <c r="N64" s="125">
        <f t="shared" si="25"/>
        <v>0</v>
      </c>
      <c r="O64" s="114">
        <f>+N64/'P&amp;L Summary'!M$21</f>
        <v>0</v>
      </c>
      <c r="P64" s="114"/>
      <c r="Q64" s="74">
        <f>IF(ISERROR(VLOOKUP($X64,ess_bud,Q$6,FALSE)),0,VLOOKUP($X64,ess_bud,Q$6,FALSE))+IF(ISERROR(VLOOKUP($Z64,ess_bud,Q$6,FALSE)),0,VLOOKUP($Z64,ess_bud,Q$6,FALSE))+IF(ISERROR(VLOOKUP($Y64,ess_bud,Q$6,FALSE)),0,VLOOKUP($Y64,ess_bud,Q$6,FALSE))+IF(ISERROR(VLOOKUP($AA64,ess_bud,Q$6,FALSE)),0,VLOOKUP($AA64,ess_bud,Q$6,FALSE))</f>
        <v>0</v>
      </c>
      <c r="R64" s="114">
        <f>+Q64/'P&amp;L Summary'!P$21</f>
        <v>0</v>
      </c>
      <c r="S64" s="114">
        <f>+IF(Q73=0,0,(N73-Q73)/Q73)</f>
        <v>0</v>
      </c>
      <c r="T64" s="114"/>
      <c r="U64" s="126">
        <f t="shared" si="27"/>
        <v>0</v>
      </c>
      <c r="V64" s="114">
        <f>+U64/'P&amp;L Summary'!T$21</f>
        <v>0</v>
      </c>
      <c r="W64" s="116">
        <f t="shared" ref="W64:W65" si="39">+IF(U64=0,0,(N64-U64)/U64)</f>
        <v>0</v>
      </c>
      <c r="X64" s="2" t="str">
        <f t="shared" si="29"/>
        <v>45800CD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ht="12.75" customHeight="1">
      <c r="A65" s="32">
        <v>47405.0</v>
      </c>
      <c r="B65" s="8" t="s">
        <v>168</v>
      </c>
      <c r="C65" s="125">
        <f t="shared" si="21"/>
        <v>0</v>
      </c>
      <c r="D65" s="114">
        <f>+C65/'P&amp;L Summary'!B$21</f>
        <v>0</v>
      </c>
      <c r="E65" s="114"/>
      <c r="F65" s="118">
        <f>IF(ISERROR(VLOOKUP($X65,ess_bud,F$6,FALSE)),0,VLOOKUP($X65,ess_bud,F$6,FALSE))+IF(ISERROR(VLOOKUP($Z65,ess_bud,F$6,FALSE)),0,VLOOKUP($Z65,ess_bud,F$6,FALSE))+IF(ISERROR(VLOOKUP($Y65,ess_bud,F$6,FALSE)),0,VLOOKUP($Y65,ess_bud,F$6,FALSE))+IF(ISERROR(VLOOKUP($AA65,ess_bud,F$6,FALSE)),0,VLOOKUP($AA65,ess_bud,F$6,FALSE))</f>
        <v>0</v>
      </c>
      <c r="G65" s="114">
        <f>+F65/'P&amp;L Summary'!E$21</f>
        <v>0</v>
      </c>
      <c r="H65" s="114">
        <f>IF(F72=0,0,+(C72-F72)/F72)</f>
        <v>0</v>
      </c>
      <c r="I65" s="114"/>
      <c r="J65" s="35">
        <f t="shared" si="23"/>
        <v>0</v>
      </c>
      <c r="K65" s="114">
        <f>+J65/'P&amp;L Summary'!I$21</f>
        <v>0</v>
      </c>
      <c r="L65" s="116">
        <f>IF(J72=0,0,+(C72-J72)/J72)</f>
        <v>0</v>
      </c>
      <c r="M65" s="115"/>
      <c r="N65" s="125">
        <f t="shared" si="25"/>
        <v>0</v>
      </c>
      <c r="O65" s="114">
        <f>+N65/'P&amp;L Summary'!M$21</f>
        <v>0</v>
      </c>
      <c r="P65" s="114"/>
      <c r="Q65" s="35">
        <f>IF(ISERROR(VLOOKUP($X65,ess_bud,Q$6,FALSE)),0,VLOOKUP($X65,ess_bud,Q$6,FALSE))+IF(ISERROR(VLOOKUP($Z65,ess_bud,Q$6,FALSE)),0,VLOOKUP($Z65,ess_bud,Q$6,FALSE))+IF(ISERROR(VLOOKUP($Y65,ess_bud,Q$6,FALSE)),0,VLOOKUP($Y65,ess_bud,Q$6,FALSE))+IF(ISERROR(VLOOKUP($AA65,ess_bud,Q$6,FALSE)),0,VLOOKUP($AA65,ess_bud,Q$6,FALSE))</f>
        <v>0</v>
      </c>
      <c r="R65" s="114">
        <f>+Q65/'P&amp;L Summary'!P$21</f>
        <v>0</v>
      </c>
      <c r="S65" s="114">
        <f>+IF(Q72=0,0,(N72-Q72)/Q72)</f>
        <v>0</v>
      </c>
      <c r="T65" s="114"/>
      <c r="U65" s="35">
        <f t="shared" si="27"/>
        <v>0</v>
      </c>
      <c r="V65" s="114">
        <f>+U65/'P&amp;L Summary'!T$21</f>
        <v>0</v>
      </c>
      <c r="W65" s="116">
        <f t="shared" si="39"/>
        <v>0</v>
      </c>
      <c r="X65" s="2" t="str">
        <f t="shared" si="29"/>
        <v>47405CD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ht="12.75" customHeight="1">
      <c r="A66" s="32">
        <v>47404.0</v>
      </c>
      <c r="B66" s="8" t="s">
        <v>184</v>
      </c>
      <c r="C66" s="125"/>
      <c r="D66" s="114"/>
      <c r="E66" s="114"/>
      <c r="F66" s="151"/>
      <c r="G66" s="114"/>
      <c r="H66" s="114"/>
      <c r="I66" s="114"/>
      <c r="J66" s="118"/>
      <c r="K66" s="114"/>
      <c r="L66" s="116"/>
      <c r="M66" s="115"/>
      <c r="N66" s="125"/>
      <c r="O66" s="114"/>
      <c r="P66" s="114"/>
      <c r="Q66" s="74"/>
      <c r="R66" s="114"/>
      <c r="S66" s="114"/>
      <c r="T66" s="114"/>
      <c r="U66" s="118" t="e">
        <v>#NAME?</v>
      </c>
      <c r="V66" s="114"/>
      <c r="W66" s="116"/>
      <c r="X66" s="8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ht="12.75" customHeight="1">
      <c r="A67" s="2"/>
      <c r="B67" s="24" t="s">
        <v>40</v>
      </c>
      <c r="C67" s="144">
        <f>SUM(C44:C66)</f>
        <v>0</v>
      </c>
      <c r="D67" s="145">
        <f>+C67/'P&amp;L Summary'!B$21</f>
        <v>0</v>
      </c>
      <c r="E67" s="145"/>
      <c r="F67" s="146">
        <f>SUM(F44:F66)</f>
        <v>0</v>
      </c>
      <c r="G67" s="145">
        <f>+F67/'P&amp;L Summary'!E$21</f>
        <v>0</v>
      </c>
      <c r="H67" s="145">
        <f>IF(F67=0,0,+(C67-F67)/F67)</f>
        <v>0</v>
      </c>
      <c r="I67" s="145"/>
      <c r="J67" s="147">
        <f>SUM(J44:J66)</f>
        <v>0</v>
      </c>
      <c r="K67" s="145">
        <f>+J67/'P&amp;L Summary'!I$21</f>
        <v>0</v>
      </c>
      <c r="L67" s="148">
        <f>IF(J67=0,0,+(C67-J67)/J67)</f>
        <v>0</v>
      </c>
      <c r="M67" s="115"/>
      <c r="N67" s="144">
        <f>SUM(N44:N66)</f>
        <v>0</v>
      </c>
      <c r="O67" s="145">
        <f>+N67/'P&amp;L Summary'!M$21</f>
        <v>0</v>
      </c>
      <c r="P67" s="145"/>
      <c r="Q67" s="146">
        <f>SUM(Q44:Q66)</f>
        <v>125122.5</v>
      </c>
      <c r="R67" s="145">
        <f>+Q67/'P&amp;L Summary'!P$21</f>
        <v>0.05908252973</v>
      </c>
      <c r="S67" s="145">
        <f>+IF(Q67=0,0,(N67-Q67)/Q67)</f>
        <v>-1</v>
      </c>
      <c r="T67" s="145"/>
      <c r="U67" s="146" t="str">
        <f>SUM(U44:U66)</f>
        <v>#NAME?</v>
      </c>
      <c r="V67" s="145" t="str">
        <f>+U67/'P&amp;L Summary'!T$21</f>
        <v>#NAME?</v>
      </c>
      <c r="W67" s="148" t="str">
        <f>+IF(U67=0,0,(N67-U67)/U67)</f>
        <v>#NAME?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1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ht="12.75" customHeight="1">
      <c r="A69" s="2"/>
      <c r="B69" s="2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115"/>
      <c r="N69" s="74">
        <v>699176.2499999998</v>
      </c>
      <c r="O69" s="74"/>
      <c r="P69" s="74"/>
      <c r="Q69" s="74"/>
      <c r="R69" s="74"/>
      <c r="S69" s="74"/>
      <c r="T69" s="74"/>
      <c r="U69" s="74"/>
      <c r="V69" s="74"/>
      <c r="W69" s="74"/>
      <c r="X69" s="2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</row>
    <row r="70" ht="12.75" customHeight="1">
      <c r="A70" s="2"/>
      <c r="B70" s="2"/>
      <c r="C70" s="74"/>
      <c r="D70" s="74"/>
      <c r="E70" s="74"/>
      <c r="F70" s="74"/>
      <c r="G70" s="74"/>
      <c r="H70" s="74"/>
      <c r="I70" s="74"/>
      <c r="J70" s="74"/>
      <c r="K70" s="74"/>
      <c r="L70" s="2"/>
      <c r="M70" s="115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</row>
    <row r="71" ht="12.75" customHeight="1">
      <c r="A71" s="2"/>
      <c r="B71" s="2"/>
      <c r="C71" s="2"/>
      <c r="D71" s="2"/>
      <c r="E71" s="2"/>
      <c r="F71" s="74"/>
      <c r="G71" s="2"/>
      <c r="H71" s="2"/>
      <c r="I71" s="2"/>
      <c r="J71" s="74"/>
      <c r="K71" s="2"/>
      <c r="L71" s="2"/>
      <c r="M71" s="2"/>
      <c r="N71" s="74">
        <f>+C67+N69</f>
        <v>699176.25</v>
      </c>
      <c r="O71" s="2"/>
      <c r="P71" s="2"/>
      <c r="Q71" s="74"/>
      <c r="R71" s="2"/>
      <c r="S71" s="2"/>
      <c r="T71" s="2"/>
      <c r="U71" s="74"/>
      <c r="V71" s="2"/>
      <c r="W71" s="2"/>
      <c r="X71" s="74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ht="12.75" customHeight="1">
      <c r="A74" s="8">
        <v>45100.0</v>
      </c>
      <c r="B74" s="8" t="s">
        <v>170</v>
      </c>
      <c r="C74" s="35">
        <f t="shared" ref="C74:C80" si="40">IF(ISERROR(VLOOKUP($X74,ess_act,C$6,FALSE)),0,VLOOKUP($X74,ess_act,C$6,FALSE))+IF(ISERROR(VLOOKUP($Z74,ess_act,C$6,FALSE)),0,VLOOKUP($Z74,ess_act,C$6,FALSE))+IF(ISERROR(VLOOKUP($Y74,ess_act,C$6,FALSE)),0,VLOOKUP($Y74,ess_act,C$6,FALSE))+IF(ISERROR(VLOOKUP($AA74,ess_act,C$6,FALSE)),0,VLOOKUP($AA74,ess_act,C$6,FALSE))</f>
        <v>0</v>
      </c>
      <c r="D74" s="2"/>
      <c r="E74" s="29"/>
      <c r="F74" s="35">
        <f>IF(ISERROR(VLOOKUP($X74,ess_bud,F$6,FALSE)),0,VLOOKUP($X74,ess_bud,F$6,FALSE))+IF(ISERROR(VLOOKUP($Z74,ess_bud,F$6,FALSE)),0,VLOOKUP($Z74,ess_bud,F$6,FALSE))+IF(ISERROR(VLOOKUP($Y74,ess_bud,F$6,FALSE)),0,VLOOKUP($Y74,ess_bud,F$6,FALSE))+IF(ISERROR(VLOOKUP($AA74,ess_bud,F$6,FALSE)),0,VLOOKUP($AA74,ess_bud,F$6,FALSE))</f>
        <v>0</v>
      </c>
      <c r="G74" s="2"/>
      <c r="H74" s="2"/>
      <c r="I74" s="37"/>
      <c r="J74" s="35">
        <f t="shared" ref="J74:J80" si="41">IF(ISERROR(VLOOKUP($X74,ess_act,J$6,FALSE)),0,VLOOKUP($X74,ess_act,J$6,FALSE))+IF(ISERROR(VLOOKUP($Z74,ess_act,J$6,FALSE)),0,VLOOKUP($Z74,ess_act,J$6,FALSE))+IF(ISERROR(VLOOKUP($Y74,ess_act,J$6,FALSE)),0,VLOOKUP($Y74,ess_act,J$6,FALSE))+IF(ISERROR(VLOOKUP($AA74,ess_act,J$6,FALSE)),0,VLOOKUP($AA74,ess_act,J$6,FALSE))</f>
        <v>0</v>
      </c>
      <c r="K74" s="2"/>
      <c r="L74" s="2"/>
      <c r="M74" s="2"/>
      <c r="N74" s="35">
        <f t="shared" ref="N74:N80" si="42">IF(ISERROR(VLOOKUP($X74,ess_act,N$6,FALSE)),0,VLOOKUP($X74,ess_act,N$6,FALSE))+IF(ISERROR(VLOOKUP($Z74,ess_act,N$6,FALSE)),0,VLOOKUP($Z74,ess_act,N$6,FALSE))+IF(ISERROR(VLOOKUP($Y74,ess_act,N$6,FALSE)),0,VLOOKUP($Y74,ess_act,N$6,FALSE))+IF(ISERROR(VLOOKUP($AA74,ess_act,N$6,FALSE)),0,VLOOKUP($AA74,ess_act,N$6,FALSE))</f>
        <v>0</v>
      </c>
      <c r="P74" s="29"/>
      <c r="Q74" s="35">
        <f>IF(ISERROR(VLOOKUP($X74,ess_bud,Q$6,FALSE)),0,VLOOKUP($X74,ess_bud,Q$6,FALSE))+IF(ISERROR(VLOOKUP($Z74,ess_bud,Q$6,FALSE)),0,VLOOKUP($Z74,ess_bud,Q$6,FALSE))+IF(ISERROR(VLOOKUP($Y74,ess_bud,Q$6,FALSE)),0,VLOOKUP($Y74,ess_bud,Q$6,FALSE))+IF(ISERROR(VLOOKUP($AA74,ess_bud,Q$6,FALSE)),0,VLOOKUP($AA74,ess_bud,Q$6,FALSE))</f>
        <v>0</v>
      </c>
      <c r="T74" s="37"/>
      <c r="U74" s="35">
        <f t="shared" ref="U74:U80" si="43">IF(ISERROR(VLOOKUP($X74,ess_act,U$6,FALSE)),0,VLOOKUP($X74,ess_act,U$6,FALSE))+IF(ISERROR(VLOOKUP($Z74,ess_act,U$6,FALSE)),0,VLOOKUP($Z74,ess_act,U$6,FALSE))+IF(ISERROR(VLOOKUP($Y74,ess_act,U$6,FALSE)),0,VLOOKUP($Y74,ess_act,U$6,FALSE))+IF(ISERROR(VLOOKUP($AA74,ess_act,U$6,FALSE)),0,VLOOKUP($AA74,ess_act,U$6,FALSE))</f>
        <v>0</v>
      </c>
      <c r="X74" s="8" t="str">
        <f t="shared" ref="X74:X75" si="44">A74&amp;$X$6</f>
        <v>45100CD</v>
      </c>
      <c r="Y74" s="8"/>
      <c r="Z74" s="8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ht="12.75" customHeight="1">
      <c r="A75" s="8">
        <v>45301.0</v>
      </c>
      <c r="B75" s="8" t="s">
        <v>22</v>
      </c>
      <c r="C75" s="35">
        <f t="shared" si="40"/>
        <v>0</v>
      </c>
      <c r="D75" s="2"/>
      <c r="E75" s="29"/>
      <c r="F75" s="35">
        <f>IF(ISERROR(VLOOKUP($X75,ess_bud,F$6,FALSE)),0,VLOOKUP($X75,ess_bud,F$6,FALSE))+IF(ISERROR(VLOOKUP($Z75,ess_bud,F$6,FALSE)),0,VLOOKUP($Z75,ess_bud,F$6,FALSE))+IF(ISERROR(VLOOKUP($Y75,ess_bud,F$6,FALSE)),0,VLOOKUP($Y75,ess_bud,F$6,FALSE))+IF(ISERROR(VLOOKUP($AA75,ess_bud,F$6,FALSE)),0,VLOOKUP($AA75,ess_bud,F$6,FALSE))</f>
        <v>0</v>
      </c>
      <c r="G75" s="2"/>
      <c r="H75" s="2"/>
      <c r="I75" s="37"/>
      <c r="J75" s="35">
        <f t="shared" si="41"/>
        <v>0</v>
      </c>
      <c r="K75" s="2"/>
      <c r="L75" s="2"/>
      <c r="M75" s="2"/>
      <c r="N75" s="35">
        <f t="shared" si="42"/>
        <v>0</v>
      </c>
      <c r="P75" s="29"/>
      <c r="Q75" s="35">
        <f>IF(ISERROR(VLOOKUP($X75,ess_bud,Q$6,FALSE)),0,VLOOKUP($X75,ess_bud,Q$6,FALSE))+IF(ISERROR(VLOOKUP($Z75,ess_bud,Q$6,FALSE)),0,VLOOKUP($Z75,ess_bud,Q$6,FALSE))+IF(ISERROR(VLOOKUP($Y75,ess_bud,Q$6,FALSE)),0,VLOOKUP($Y75,ess_bud,Q$6,FALSE))+IF(ISERROR(VLOOKUP($AA75,ess_bud,Q$6,FALSE)),0,VLOOKUP($AA75,ess_bud,Q$6,FALSE))</f>
        <v>1620</v>
      </c>
      <c r="T75" s="37"/>
      <c r="U75" s="35">
        <f t="shared" si="43"/>
        <v>0</v>
      </c>
      <c r="X75" s="8" t="str">
        <f t="shared" si="44"/>
        <v>45301CD</v>
      </c>
      <c r="Y75" s="8"/>
      <c r="Z75" s="8" t="str">
        <f>45300&amp;$X$6</f>
        <v>45300CD</v>
      </c>
      <c r="AA75" s="8" t="str">
        <f>45302&amp;$X$6</f>
        <v>45302CD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ht="12.75" customHeight="1">
      <c r="A76" s="8"/>
      <c r="B76" s="8" t="s">
        <v>171</v>
      </c>
      <c r="C76" s="35">
        <f t="shared" si="40"/>
        <v>0</v>
      </c>
      <c r="D76" s="2"/>
      <c r="E76" s="29"/>
      <c r="F76" s="35">
        <f>IF(ISERROR(VLOOKUP($X76,ess_bud,F$6,FALSE)),0,VLOOKUP($X76,ess_bud,F$6,FALSE))+IF(ISERROR(VLOOKUP($Z76,ess_bud,F$6,FALSE)),0,VLOOKUP($Z76,ess_bud,F$6,FALSE))+IF(ISERROR(VLOOKUP($Y76,ess_bud,F$6,FALSE)),0,VLOOKUP($Y76,ess_bud,F$6,FALSE))+IF(ISERROR(VLOOKUP($AA76,ess_bud,F$6,FALSE)),0,VLOOKUP($AA76,ess_bud,F$6,FALSE))</f>
        <v>0</v>
      </c>
      <c r="G76" s="2"/>
      <c r="H76" s="2"/>
      <c r="I76" s="37"/>
      <c r="J76" s="35">
        <f t="shared" si="41"/>
        <v>0</v>
      </c>
      <c r="K76" s="2"/>
      <c r="L76" s="2"/>
      <c r="M76" s="2"/>
      <c r="N76" s="35">
        <f t="shared" si="42"/>
        <v>0</v>
      </c>
      <c r="P76" s="29"/>
      <c r="Q76" s="35">
        <f>IF(ISERROR(VLOOKUP($X76,ess_bud,Q$6,FALSE)),0,VLOOKUP($X76,ess_bud,Q$6,FALSE))+IF(ISERROR(VLOOKUP($Z76,ess_bud,Q$6,FALSE)),0,VLOOKUP($Z76,ess_bud,Q$6,FALSE))+IF(ISERROR(VLOOKUP($Y76,ess_bud,Q$6,FALSE)),0,VLOOKUP($Y76,ess_bud,Q$6,FALSE))+IF(ISERROR(VLOOKUP($AA76,ess_bud,Q$6,FALSE)),0,VLOOKUP($AA76,ess_bud,Q$6,FALSE))</f>
        <v>0</v>
      </c>
      <c r="T76" s="37"/>
      <c r="U76" s="35">
        <f t="shared" si="43"/>
        <v>0</v>
      </c>
      <c r="X76" s="8"/>
      <c r="Y76" s="8"/>
      <c r="Z76" s="8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ht="12.75" customHeight="1">
      <c r="A77" s="8">
        <v>45401.0</v>
      </c>
      <c r="B77" s="8" t="s">
        <v>24</v>
      </c>
      <c r="C77" s="35">
        <f t="shared" si="40"/>
        <v>0</v>
      </c>
      <c r="D77" s="2"/>
      <c r="E77" s="29"/>
      <c r="F77" s="35">
        <f>IF(ISERROR(VLOOKUP($X77,ess_bud,F$6,FALSE)),0,VLOOKUP($X77,ess_bud,F$6,FALSE))+IF(ISERROR(VLOOKUP($Z77,ess_bud,F$6,FALSE)),0,VLOOKUP($Z77,ess_bud,F$6,FALSE))+IF(ISERROR(VLOOKUP($Y77,ess_bud,F$6,FALSE)),0,VLOOKUP($Y77,ess_bud,F$6,FALSE))+IF(ISERROR(VLOOKUP($AA77,ess_bud,F$6,FALSE)),0,VLOOKUP($AA77,ess_bud,F$6,FALSE))</f>
        <v>0</v>
      </c>
      <c r="G77" s="2"/>
      <c r="H77" s="2"/>
      <c r="I77" s="37"/>
      <c r="J77" s="35">
        <f t="shared" si="41"/>
        <v>0</v>
      </c>
      <c r="K77" s="2"/>
      <c r="L77" s="2"/>
      <c r="M77" s="2"/>
      <c r="N77" s="35">
        <f t="shared" si="42"/>
        <v>0</v>
      </c>
      <c r="P77" s="29"/>
      <c r="Q77" s="35">
        <f>IF(ISERROR(VLOOKUP($X77,ess_bud,Q$6,FALSE)),0,VLOOKUP($X77,ess_bud,Q$6,FALSE))+IF(ISERROR(VLOOKUP($Z77,ess_bud,Q$6,FALSE)),0,VLOOKUP($Z77,ess_bud,Q$6,FALSE))+IF(ISERROR(VLOOKUP($Y77,ess_bud,Q$6,FALSE)),0,VLOOKUP($Y77,ess_bud,Q$6,FALSE))+IF(ISERROR(VLOOKUP($AA77,ess_bud,Q$6,FALSE)),0,VLOOKUP($AA77,ess_bud,Q$6,FALSE))</f>
        <v>0</v>
      </c>
      <c r="T77" s="37"/>
      <c r="U77" s="35">
        <f t="shared" si="43"/>
        <v>0</v>
      </c>
      <c r="X77" s="8" t="str">
        <f t="shared" ref="X77:X80" si="45">A77&amp;$X$6</f>
        <v>45401CD</v>
      </c>
      <c r="Y77" s="8" t="s">
        <v>193</v>
      </c>
      <c r="Z77" s="8" t="str">
        <f>45400&amp;$X$6</f>
        <v>45400CD</v>
      </c>
      <c r="AA77" s="8" t="str">
        <f>45404&amp;$X$6</f>
        <v>45404CD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ht="12.75" customHeight="1">
      <c r="A78" s="8">
        <v>45500.0</v>
      </c>
      <c r="B78" s="8" t="s">
        <v>26</v>
      </c>
      <c r="C78" s="35">
        <f t="shared" si="40"/>
        <v>0</v>
      </c>
      <c r="D78" s="2"/>
      <c r="E78" s="29"/>
      <c r="F78" s="35">
        <f>IF(ISERROR(VLOOKUP($X78,ess_bud,F$6,FALSE)),0,VLOOKUP($X78,ess_bud,F$6,FALSE))+IF(ISERROR(VLOOKUP($Z78,ess_bud,F$6,FALSE)),0,VLOOKUP($Z78,ess_bud,F$6,FALSE))+IF(ISERROR(VLOOKUP($Y78,ess_bud,F$6,FALSE)),0,VLOOKUP($Y78,ess_bud,F$6,FALSE))+IF(ISERROR(VLOOKUP($AA78,ess_bud,F$6,FALSE)),0,VLOOKUP($AA78,ess_bud,F$6,FALSE))</f>
        <v>0</v>
      </c>
      <c r="G78" s="2"/>
      <c r="H78" s="2"/>
      <c r="I78" s="37"/>
      <c r="J78" s="35">
        <f t="shared" si="41"/>
        <v>0</v>
      </c>
      <c r="K78" s="2"/>
      <c r="L78" s="2"/>
      <c r="M78" s="2"/>
      <c r="N78" s="35">
        <f t="shared" si="42"/>
        <v>0</v>
      </c>
      <c r="P78" s="29"/>
      <c r="Q78" s="35">
        <f>IF(ISERROR(VLOOKUP($X78,ess_bud,Q$6,FALSE)),0,VLOOKUP($X78,ess_bud,Q$6,FALSE))+IF(ISERROR(VLOOKUP($Z78,ess_bud,Q$6,FALSE)),0,VLOOKUP($Z78,ess_bud,Q$6,FALSE))+IF(ISERROR(VLOOKUP($Y78,ess_bud,Q$6,FALSE)),0,VLOOKUP($Y78,ess_bud,Q$6,FALSE))+IF(ISERROR(VLOOKUP($AA78,ess_bud,Q$6,FALSE)),0,VLOOKUP($AA78,ess_bud,Q$6,FALSE))</f>
        <v>0</v>
      </c>
      <c r="T78" s="37"/>
      <c r="U78" s="35">
        <f t="shared" si="43"/>
        <v>0</v>
      </c>
      <c r="X78" s="8" t="str">
        <f t="shared" si="45"/>
        <v>45500CD</v>
      </c>
      <c r="Y78" s="8"/>
      <c r="Z78" s="8" t="str">
        <f>45501&amp;$X$6</f>
        <v>45501CD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ht="12.75" customHeight="1">
      <c r="A79" s="8">
        <v>45600.0</v>
      </c>
      <c r="B79" s="8" t="s">
        <v>110</v>
      </c>
      <c r="C79" s="35">
        <f t="shared" si="40"/>
        <v>0</v>
      </c>
      <c r="D79" s="2"/>
      <c r="E79" s="29"/>
      <c r="F79" s="35">
        <f>IF(ISERROR(VLOOKUP($X79,ess_bud,F$6,FALSE)),0,VLOOKUP($X79,ess_bud,F$6,FALSE))+IF(ISERROR(VLOOKUP($Z79,ess_bud,F$6,FALSE)),0,VLOOKUP($Z79,ess_bud,F$6,FALSE))+IF(ISERROR(VLOOKUP($Y79,ess_bud,F$6,FALSE)),0,VLOOKUP($Y79,ess_bud,F$6,FALSE))+IF(ISERROR(VLOOKUP($AA79,ess_bud,F$6,FALSE)),0,VLOOKUP($AA79,ess_bud,F$6,FALSE))</f>
        <v>0</v>
      </c>
      <c r="G79" s="2"/>
      <c r="H79" s="2"/>
      <c r="I79" s="37"/>
      <c r="J79" s="35">
        <f t="shared" si="41"/>
        <v>0</v>
      </c>
      <c r="K79" s="2"/>
      <c r="L79" s="2"/>
      <c r="M79" s="2"/>
      <c r="N79" s="35">
        <f t="shared" si="42"/>
        <v>0</v>
      </c>
      <c r="P79" s="29"/>
      <c r="Q79" s="35">
        <f>IF(ISERROR(VLOOKUP($X79,ess_bud,Q$6,FALSE)),0,VLOOKUP($X79,ess_bud,Q$6,FALSE))+IF(ISERROR(VLOOKUP($Z79,ess_bud,Q$6,FALSE)),0,VLOOKUP($Z79,ess_bud,Q$6,FALSE))+IF(ISERROR(VLOOKUP($Y79,ess_bud,Q$6,FALSE)),0,VLOOKUP($Y79,ess_bud,Q$6,FALSE))+IF(ISERROR(VLOOKUP($AA79,ess_bud,Q$6,FALSE)),0,VLOOKUP($AA79,ess_bud,Q$6,FALSE))</f>
        <v>0</v>
      </c>
      <c r="T79" s="37"/>
      <c r="U79" s="35">
        <f t="shared" si="43"/>
        <v>0</v>
      </c>
      <c r="X79" s="8" t="str">
        <f t="shared" si="45"/>
        <v>45600CD</v>
      </c>
      <c r="Y79" s="8"/>
      <c r="Z79" s="8" t="str">
        <f>45601&amp;$X$6</f>
        <v>45601CD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ht="12.75" customHeight="1">
      <c r="A80" s="8">
        <v>47600.0</v>
      </c>
      <c r="B80" s="8" t="s">
        <v>173</v>
      </c>
      <c r="C80" s="35">
        <f t="shared" si="40"/>
        <v>0</v>
      </c>
      <c r="D80" s="2"/>
      <c r="E80" s="29"/>
      <c r="F80" s="35">
        <f>IF(ISERROR(VLOOKUP($X80,ess_bud,F$6,FALSE)),0,VLOOKUP($X80,ess_bud,F$6,FALSE))+IF(ISERROR(VLOOKUP($Z80,ess_bud,F$6,FALSE)),0,VLOOKUP($Z80,ess_bud,F$6,FALSE))+IF(ISERROR(VLOOKUP($Y80,ess_bud,F$6,FALSE)),0,VLOOKUP($Y80,ess_bud,F$6,FALSE))+IF(ISERROR(VLOOKUP($AA80,ess_bud,F$6,FALSE)),0,VLOOKUP($AA80,ess_bud,F$6,FALSE))</f>
        <v>0</v>
      </c>
      <c r="G80" s="2"/>
      <c r="H80" s="2"/>
      <c r="I80" s="37"/>
      <c r="J80" s="35">
        <f t="shared" si="41"/>
        <v>0</v>
      </c>
      <c r="K80" s="2"/>
      <c r="L80" s="2"/>
      <c r="M80" s="2"/>
      <c r="N80" s="35">
        <f t="shared" si="42"/>
        <v>0</v>
      </c>
      <c r="P80" s="29"/>
      <c r="Q80" s="35">
        <f>IF(ISERROR(VLOOKUP($X80,ess_bud,Q$6,FALSE)),0,VLOOKUP($X80,ess_bud,Q$6,FALSE))+IF(ISERROR(VLOOKUP($Z80,ess_bud,Q$6,FALSE)),0,VLOOKUP($Z80,ess_bud,Q$6,FALSE))+IF(ISERROR(VLOOKUP($Y80,ess_bud,Q$6,FALSE)),0,VLOOKUP($Y80,ess_bud,Q$6,FALSE))+IF(ISERROR(VLOOKUP($AA80,ess_bud,Q$6,FALSE)),0,VLOOKUP($AA80,ess_bud,Q$6,FALSE))</f>
        <v>0</v>
      </c>
      <c r="T80" s="37"/>
      <c r="U80" s="35">
        <f t="shared" si="43"/>
        <v>0</v>
      </c>
      <c r="X80" s="8" t="str">
        <f t="shared" si="45"/>
        <v>47600CD</v>
      </c>
      <c r="Y80" s="8"/>
      <c r="Z80" s="8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ht="12.75" customHeight="1">
      <c r="A81" s="8"/>
      <c r="B81" s="8"/>
      <c r="C81" s="126"/>
      <c r="D81" s="2"/>
      <c r="E81" s="29"/>
      <c r="F81" s="126"/>
      <c r="G81" s="2"/>
      <c r="H81" s="2"/>
      <c r="I81" s="37"/>
      <c r="J81" s="126"/>
      <c r="K81" s="2"/>
      <c r="L81" s="2"/>
      <c r="M81" s="2"/>
      <c r="N81" s="126"/>
      <c r="P81" s="29"/>
      <c r="Q81" s="126"/>
      <c r="T81" s="37"/>
      <c r="U81" s="126"/>
      <c r="X81" s="8"/>
      <c r="Y81" s="8"/>
      <c r="Z81" s="8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ht="12.75" customHeight="1">
      <c r="A82" s="8">
        <v>49101.0</v>
      </c>
      <c r="B82" s="8" t="s">
        <v>109</v>
      </c>
      <c r="C82" s="35">
        <f>IF(ISERROR(VLOOKUP($X82,ess_act,C$6,FALSE)),0,VLOOKUP($X82,ess_act,C$6,FALSE))+IF(ISERROR(VLOOKUP($Z82,ess_act,C$6,FALSE)),0,VLOOKUP($Z82,ess_act,C$6,FALSE))+IF(ISERROR(VLOOKUP($Y82,ess_act,C$6,FALSE)),0,VLOOKUP($Y82,ess_act,C$6,FALSE))+IF(ISERROR(VLOOKUP($AA82,ess_act,C$6,FALSE)),0,VLOOKUP($AA82,ess_act,C$6,FALSE))</f>
        <v>0</v>
      </c>
      <c r="D82" s="2"/>
      <c r="E82" s="29"/>
      <c r="F82" s="35">
        <f>IF(ISERROR(VLOOKUP($X82,ess_bud,F$6,FALSE)),0,VLOOKUP($X82,ess_bud,F$6,FALSE))+IF(ISERROR(VLOOKUP($Z82,ess_bud,F$6,FALSE)),0,VLOOKUP($Z82,ess_bud,F$6,FALSE))+IF(ISERROR(VLOOKUP($Y82,ess_bud,F$6,FALSE)),0,VLOOKUP($Y82,ess_bud,F$6,FALSE))+IF(ISERROR(VLOOKUP($AA82,ess_bud,F$6,FALSE)),0,VLOOKUP($AA82,ess_bud,F$6,FALSE))</f>
        <v>0</v>
      </c>
      <c r="G82" s="2"/>
      <c r="H82" s="2"/>
      <c r="I82" s="37"/>
      <c r="J82" s="35">
        <f>IF(ISERROR(VLOOKUP($X82,ess_act,J$6,FALSE)),0,VLOOKUP($X82,ess_act,J$6,FALSE))+IF(ISERROR(VLOOKUP($Z82,ess_act,J$6,FALSE)),0,VLOOKUP($Z82,ess_act,J$6,FALSE))+IF(ISERROR(VLOOKUP($Y82,ess_act,J$6,FALSE)),0,VLOOKUP($Y82,ess_act,J$6,FALSE))+IF(ISERROR(VLOOKUP($AA82,ess_act,J$6,FALSE)),0,VLOOKUP($AA82,ess_act,J$6,FALSE))</f>
        <v>0</v>
      </c>
      <c r="K82" s="2"/>
      <c r="L82" s="2"/>
      <c r="M82" s="2"/>
      <c r="N82" s="35">
        <f>IF(ISERROR(VLOOKUP($X82,ess_act,N$6,FALSE)),0,VLOOKUP($X82,ess_act,N$6,FALSE))+IF(ISERROR(VLOOKUP($Z82,ess_act,N$6,FALSE)),0,VLOOKUP($Z82,ess_act,N$6,FALSE))+IF(ISERROR(VLOOKUP($Y82,ess_act,N$6,FALSE)),0,VLOOKUP($Y82,ess_act,N$6,FALSE))+IF(ISERROR(VLOOKUP($AA82,ess_act,N$6,FALSE)),0,VLOOKUP($AA82,ess_act,N$6,FALSE))</f>
        <v>0</v>
      </c>
      <c r="P82" s="29"/>
      <c r="Q82" s="35">
        <f>IF(ISERROR(VLOOKUP($X82,ess_bud,Q$6,FALSE)),0,VLOOKUP($X82,ess_bud,Q$6,FALSE))+IF(ISERROR(VLOOKUP($Z82,ess_bud,Q$6,FALSE)),0,VLOOKUP($Z82,ess_bud,Q$6,FALSE))+IF(ISERROR(VLOOKUP($Y82,ess_bud,Q$6,FALSE)),0,VLOOKUP($Y82,ess_bud,Q$6,FALSE))+IF(ISERROR(VLOOKUP($AA82,ess_bud,Q$6,FALSE)),0,VLOOKUP($AA82,ess_bud,Q$6,FALSE))</f>
        <v>0</v>
      </c>
      <c r="T82" s="37"/>
      <c r="U82" s="35">
        <f>IF(ISERROR(VLOOKUP($X82,ess_act,U$6,FALSE)),0,VLOOKUP($X82,ess_act,U$6,FALSE))+IF(ISERROR(VLOOKUP($Z82,ess_act,U$6,FALSE)),0,VLOOKUP($Z82,ess_act,U$6,FALSE))+IF(ISERROR(VLOOKUP($Y82,ess_act,U$6,FALSE)),0,VLOOKUP($Y82,ess_act,U$6,FALSE))+IF(ISERROR(VLOOKUP($AA82,ess_act,U$6,FALSE)),0,VLOOKUP($AA82,ess_act,U$6,FALSE))</f>
        <v>0</v>
      </c>
      <c r="X82" s="8" t="str">
        <f>A82&amp;$X$6</f>
        <v>49101CD</v>
      </c>
      <c r="Y82" s="8"/>
      <c r="Z82" s="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ht="12.75" customHeight="1">
      <c r="A83" s="8"/>
      <c r="B83" s="8"/>
      <c r="C83" s="35"/>
      <c r="D83" s="2"/>
      <c r="E83" s="29"/>
      <c r="F83" s="35"/>
      <c r="G83" s="2"/>
      <c r="H83" s="2"/>
      <c r="I83" s="37"/>
      <c r="J83" s="35"/>
      <c r="K83" s="2"/>
      <c r="L83" s="2"/>
      <c r="M83" s="2"/>
      <c r="N83" s="35"/>
      <c r="P83" s="29"/>
      <c r="Q83" s="35"/>
      <c r="T83" s="37"/>
      <c r="U83" s="35"/>
      <c r="X83" s="8"/>
      <c r="Y83" s="8"/>
      <c r="Z83" s="8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ht="12.75" customHeight="1">
      <c r="A84" s="8"/>
      <c r="B84" s="8"/>
      <c r="C84" s="126"/>
      <c r="D84" s="2"/>
      <c r="E84" s="29"/>
      <c r="F84" s="126"/>
      <c r="G84" s="2"/>
      <c r="H84" s="2"/>
      <c r="I84" s="37"/>
      <c r="J84" s="126"/>
      <c r="K84" s="2"/>
      <c r="L84" s="2"/>
      <c r="M84" s="2"/>
      <c r="N84" s="126"/>
      <c r="P84" s="29"/>
      <c r="Q84" s="126"/>
      <c r="T84" s="37"/>
      <c r="U84" s="126"/>
      <c r="X84" s="8"/>
      <c r="Y84" s="8"/>
      <c r="Z84" s="8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ht="12.75" customHeight="1">
      <c r="A85" s="8">
        <v>49100.0</v>
      </c>
      <c r="B85" s="8" t="s">
        <v>175</v>
      </c>
      <c r="C85" s="35">
        <f t="shared" ref="C85:C89" si="46">IF(ISERROR(VLOOKUP($X85,ess_act,C$6,FALSE)),0,VLOOKUP($X85,ess_act,C$6,FALSE))+IF(ISERROR(VLOOKUP($Z85,ess_act,C$6,FALSE)),0,VLOOKUP($Z85,ess_act,C$6,FALSE))+IF(ISERROR(VLOOKUP($Y85,ess_act,C$6,FALSE)),0,VLOOKUP($Y85,ess_act,C$6,FALSE))+IF(ISERROR(VLOOKUP($AA85,ess_act,C$6,FALSE)),0,VLOOKUP($AA85,ess_act,C$6,FALSE))</f>
        <v>0</v>
      </c>
      <c r="D85" s="2"/>
      <c r="E85" s="29"/>
      <c r="F85" s="35">
        <f>IF(ISERROR(VLOOKUP($X85,ess_bud,F$6,FALSE)),0,VLOOKUP($X85,ess_bud,F$6,FALSE))+IF(ISERROR(VLOOKUP($Z85,ess_bud,F$6,FALSE)),0,VLOOKUP($Z85,ess_bud,F$6,FALSE))+IF(ISERROR(VLOOKUP($Y85,ess_bud,F$6,FALSE)),0,VLOOKUP($Y85,ess_bud,F$6,FALSE))+IF(ISERROR(VLOOKUP($AA85,ess_bud,F$6,FALSE)),0,VLOOKUP($AA85,ess_bud,F$6,FALSE))</f>
        <v>0</v>
      </c>
      <c r="G85" s="2"/>
      <c r="H85" s="2"/>
      <c r="I85" s="37"/>
      <c r="J85" s="35">
        <f t="shared" ref="J85:J89" si="47">IF(ISERROR(VLOOKUP($X85,ess_act,J$6,FALSE)),0,VLOOKUP($X85,ess_act,J$6,FALSE))+IF(ISERROR(VLOOKUP($Z85,ess_act,J$6,FALSE)),0,VLOOKUP($Z85,ess_act,J$6,FALSE))+IF(ISERROR(VLOOKUP($Y85,ess_act,J$6,FALSE)),0,VLOOKUP($Y85,ess_act,J$6,FALSE))+IF(ISERROR(VLOOKUP($AA85,ess_act,J$6,FALSE)),0,VLOOKUP($AA85,ess_act,J$6,FALSE))</f>
        <v>0</v>
      </c>
      <c r="K85" s="2"/>
      <c r="L85" s="2"/>
      <c r="M85" s="2"/>
      <c r="N85" s="35">
        <f t="shared" ref="N85:N89" si="48">IF(ISERROR(VLOOKUP($X85,ess_act,N$6,FALSE)),0,VLOOKUP($X85,ess_act,N$6,FALSE))+IF(ISERROR(VLOOKUP($Z85,ess_act,N$6,FALSE)),0,VLOOKUP($Z85,ess_act,N$6,FALSE))+IF(ISERROR(VLOOKUP($Y85,ess_act,N$6,FALSE)),0,VLOOKUP($Y85,ess_act,N$6,FALSE))+IF(ISERROR(VLOOKUP($AA85,ess_act,N$6,FALSE)),0,VLOOKUP($AA85,ess_act,N$6,FALSE))</f>
        <v>0</v>
      </c>
      <c r="P85" s="29"/>
      <c r="Q85" s="35">
        <f>IF(ISERROR(VLOOKUP($X85,ess_bud,Q$6,FALSE)),0,VLOOKUP($X85,ess_bud,Q$6,FALSE))+IF(ISERROR(VLOOKUP($Z85,ess_bud,Q$6,FALSE)),0,VLOOKUP($Z85,ess_bud,Q$6,FALSE))+IF(ISERROR(VLOOKUP($Y85,ess_bud,Q$6,FALSE)),0,VLOOKUP($Y85,ess_bud,Q$6,FALSE))+IF(ISERROR(VLOOKUP($AA85,ess_bud,Q$6,FALSE)),0,VLOOKUP($AA85,ess_bud,Q$6,FALSE))</f>
        <v>0</v>
      </c>
      <c r="T85" s="37"/>
      <c r="U85" s="35">
        <f t="shared" ref="U85:U89" si="49">IF(ISERROR(VLOOKUP($X85,ess_act,U$6,FALSE)),0,VLOOKUP($X85,ess_act,U$6,FALSE))+IF(ISERROR(VLOOKUP($Z85,ess_act,U$6,FALSE)),0,VLOOKUP($Z85,ess_act,U$6,FALSE))+IF(ISERROR(VLOOKUP($Y85,ess_act,U$6,FALSE)),0,VLOOKUP($Y85,ess_act,U$6,FALSE))+IF(ISERROR(VLOOKUP($AA85,ess_act,U$6,FALSE)),0,VLOOKUP($AA85,ess_act,U$6,FALSE))</f>
        <v>0</v>
      </c>
      <c r="X85" s="8" t="str">
        <f t="shared" ref="X85:X86" si="50">A85&amp;$X$6</f>
        <v>49100CD</v>
      </c>
      <c r="Y85" s="8"/>
      <c r="Z85" s="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ht="12.75" customHeight="1">
      <c r="A86" s="8">
        <v>48101.0</v>
      </c>
      <c r="B86" s="8" t="s">
        <v>34</v>
      </c>
      <c r="C86" s="35">
        <f t="shared" si="46"/>
        <v>0</v>
      </c>
      <c r="D86" s="2"/>
      <c r="E86" s="29"/>
      <c r="F86" s="35">
        <f>IF(ISERROR(VLOOKUP($X86,ess_bud,F$6,FALSE)),0,VLOOKUP($X86,ess_bud,F$6,FALSE))+IF(ISERROR(VLOOKUP($Z86,ess_bud,F$6,FALSE)),0,VLOOKUP($Z86,ess_bud,F$6,FALSE))+IF(ISERROR(VLOOKUP($Y86,ess_bud,F$6,FALSE)),0,VLOOKUP($Y86,ess_bud,F$6,FALSE))+IF(ISERROR(VLOOKUP($AA86,ess_bud,F$6,FALSE)),0,VLOOKUP($AA86,ess_bud,F$6,FALSE))</f>
        <v>0</v>
      </c>
      <c r="G86" s="2"/>
      <c r="H86" s="2"/>
      <c r="I86" s="37"/>
      <c r="J86" s="35">
        <f t="shared" si="47"/>
        <v>0</v>
      </c>
      <c r="K86" s="2"/>
      <c r="L86" s="2"/>
      <c r="M86" s="2"/>
      <c r="N86" s="35">
        <f t="shared" si="48"/>
        <v>0</v>
      </c>
      <c r="P86" s="29"/>
      <c r="Q86" s="35">
        <f>IF(ISERROR(VLOOKUP($X86,ess_bud,Q$6,FALSE)),0,VLOOKUP($X86,ess_bud,Q$6,FALSE))+IF(ISERROR(VLOOKUP($Z86,ess_bud,Q$6,FALSE)),0,VLOOKUP($Z86,ess_bud,Q$6,FALSE))+IF(ISERROR(VLOOKUP($Y86,ess_bud,Q$6,FALSE)),0,VLOOKUP($Y86,ess_bud,Q$6,FALSE))+IF(ISERROR(VLOOKUP($AA86,ess_bud,Q$6,FALSE)),0,VLOOKUP($AA86,ess_bud,Q$6,FALSE))</f>
        <v>0</v>
      </c>
      <c r="T86" s="37"/>
      <c r="U86" s="35">
        <f t="shared" si="49"/>
        <v>0</v>
      </c>
      <c r="X86" s="8" t="str">
        <f t="shared" si="50"/>
        <v>48101CD</v>
      </c>
      <c r="Y86" s="8"/>
      <c r="Z86" s="8" t="str">
        <f>48100&amp;$X$6</f>
        <v>48100CD</v>
      </c>
      <c r="AA86" s="8" t="str">
        <f>48102&amp;$X$6</f>
        <v>48102CD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ht="12.75" customHeight="1">
      <c r="A87" s="8"/>
      <c r="B87" s="8" t="s">
        <v>180</v>
      </c>
      <c r="C87" s="35">
        <f t="shared" si="46"/>
        <v>0</v>
      </c>
      <c r="D87" s="2"/>
      <c r="E87" s="29"/>
      <c r="F87" s="35">
        <f>IF(ISERROR(VLOOKUP($X87,ess_bud,F$6,FALSE)),0,VLOOKUP($X87,ess_bud,F$6,FALSE))+IF(ISERROR(VLOOKUP($Z87,ess_bud,F$6,FALSE)),0,VLOOKUP($Z87,ess_bud,F$6,FALSE))+IF(ISERROR(VLOOKUP($Y87,ess_bud,F$6,FALSE)),0,VLOOKUP($Y87,ess_bud,F$6,FALSE))+IF(ISERROR(VLOOKUP($AA87,ess_bud,F$6,FALSE)),0,VLOOKUP($AA87,ess_bud,F$6,FALSE))</f>
        <v>0</v>
      </c>
      <c r="G87" s="2"/>
      <c r="H87" s="2"/>
      <c r="I87" s="37"/>
      <c r="J87" s="35">
        <f t="shared" si="47"/>
        <v>0</v>
      </c>
      <c r="K87" s="2"/>
      <c r="L87" s="2"/>
      <c r="M87" s="2"/>
      <c r="N87" s="35">
        <f t="shared" si="48"/>
        <v>0</v>
      </c>
      <c r="P87" s="29"/>
      <c r="Q87" s="35">
        <f>IF(ISERROR(VLOOKUP($X87,ess_bud,Q$6,FALSE)),0,VLOOKUP($X87,ess_bud,Q$6,FALSE))+IF(ISERROR(VLOOKUP($Z87,ess_bud,Q$6,FALSE)),0,VLOOKUP($Z87,ess_bud,Q$6,FALSE))+IF(ISERROR(VLOOKUP($Y87,ess_bud,Q$6,FALSE)),0,VLOOKUP($Y87,ess_bud,Q$6,FALSE))+IF(ISERROR(VLOOKUP($AA87,ess_bud,Q$6,FALSE)),0,VLOOKUP($AA87,ess_bud,Q$6,FALSE))</f>
        <v>0</v>
      </c>
      <c r="T87" s="37"/>
      <c r="U87" s="35">
        <f t="shared" si="49"/>
        <v>0</v>
      </c>
      <c r="X87" s="8"/>
      <c r="Y87" s="8"/>
      <c r="Z87" s="8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ht="12.75" customHeight="1">
      <c r="A88" s="8">
        <v>48200.0</v>
      </c>
      <c r="B88" s="8" t="s">
        <v>37</v>
      </c>
      <c r="C88" s="35">
        <f t="shared" si="46"/>
        <v>0</v>
      </c>
      <c r="D88" s="2"/>
      <c r="E88" s="29"/>
      <c r="F88" s="35">
        <f>IF(ISERROR(VLOOKUP($X88,ess_bud,F$6,FALSE)),0,VLOOKUP($X88,ess_bud,F$6,FALSE))+IF(ISERROR(VLOOKUP($Z88,ess_bud,F$6,FALSE)),0,VLOOKUP($Z88,ess_bud,F$6,FALSE))+IF(ISERROR(VLOOKUP($Y88,ess_bud,F$6,FALSE)),0,VLOOKUP($Y88,ess_bud,F$6,FALSE))+IF(ISERROR(VLOOKUP($AA88,ess_bud,F$6,FALSE)),0,VLOOKUP($AA88,ess_bud,F$6,FALSE))</f>
        <v>0</v>
      </c>
      <c r="G88" s="2"/>
      <c r="H88" s="2"/>
      <c r="I88" s="37"/>
      <c r="J88" s="35">
        <f t="shared" si="47"/>
        <v>0</v>
      </c>
      <c r="K88" s="2"/>
      <c r="L88" s="2"/>
      <c r="M88" s="2"/>
      <c r="N88" s="35">
        <f t="shared" si="48"/>
        <v>0</v>
      </c>
      <c r="P88" s="29"/>
      <c r="Q88" s="35">
        <f>IF(ISERROR(VLOOKUP($X88,ess_bud,Q$6,FALSE)),0,VLOOKUP($X88,ess_bud,Q$6,FALSE))+IF(ISERROR(VLOOKUP($Z88,ess_bud,Q$6,FALSE)),0,VLOOKUP($Z88,ess_bud,Q$6,FALSE))+IF(ISERROR(VLOOKUP($Y88,ess_bud,Q$6,FALSE)),0,VLOOKUP($Y88,ess_bud,Q$6,FALSE))+IF(ISERROR(VLOOKUP($AA88,ess_bud,Q$6,FALSE)),0,VLOOKUP($AA88,ess_bud,Q$6,FALSE))</f>
        <v>0</v>
      </c>
      <c r="T88" s="37"/>
      <c r="U88" s="35">
        <f t="shared" si="49"/>
        <v>0</v>
      </c>
      <c r="X88" s="8" t="str">
        <f t="shared" ref="X88:X89" si="51">A88&amp;$X$6</f>
        <v>48200CD</v>
      </c>
      <c r="Y88" s="8"/>
      <c r="Z88" s="8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ht="12.75" customHeight="1">
      <c r="A89" s="8">
        <v>35100.0</v>
      </c>
      <c r="B89" s="8" t="s">
        <v>182</v>
      </c>
      <c r="C89" s="35">
        <f t="shared" si="46"/>
        <v>0</v>
      </c>
      <c r="D89" s="2"/>
      <c r="E89" s="29"/>
      <c r="F89" s="35">
        <f>IF(ISERROR(VLOOKUP($X89,ess_bud,F$6,FALSE)),0,VLOOKUP($X89,ess_bud,F$6,FALSE))+IF(ISERROR(VLOOKUP($Z89,ess_bud,F$6,FALSE)),0,VLOOKUP($Z89,ess_bud,F$6,FALSE))+IF(ISERROR(VLOOKUP($Y89,ess_bud,F$6,FALSE)),0,VLOOKUP($Y89,ess_bud,F$6,FALSE))+IF(ISERROR(VLOOKUP($AA89,ess_bud,F$6,FALSE)),0,VLOOKUP($AA89,ess_bud,F$6,FALSE))</f>
        <v>0</v>
      </c>
      <c r="G89" s="2"/>
      <c r="H89" s="2"/>
      <c r="I89" s="37"/>
      <c r="J89" s="35">
        <f t="shared" si="47"/>
        <v>0</v>
      </c>
      <c r="K89" s="2"/>
      <c r="L89" s="2"/>
      <c r="M89" s="2"/>
      <c r="N89" s="35">
        <f t="shared" si="48"/>
        <v>0</v>
      </c>
      <c r="P89" s="29"/>
      <c r="Q89" s="35">
        <f>IF(ISERROR(VLOOKUP($X89,ess_bud,Q$6,FALSE)),0,VLOOKUP($X89,ess_bud,Q$6,FALSE))+IF(ISERROR(VLOOKUP($Z89,ess_bud,Q$6,FALSE)),0,VLOOKUP($Z89,ess_bud,Q$6,FALSE))+IF(ISERROR(VLOOKUP($Y89,ess_bud,Q$6,FALSE)),0,VLOOKUP($Y89,ess_bud,Q$6,FALSE))+IF(ISERROR(VLOOKUP($AA89,ess_bud,Q$6,FALSE)),0,VLOOKUP($AA89,ess_bud,Q$6,FALSE))</f>
        <v>0</v>
      </c>
      <c r="T89" s="37"/>
      <c r="U89" s="35">
        <f t="shared" si="49"/>
        <v>0</v>
      </c>
      <c r="X89" s="8" t="str">
        <f t="shared" si="51"/>
        <v>35100CD</v>
      </c>
      <c r="Y89" s="8"/>
      <c r="Z89" s="8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ht="12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Q90" s="2"/>
      <c r="U90" s="2"/>
      <c r="Y90" s="8"/>
    </row>
    <row r="91" ht="12.75" customHeight="1">
      <c r="A91" s="8"/>
      <c r="B91" s="8"/>
      <c r="C91" s="8"/>
      <c r="D91" s="2"/>
      <c r="E91" s="29"/>
      <c r="F91" s="8"/>
      <c r="G91" s="2"/>
      <c r="H91" s="2"/>
      <c r="I91" s="28"/>
      <c r="J91" s="8"/>
      <c r="K91" s="2"/>
      <c r="L91" s="2"/>
      <c r="M91" s="2"/>
      <c r="N91" s="8"/>
      <c r="P91" s="29"/>
      <c r="Q91" s="8"/>
      <c r="T91" s="28"/>
      <c r="U91" s="8"/>
      <c r="X91" s="8"/>
      <c r="Y91" s="8"/>
      <c r="Z91" s="8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ht="12.75" customHeight="1">
      <c r="A92" s="8"/>
      <c r="B92" s="24" t="s">
        <v>44</v>
      </c>
      <c r="C92" s="8"/>
      <c r="D92" s="2"/>
      <c r="E92" s="28"/>
      <c r="F92" s="8"/>
      <c r="G92" s="2"/>
      <c r="H92" s="2"/>
      <c r="I92" s="28"/>
      <c r="J92" s="8"/>
      <c r="K92" s="2"/>
      <c r="L92" s="2"/>
      <c r="M92" s="2"/>
      <c r="N92" s="8"/>
      <c r="P92" s="28"/>
      <c r="Q92" s="8"/>
      <c r="T92" s="28"/>
      <c r="U92" s="8"/>
      <c r="X92" s="8"/>
      <c r="Y92" s="8"/>
      <c r="Z92" s="8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ht="12.75" customHeight="1">
      <c r="A93" s="8">
        <v>61100.0</v>
      </c>
      <c r="B93" s="8" t="s">
        <v>45</v>
      </c>
      <c r="C93" s="35">
        <f t="shared" ref="C93:C96" si="52">IF(ISERROR(VLOOKUP($X93,ess_act,C$6,FALSE)),0,VLOOKUP($X93,ess_act,C$6,FALSE))+IF(ISERROR(VLOOKUP($Z93,ess_act,C$6,FALSE)),0,VLOOKUP($Z93,ess_act,C$6,FALSE))+IF(ISERROR(VLOOKUP($Y93,ess_act,C$6,FALSE)),0,VLOOKUP($Y93,ess_act,C$6,FALSE))+IF(ISERROR(VLOOKUP($AA93,ess_act,C$6,FALSE)),0,VLOOKUP($AA93,ess_act,C$6,FALSE))</f>
        <v>0</v>
      </c>
      <c r="D93" s="2"/>
      <c r="E93" s="29"/>
      <c r="F93" s="35">
        <f>IF(ISERROR(VLOOKUP($X93,ess_bud,F$6,FALSE)),0,VLOOKUP($X93,ess_bud,F$6,FALSE))+IF(ISERROR(VLOOKUP($Z93,ess_bud,F$6,FALSE)),0,VLOOKUP($Z93,ess_bud,F$6,FALSE))+IF(ISERROR(VLOOKUP($Y93,ess_bud,F$6,FALSE)),0,VLOOKUP($Y93,ess_bud,F$6,FALSE))+IF(ISERROR(VLOOKUP($AA93,ess_bud,F$6,FALSE)),0,VLOOKUP($AA93,ess_bud,F$6,FALSE))</f>
        <v>0</v>
      </c>
      <c r="G93" s="2"/>
      <c r="H93" s="2"/>
      <c r="I93" s="37"/>
      <c r="J93" s="35">
        <f t="shared" ref="J93:J96" si="53">IF(ISERROR(VLOOKUP($X93,ess_act,J$6,FALSE)),0,VLOOKUP($X93,ess_act,J$6,FALSE))+IF(ISERROR(VLOOKUP($Z93,ess_act,J$6,FALSE)),0,VLOOKUP($Z93,ess_act,J$6,FALSE))+IF(ISERROR(VLOOKUP($Y93,ess_act,J$6,FALSE)),0,VLOOKUP($Y93,ess_act,J$6,FALSE))+IF(ISERROR(VLOOKUP($AA93,ess_act,J$6,FALSE)),0,VLOOKUP($AA93,ess_act,J$6,FALSE))</f>
        <v>0</v>
      </c>
      <c r="K93" s="2"/>
      <c r="L93" s="2"/>
      <c r="M93" s="2"/>
      <c r="N93" s="35">
        <f t="shared" ref="N93:N96" si="54">IF(ISERROR(VLOOKUP($X93,ess_act,N$6,FALSE)),0,VLOOKUP($X93,ess_act,N$6,FALSE))+IF(ISERROR(VLOOKUP($Z93,ess_act,N$6,FALSE)),0,VLOOKUP($Z93,ess_act,N$6,FALSE))+IF(ISERROR(VLOOKUP($Y93,ess_act,N$6,FALSE)),0,VLOOKUP($Y93,ess_act,N$6,FALSE))+IF(ISERROR(VLOOKUP($AA93,ess_act,N$6,FALSE)),0,VLOOKUP($AA93,ess_act,N$6,FALSE))</f>
        <v>0</v>
      </c>
      <c r="P93" s="29"/>
      <c r="Q93" s="35">
        <f>IF(ISERROR(VLOOKUP($X93,ess_bud,Q$6,FALSE)),0,VLOOKUP($X93,ess_bud,Q$6,FALSE))+IF(ISERROR(VLOOKUP($Z93,ess_bud,Q$6,FALSE)),0,VLOOKUP($Z93,ess_bud,Q$6,FALSE))+IF(ISERROR(VLOOKUP($Y93,ess_bud,Q$6,FALSE)),0,VLOOKUP($Y93,ess_bud,Q$6,FALSE))+IF(ISERROR(VLOOKUP($AA93,ess_bud,Q$6,FALSE)),0,VLOOKUP($AA93,ess_bud,Q$6,FALSE))</f>
        <v>0</v>
      </c>
      <c r="T93" s="37"/>
      <c r="U93" s="35">
        <f t="shared" ref="U93:U96" si="55">IF(ISERROR(VLOOKUP($X93,ess_act,U$6,FALSE)),0,VLOOKUP($X93,ess_act,U$6,FALSE))+IF(ISERROR(VLOOKUP($Z93,ess_act,U$6,FALSE)),0,VLOOKUP($Z93,ess_act,U$6,FALSE))+IF(ISERROR(VLOOKUP($Y93,ess_act,U$6,FALSE)),0,VLOOKUP($Y93,ess_act,U$6,FALSE))+IF(ISERROR(VLOOKUP($AA93,ess_act,U$6,FALSE)),0,VLOOKUP($AA93,ess_act,U$6,FALSE))</f>
        <v>0</v>
      </c>
      <c r="X93" s="8" t="str">
        <f t="shared" ref="X93:X96" si="56">A93&amp;$X$6</f>
        <v>61100CD</v>
      </c>
      <c r="Y93" s="8"/>
      <c r="Z93" s="8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ht="12.75" customHeight="1">
      <c r="A94" s="8">
        <v>61101.0</v>
      </c>
      <c r="B94" s="8" t="s">
        <v>39</v>
      </c>
      <c r="C94" s="35">
        <f t="shared" si="52"/>
        <v>0</v>
      </c>
      <c r="D94" s="2"/>
      <c r="E94" s="29"/>
      <c r="F94" s="35">
        <f>IF(ISERROR(VLOOKUP($X94,ess_bud,F$6,FALSE)),0,VLOOKUP($X94,ess_bud,F$6,FALSE))+IF(ISERROR(VLOOKUP($Z94,ess_bud,F$6,FALSE)),0,VLOOKUP($Z94,ess_bud,F$6,FALSE))+IF(ISERROR(VLOOKUP($Y94,ess_bud,F$6,FALSE)),0,VLOOKUP($Y94,ess_bud,F$6,FALSE))+IF(ISERROR(VLOOKUP($AA94,ess_bud,F$6,FALSE)),0,VLOOKUP($AA94,ess_bud,F$6,FALSE))</f>
        <v>0</v>
      </c>
      <c r="G94" s="2"/>
      <c r="H94" s="2"/>
      <c r="I94" s="37"/>
      <c r="J94" s="35">
        <f t="shared" si="53"/>
        <v>0</v>
      </c>
      <c r="K94" s="2"/>
      <c r="L94" s="2"/>
      <c r="M94" s="2"/>
      <c r="N94" s="35">
        <f t="shared" si="54"/>
        <v>0</v>
      </c>
      <c r="P94" s="29"/>
      <c r="Q94" s="35">
        <f>IF(ISERROR(VLOOKUP($X94,ess_bud,Q$6,FALSE)),0,VLOOKUP($X94,ess_bud,Q$6,FALSE))+IF(ISERROR(VLOOKUP($Z94,ess_bud,Q$6,FALSE)),0,VLOOKUP($Z94,ess_bud,Q$6,FALSE))+IF(ISERROR(VLOOKUP($Y94,ess_bud,Q$6,FALSE)),0,VLOOKUP($Y94,ess_bud,Q$6,FALSE))+IF(ISERROR(VLOOKUP($AA94,ess_bud,Q$6,FALSE)),0,VLOOKUP($AA94,ess_bud,Q$6,FALSE))</f>
        <v>0</v>
      </c>
      <c r="T94" s="37"/>
      <c r="U94" s="35">
        <f t="shared" si="55"/>
        <v>0</v>
      </c>
      <c r="X94" s="8" t="str">
        <f t="shared" si="56"/>
        <v>61101CD</v>
      </c>
      <c r="Y94" s="8"/>
      <c r="Z94" s="8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ht="12.75" customHeight="1">
      <c r="A95" s="8">
        <v>51100.0</v>
      </c>
      <c r="B95" s="8" t="s">
        <v>47</v>
      </c>
      <c r="C95" s="35">
        <f t="shared" si="52"/>
        <v>0</v>
      </c>
      <c r="D95" s="2"/>
      <c r="E95" s="29"/>
      <c r="F95" s="35">
        <f>IF(ISERROR(VLOOKUP($X95,ess_bud,F$6,FALSE)),0,VLOOKUP($X95,ess_bud,F$6,FALSE))+IF(ISERROR(VLOOKUP($Z95,ess_bud,F$6,FALSE)),0,VLOOKUP($Z95,ess_bud,F$6,FALSE))+IF(ISERROR(VLOOKUP($Y95,ess_bud,F$6,FALSE)),0,VLOOKUP($Y95,ess_bud,F$6,FALSE))+IF(ISERROR(VLOOKUP($AA95,ess_bud,F$6,FALSE)),0,VLOOKUP($AA95,ess_bud,F$6,FALSE))</f>
        <v>0</v>
      </c>
      <c r="G95" s="2"/>
      <c r="H95" s="2"/>
      <c r="I95" s="37"/>
      <c r="J95" s="35">
        <f t="shared" si="53"/>
        <v>0</v>
      </c>
      <c r="K95" s="2"/>
      <c r="L95" s="2"/>
      <c r="M95" s="2"/>
      <c r="N95" s="35">
        <f t="shared" si="54"/>
        <v>0</v>
      </c>
      <c r="P95" s="29"/>
      <c r="Q95" s="35">
        <f>IF(ISERROR(VLOOKUP($X95,ess_bud,Q$6,FALSE)),0,VLOOKUP($X95,ess_bud,Q$6,FALSE))+IF(ISERROR(VLOOKUP($Z95,ess_bud,Q$6,FALSE)),0,VLOOKUP($Z95,ess_bud,Q$6,FALSE))+IF(ISERROR(VLOOKUP($Y95,ess_bud,Q$6,FALSE)),0,VLOOKUP($Y95,ess_bud,Q$6,FALSE))+IF(ISERROR(VLOOKUP($AA95,ess_bud,Q$6,FALSE)),0,VLOOKUP($AA95,ess_bud,Q$6,FALSE))</f>
        <v>0</v>
      </c>
      <c r="T95" s="37"/>
      <c r="U95" s="35">
        <f t="shared" si="55"/>
        <v>0</v>
      </c>
      <c r="X95" s="8" t="str">
        <f t="shared" si="56"/>
        <v>51100CD</v>
      </c>
      <c r="Y95" s="8" t="str">
        <f>55000&amp;$X$6</f>
        <v>55000CD</v>
      </c>
      <c r="Z95" s="8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ht="12.75" customHeight="1">
      <c r="A96" s="8">
        <v>61200.0</v>
      </c>
      <c r="B96" s="8" t="s">
        <v>183</v>
      </c>
      <c r="C96" s="35">
        <f t="shared" si="52"/>
        <v>0</v>
      </c>
      <c r="D96" s="2"/>
      <c r="E96" s="29"/>
      <c r="F96" s="35">
        <f>IF(ISERROR(VLOOKUP($X96,ess_bud,F$6,FALSE)),0,VLOOKUP($X96,ess_bud,F$6,FALSE))+IF(ISERROR(VLOOKUP($Z96,ess_bud,F$6,FALSE)),0,VLOOKUP($Z96,ess_bud,F$6,FALSE))+IF(ISERROR(VLOOKUP($Y96,ess_bud,F$6,FALSE)),0,VLOOKUP($Y96,ess_bud,F$6,FALSE))+IF(ISERROR(VLOOKUP($AA96,ess_bud,F$6,FALSE)),0,VLOOKUP($AA96,ess_bud,F$6,FALSE))</f>
        <v>0</v>
      </c>
      <c r="G96" s="2"/>
      <c r="H96" s="2"/>
      <c r="I96" s="37"/>
      <c r="J96" s="35">
        <f t="shared" si="53"/>
        <v>0</v>
      </c>
      <c r="K96" s="2"/>
      <c r="L96" s="2"/>
      <c r="M96" s="2"/>
      <c r="N96" s="35">
        <f t="shared" si="54"/>
        <v>0</v>
      </c>
      <c r="P96" s="29"/>
      <c r="Q96" s="35">
        <f>IF(ISERROR(VLOOKUP($X96,ess_bud,Q$6,FALSE)),0,VLOOKUP($X96,ess_bud,Q$6,FALSE))+IF(ISERROR(VLOOKUP($Z96,ess_bud,Q$6,FALSE)),0,VLOOKUP($Z96,ess_bud,Q$6,FALSE))+IF(ISERROR(VLOOKUP($Y96,ess_bud,Q$6,FALSE)),0,VLOOKUP($Y96,ess_bud,Q$6,FALSE))+IF(ISERROR(VLOOKUP($AA96,ess_bud,Q$6,FALSE)),0,VLOOKUP($AA96,ess_bud,Q$6,FALSE))</f>
        <v>0</v>
      </c>
      <c r="T96" s="37"/>
      <c r="U96" s="35">
        <f t="shared" si="55"/>
        <v>0</v>
      </c>
      <c r="X96" s="8" t="str">
        <f t="shared" si="56"/>
        <v>61200CD</v>
      </c>
      <c r="Y96" s="8" t="str">
        <f>61201&amp;$X$6</f>
        <v>61201CD</v>
      </c>
      <c r="Z96" s="8" t="str">
        <f>51200&amp;$X$6</f>
        <v>51200CD</v>
      </c>
      <c r="AA96" s="8"/>
      <c r="AB96" s="8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ht="12.75" customHeight="1">
      <c r="A99" s="2"/>
      <c r="B99" s="8" t="s">
        <v>185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8"/>
      <c r="Z99" s="8" t="s">
        <v>185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ht="12.75" customHeight="1">
      <c r="A100" s="2">
        <v>33102.0</v>
      </c>
      <c r="B100" s="152" t="s">
        <v>186</v>
      </c>
      <c r="C100" s="35">
        <f t="shared" ref="C100:C103" si="57">IF(ISERROR(VLOOKUP($X100,ess_act,C$6,FALSE)),0,VLOOKUP($X100,ess_act,C$6,FALSE))+IF(ISERROR(VLOOKUP($Z100,ess_act,C$6,FALSE)),0,VLOOKUP($Z100,ess_act,C$6,FALSE))+IF(ISERROR(VLOOKUP($Y100,ess_act,C$6,FALSE)),0,VLOOKUP($Y100,ess_act,C$6,FALSE))+IF(ISERROR(VLOOKUP($AA100,ess_act,C$6,FALSE)),0,VLOOKUP($AA100,ess_act,C$6,FALSE))</f>
        <v>0</v>
      </c>
      <c r="D100" s="2"/>
      <c r="E100" s="29"/>
      <c r="F100" s="35">
        <f>IF(ISERROR(VLOOKUP($X100,ess_bud,F$6,FALSE)),0,VLOOKUP($X100,ess_bud,F$6,FALSE))+IF(ISERROR(VLOOKUP($Z100,ess_bud,F$6,FALSE)),0,VLOOKUP($Z100,ess_bud,F$6,FALSE))+IF(ISERROR(VLOOKUP($Y100,ess_bud,F$6,FALSE)),0,VLOOKUP($Y100,ess_bud,F$6,FALSE))+IF(ISERROR(VLOOKUP($AA100,ess_bud,F$6,FALSE)),0,VLOOKUP($AA100,ess_bud,F$6,FALSE))</f>
        <v>0</v>
      </c>
      <c r="G100" s="2"/>
      <c r="H100" s="2"/>
      <c r="I100" s="37"/>
      <c r="J100" s="35">
        <f t="shared" ref="J100:J103" si="58">IF(ISERROR(VLOOKUP($X100,ess_act,J$6,FALSE)),0,VLOOKUP($X100,ess_act,J$6,FALSE))+IF(ISERROR(VLOOKUP($Z100,ess_act,J$6,FALSE)),0,VLOOKUP($Z100,ess_act,J$6,FALSE))+IF(ISERROR(VLOOKUP($Y100,ess_act,J$6,FALSE)),0,VLOOKUP($Y100,ess_act,J$6,FALSE))+IF(ISERROR(VLOOKUP($AA100,ess_act,J$6,FALSE)),0,VLOOKUP($AA100,ess_act,J$6,FALSE))</f>
        <v>0</v>
      </c>
      <c r="K100" s="2"/>
      <c r="L100" s="2"/>
      <c r="M100" s="2"/>
      <c r="N100" s="35">
        <f t="shared" ref="N100:N103" si="59">IF(ISERROR(VLOOKUP($X100,ess_act,N$6,FALSE)),0,VLOOKUP($X100,ess_act,N$6,FALSE))+IF(ISERROR(VLOOKUP($Z100,ess_act,N$6,FALSE)),0,VLOOKUP($Z100,ess_act,N$6,FALSE))+IF(ISERROR(VLOOKUP($Y100,ess_act,N$6,FALSE)),0,VLOOKUP($Y100,ess_act,N$6,FALSE))+IF(ISERROR(VLOOKUP($AA100,ess_act,N$6,FALSE)),0,VLOOKUP($AA100,ess_act,N$6,FALSE))</f>
        <v>0</v>
      </c>
      <c r="P100" s="29"/>
      <c r="Q100" s="35">
        <f>IF(ISERROR(VLOOKUP($X100,ess_bud,Q$6,FALSE)),0,VLOOKUP($X100,ess_bud,Q$6,FALSE))+IF(ISERROR(VLOOKUP($Z100,ess_bud,Q$6,FALSE)),0,VLOOKUP($Z100,ess_bud,Q$6,FALSE))+IF(ISERROR(VLOOKUP($Y100,ess_bud,Q$6,FALSE)),0,VLOOKUP($Y100,ess_bud,Q$6,FALSE))+IF(ISERROR(VLOOKUP($AA100,ess_bud,Q$6,FALSE)),0,VLOOKUP($AA100,ess_bud,Q$6,FALSE))</f>
        <v>0</v>
      </c>
      <c r="T100" s="37"/>
      <c r="U100" s="35">
        <f t="shared" ref="U100:U103" si="60">IF(ISERROR(VLOOKUP($X100,ess_act,U$6,FALSE)),0,VLOOKUP($X100,ess_act,U$6,FALSE))+IF(ISERROR(VLOOKUP($Z100,ess_act,U$6,FALSE)),0,VLOOKUP($Z100,ess_act,U$6,FALSE))+IF(ISERROR(VLOOKUP($Y100,ess_act,U$6,FALSE)),0,VLOOKUP($Y100,ess_act,U$6,FALSE))+IF(ISERROR(VLOOKUP($AA100,ess_act,U$6,FALSE)),0,VLOOKUP($AA100,ess_act,U$6,FALSE))</f>
        <v>0</v>
      </c>
      <c r="V100" s="2"/>
      <c r="W100" s="2"/>
      <c r="X100" s="8" t="str">
        <f>A100&amp;$X$6</f>
        <v>33102CD</v>
      </c>
      <c r="Y100" s="8"/>
      <c r="Z100" s="152" t="s">
        <v>186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ht="12.75" customHeight="1">
      <c r="A101" s="2"/>
      <c r="B101" s="152" t="s">
        <v>187</v>
      </c>
      <c r="C101" s="35">
        <f t="shared" si="57"/>
        <v>0</v>
      </c>
      <c r="D101" s="2"/>
      <c r="E101" s="29"/>
      <c r="F101" s="35">
        <f>IF(ISERROR(VLOOKUP($X101,ess_bud,F$6,FALSE)),0,VLOOKUP($X101,ess_bud,F$6,FALSE))+IF(ISERROR(VLOOKUP($Z101,ess_bud,F$6,FALSE)),0,VLOOKUP($Z101,ess_bud,F$6,FALSE))+IF(ISERROR(VLOOKUP($Y101,ess_bud,F$6,FALSE)),0,VLOOKUP($Y101,ess_bud,F$6,FALSE))+IF(ISERROR(VLOOKUP($AA101,ess_bud,F$6,FALSE)),0,VLOOKUP($AA101,ess_bud,F$6,FALSE))</f>
        <v>0</v>
      </c>
      <c r="G101" s="2"/>
      <c r="H101" s="2"/>
      <c r="I101" s="37"/>
      <c r="J101" s="35">
        <f t="shared" si="58"/>
        <v>0</v>
      </c>
      <c r="K101" s="2"/>
      <c r="L101" s="2"/>
      <c r="M101" s="2"/>
      <c r="N101" s="35">
        <f t="shared" si="59"/>
        <v>0</v>
      </c>
      <c r="P101" s="29"/>
      <c r="Q101" s="35">
        <f>IF(ISERROR(VLOOKUP($X101,ess_bud,Q$6,FALSE)),0,VLOOKUP($X101,ess_bud,Q$6,FALSE))+IF(ISERROR(VLOOKUP($Z101,ess_bud,Q$6,FALSE)),0,VLOOKUP($Z101,ess_bud,Q$6,FALSE))+IF(ISERROR(VLOOKUP($Y101,ess_bud,Q$6,FALSE)),0,VLOOKUP($Y101,ess_bud,Q$6,FALSE))+IF(ISERROR(VLOOKUP($AA101,ess_bud,Q$6,FALSE)),0,VLOOKUP($AA101,ess_bud,Q$6,FALSE))</f>
        <v>0</v>
      </c>
      <c r="T101" s="37"/>
      <c r="U101" s="35">
        <f t="shared" si="60"/>
        <v>0</v>
      </c>
      <c r="V101" s="2"/>
      <c r="W101" s="2"/>
      <c r="X101" s="2"/>
      <c r="Y101" s="8"/>
      <c r="Z101" s="152" t="s">
        <v>187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ht="12.75" customHeight="1">
      <c r="A102" s="2">
        <v>31100.0</v>
      </c>
      <c r="B102" s="152" t="s">
        <v>188</v>
      </c>
      <c r="C102" s="35">
        <f t="shared" si="57"/>
        <v>0</v>
      </c>
      <c r="D102" s="2"/>
      <c r="E102" s="29"/>
      <c r="F102" s="35">
        <f>IF(ISERROR(VLOOKUP($X102,ess_bud,F$6,FALSE)),0,VLOOKUP($X102,ess_bud,F$6,FALSE))+IF(ISERROR(VLOOKUP($Z102,ess_bud,F$6,FALSE)),0,VLOOKUP($Z102,ess_bud,F$6,FALSE))+IF(ISERROR(VLOOKUP($Y102,ess_bud,F$6,FALSE)),0,VLOOKUP($Y102,ess_bud,F$6,FALSE))+IF(ISERROR(VLOOKUP($AA102,ess_bud,F$6,FALSE)),0,VLOOKUP($AA102,ess_bud,F$6,FALSE))</f>
        <v>0</v>
      </c>
      <c r="G102" s="2"/>
      <c r="H102" s="2"/>
      <c r="I102" s="37"/>
      <c r="J102" s="35">
        <f t="shared" si="58"/>
        <v>0</v>
      </c>
      <c r="K102" s="2"/>
      <c r="L102" s="2"/>
      <c r="M102" s="2"/>
      <c r="N102" s="35">
        <f t="shared" si="59"/>
        <v>0</v>
      </c>
      <c r="P102" s="29"/>
      <c r="Q102" s="35">
        <f>IF(ISERROR(VLOOKUP($X102,ess_bud,Q$6,FALSE)),0,VLOOKUP($X102,ess_bud,Q$6,FALSE))+IF(ISERROR(VLOOKUP($Z102,ess_bud,Q$6,FALSE)),0,VLOOKUP($Z102,ess_bud,Q$6,FALSE))+IF(ISERROR(VLOOKUP($Y102,ess_bud,Q$6,FALSE)),0,VLOOKUP($Y102,ess_bud,Q$6,FALSE))+IF(ISERROR(VLOOKUP($AA102,ess_bud,Q$6,FALSE)),0,VLOOKUP($AA102,ess_bud,Q$6,FALSE))</f>
        <v>0</v>
      </c>
      <c r="T102" s="37"/>
      <c r="U102" s="35">
        <f t="shared" si="60"/>
        <v>0</v>
      </c>
      <c r="V102" s="2"/>
      <c r="W102" s="2"/>
      <c r="X102" s="8" t="str">
        <f t="shared" ref="X102:X103" si="61">A102&amp;$X$6</f>
        <v>31100CD</v>
      </c>
      <c r="Y102" s="152" t="s">
        <v>188</v>
      </c>
      <c r="Z102" s="8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ht="12.75" customHeight="1">
      <c r="A103" s="2">
        <v>32400.0</v>
      </c>
      <c r="B103" s="152" t="s">
        <v>189</v>
      </c>
      <c r="C103" s="35">
        <f t="shared" si="57"/>
        <v>0</v>
      </c>
      <c r="D103" s="2"/>
      <c r="E103" s="29"/>
      <c r="F103" s="35">
        <f>IF(ISERROR(VLOOKUP($X103,ess_bud,F$6,FALSE)),0,VLOOKUP($X103,ess_bud,F$6,FALSE))+IF(ISERROR(VLOOKUP($Z103,ess_bud,F$6,FALSE)),0,VLOOKUP($Z103,ess_bud,F$6,FALSE))+IF(ISERROR(VLOOKUP($Y103,ess_bud,F$6,FALSE)),0,VLOOKUP($Y103,ess_bud,F$6,FALSE))+IF(ISERROR(VLOOKUP($AA103,ess_bud,F$6,FALSE)),0,VLOOKUP($AA103,ess_bud,F$6,FALSE))</f>
        <v>0</v>
      </c>
      <c r="G103" s="2"/>
      <c r="H103" s="2"/>
      <c r="I103" s="37"/>
      <c r="J103" s="35">
        <f t="shared" si="58"/>
        <v>0</v>
      </c>
      <c r="K103" s="2"/>
      <c r="L103" s="2"/>
      <c r="M103" s="2"/>
      <c r="N103" s="35">
        <f t="shared" si="59"/>
        <v>0</v>
      </c>
      <c r="P103" s="29"/>
      <c r="Q103" s="35">
        <f>IF(ISERROR(VLOOKUP($X103,ess_bud,Q$6,FALSE)),0,VLOOKUP($X103,ess_bud,Q$6,FALSE))+IF(ISERROR(VLOOKUP($Z103,ess_bud,Q$6,FALSE)),0,VLOOKUP($Z103,ess_bud,Q$6,FALSE))+IF(ISERROR(VLOOKUP($Y103,ess_bud,Q$6,FALSE)),0,VLOOKUP($Y103,ess_bud,Q$6,FALSE))+IF(ISERROR(VLOOKUP($AA103,ess_bud,Q$6,FALSE)),0,VLOOKUP($AA103,ess_bud,Q$6,FALSE))</f>
        <v>0</v>
      </c>
      <c r="T103" s="37"/>
      <c r="U103" s="35">
        <f t="shared" si="60"/>
        <v>0</v>
      </c>
      <c r="V103" s="2"/>
      <c r="W103" s="2"/>
      <c r="X103" s="8" t="str">
        <f t="shared" si="61"/>
        <v>32400CD</v>
      </c>
      <c r="Y103" s="152" t="s">
        <v>189</v>
      </c>
      <c r="Z103" s="8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ht="13.5" customHeight="1">
      <c r="A104" s="2"/>
      <c r="B104" s="152" t="s">
        <v>190</v>
      </c>
      <c r="C104" s="35"/>
      <c r="D104" s="2"/>
      <c r="E104" s="2"/>
      <c r="F104" s="35"/>
      <c r="G104" s="2"/>
      <c r="H104" s="2"/>
      <c r="I104" s="2"/>
      <c r="J104" s="35"/>
      <c r="K104" s="2"/>
      <c r="L104" s="2"/>
      <c r="M104" s="2"/>
      <c r="N104" s="35"/>
      <c r="O104" s="2"/>
      <c r="P104" s="2"/>
      <c r="Q104" s="35"/>
      <c r="R104" s="2"/>
      <c r="S104" s="2"/>
      <c r="T104" s="2"/>
      <c r="U104" s="35"/>
      <c r="V104" s="2"/>
      <c r="W104" s="2"/>
      <c r="X104" s="8"/>
      <c r="Y104" s="152" t="s">
        <v>190</v>
      </c>
      <c r="Z104" s="8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ht="12.75" customHeight="1">
      <c r="A105" s="2">
        <v>33101.0</v>
      </c>
      <c r="B105" s="8" t="s">
        <v>191</v>
      </c>
      <c r="C105" s="35">
        <f t="shared" ref="C105:C106" si="62">IF(ISERROR(VLOOKUP($X105,ess_act,C$6,FALSE)),0,VLOOKUP($X105,ess_act,C$6,FALSE))+IF(ISERROR(VLOOKUP($Z105,ess_act,C$6,FALSE)),0,VLOOKUP($Z105,ess_act,C$6,FALSE))+IF(ISERROR(VLOOKUP($Y105,ess_act,C$6,FALSE)),0,VLOOKUP($Y105,ess_act,C$6,FALSE))+IF(ISERROR(VLOOKUP($AA105,ess_act,C$6,FALSE)),0,VLOOKUP($AA105,ess_act,C$6,FALSE))</f>
        <v>0</v>
      </c>
      <c r="D105" s="2"/>
      <c r="E105" s="29"/>
      <c r="F105" s="35">
        <f>IF(ISERROR(VLOOKUP($X105,ess_bud,F$6,FALSE)),0,VLOOKUP($X105,ess_bud,F$6,FALSE))+IF(ISERROR(VLOOKUP($Z105,ess_bud,F$6,FALSE)),0,VLOOKUP($Z105,ess_bud,F$6,FALSE))+IF(ISERROR(VLOOKUP($Y105,ess_bud,F$6,FALSE)),0,VLOOKUP($Y105,ess_bud,F$6,FALSE))+IF(ISERROR(VLOOKUP($AA105,ess_bud,F$6,FALSE)),0,VLOOKUP($AA105,ess_bud,F$6,FALSE))</f>
        <v>0</v>
      </c>
      <c r="G105" s="2"/>
      <c r="H105" s="2"/>
      <c r="I105" s="37"/>
      <c r="J105" s="35">
        <f t="shared" ref="J105:J106" si="63">IF(ISERROR(VLOOKUP($X105,ess_act,J$6,FALSE)),0,VLOOKUP($X105,ess_act,J$6,FALSE))+IF(ISERROR(VLOOKUP($Z105,ess_act,J$6,FALSE)),0,VLOOKUP($Z105,ess_act,J$6,FALSE))+IF(ISERROR(VLOOKUP($Y105,ess_act,J$6,FALSE)),0,VLOOKUP($Y105,ess_act,J$6,FALSE))+IF(ISERROR(VLOOKUP($AA105,ess_act,J$6,FALSE)),0,VLOOKUP($AA105,ess_act,J$6,FALSE))</f>
        <v>0</v>
      </c>
      <c r="K105" s="2"/>
      <c r="L105" s="2"/>
      <c r="M105" s="2"/>
      <c r="N105" s="35">
        <f t="shared" ref="N105:N106" si="64">IF(ISERROR(VLOOKUP($X105,ess_act,N$6,FALSE)),0,VLOOKUP($X105,ess_act,N$6,FALSE))+IF(ISERROR(VLOOKUP($Z105,ess_act,N$6,FALSE)),0,VLOOKUP($Z105,ess_act,N$6,FALSE))+IF(ISERROR(VLOOKUP($Y105,ess_act,N$6,FALSE)),0,VLOOKUP($Y105,ess_act,N$6,FALSE))+IF(ISERROR(VLOOKUP($AA105,ess_act,N$6,FALSE)),0,VLOOKUP($AA105,ess_act,N$6,FALSE))</f>
        <v>0</v>
      </c>
      <c r="P105" s="29"/>
      <c r="Q105" s="35">
        <f>IF(ISERROR(VLOOKUP($X105,ess_bud,Q$6,FALSE)),0,VLOOKUP($X105,ess_bud,Q$6,FALSE))+IF(ISERROR(VLOOKUP($Z105,ess_bud,Q$6,FALSE)),0,VLOOKUP($Z105,ess_bud,Q$6,FALSE))+IF(ISERROR(VLOOKUP($Y105,ess_bud,Q$6,FALSE)),0,VLOOKUP($Y105,ess_bud,Q$6,FALSE))+IF(ISERROR(VLOOKUP($AA105,ess_bud,Q$6,FALSE)),0,VLOOKUP($AA105,ess_bud,Q$6,FALSE))</f>
        <v>0</v>
      </c>
      <c r="T105" s="37"/>
      <c r="U105" s="35">
        <f t="shared" ref="U105:U106" si="65">IF(ISERROR(VLOOKUP($X105,ess_act,U$6,FALSE)),0,VLOOKUP($X105,ess_act,U$6,FALSE))+IF(ISERROR(VLOOKUP($Z105,ess_act,U$6,FALSE)),0,VLOOKUP($Z105,ess_act,U$6,FALSE))+IF(ISERROR(VLOOKUP($Y105,ess_act,U$6,FALSE)),0,VLOOKUP($Y105,ess_act,U$6,FALSE))+IF(ISERROR(VLOOKUP($AA105,ess_act,U$6,FALSE)),0,VLOOKUP($AA105,ess_act,U$6,FALSE))</f>
        <v>0</v>
      </c>
      <c r="V105" s="2"/>
      <c r="W105" s="2"/>
      <c r="X105" s="8" t="str">
        <f t="shared" ref="X105:X108" si="66">A105&amp;$X$6</f>
        <v>33101CD</v>
      </c>
      <c r="Y105" s="8" t="str">
        <f>33100&amp;$A$9</f>
        <v>33100CD</v>
      </c>
      <c r="Z105" s="8" t="str">
        <f>33200&amp;$A$9</f>
        <v>33200CD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ht="12.75" customHeight="1">
      <c r="A106" s="2" t="s">
        <v>192</v>
      </c>
      <c r="B106" s="8" t="s">
        <v>38</v>
      </c>
      <c r="C106" s="153">
        <f t="shared" si="62"/>
        <v>0</v>
      </c>
      <c r="D106" s="2"/>
      <c r="E106" s="29"/>
      <c r="F106" s="35">
        <f>IF(ISERROR(VLOOKUP($X106,ess_bud,F$6,FALSE)),0,VLOOKUP($X106,ess_bud,F$6,FALSE))+IF(ISERROR(VLOOKUP($Z106,ess_bud,F$6,FALSE)),0,VLOOKUP($Z106,ess_bud,F$6,FALSE))+IF(ISERROR(VLOOKUP($Y106,ess_bud,F$6,FALSE)),0,VLOOKUP($Y106,ess_bud,F$6,FALSE))+IF(ISERROR(VLOOKUP($AA106,ess_bud,F$6,FALSE)),0,VLOOKUP($AA106,ess_bud,F$6,FALSE))</f>
        <v>0</v>
      </c>
      <c r="G106" s="2"/>
      <c r="H106" s="2"/>
      <c r="I106" s="37"/>
      <c r="J106" s="35">
        <f t="shared" si="63"/>
        <v>0</v>
      </c>
      <c r="K106" s="2"/>
      <c r="L106" s="2"/>
      <c r="M106" s="2"/>
      <c r="N106" s="154">
        <f t="shared" si="64"/>
        <v>0</v>
      </c>
      <c r="P106" s="29"/>
      <c r="Q106" s="35">
        <f>IF(ISERROR(VLOOKUP($X106,ess_bud,Q$6,FALSE)),0,VLOOKUP($X106,ess_bud,Q$6,FALSE))+IF(ISERROR(VLOOKUP($Z106,ess_bud,Q$6,FALSE)),0,VLOOKUP($Z106,ess_bud,Q$6,FALSE))+IF(ISERROR(VLOOKUP($Y106,ess_bud,Q$6,FALSE)),0,VLOOKUP($Y106,ess_bud,Q$6,FALSE))+IF(ISERROR(VLOOKUP($AA106,ess_bud,Q$6,FALSE)),0,VLOOKUP($AA106,ess_bud,Q$6,FALSE))</f>
        <v>0</v>
      </c>
      <c r="T106" s="37"/>
      <c r="U106" s="35">
        <f t="shared" si="65"/>
        <v>0</v>
      </c>
      <c r="V106" s="2"/>
      <c r="W106" s="2"/>
      <c r="X106" s="8" t="str">
        <f t="shared" si="66"/>
        <v>XXXXXCD</v>
      </c>
      <c r="Y106" s="8" t="s">
        <v>38</v>
      </c>
      <c r="Z106" s="8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ht="12.75" customHeight="1">
      <c r="A107" s="2">
        <v>41100.0</v>
      </c>
      <c r="B107" s="8" t="s">
        <v>194</v>
      </c>
      <c r="C107" s="35">
        <f>IF(ISERROR(VLOOKUP($X107,ess_act,C$6,FALSE)),0,VLOOKUP($X107,ess_act,C$6,FALSE))+IF(ISERROR(VLOOKUP($Z107,ess_act,C$6,FALSE)),0,VLOOKUP($Z107,ess_act,C$6,FALSE))+IF(ISERROR(VLOOKUP($Y107,ess_act,C$6,FALSE)),0,VLOOKUP($Y107,ess_act,C$6,FALSE))+IF(ISERROR(VLOOKUP($AA107,ess_act,C$6,FALSE)),0,VLOOKUP($AA107,ess_act,C$6,FALSE))+C131+C136+C138</f>
        <v>0</v>
      </c>
      <c r="D107" s="2"/>
      <c r="E107" s="29"/>
      <c r="F107" s="35">
        <f>IF(ISERROR(VLOOKUP($X107,ess_bud,F$6,FALSE)),0,VLOOKUP($X107,ess_bud,F$6,FALSE))+IF(ISERROR(VLOOKUP($Z107,ess_bud,F$6,FALSE)),0,VLOOKUP($Z107,ess_bud,F$6,FALSE))+IF(ISERROR(VLOOKUP($Y107,ess_bud,F$6,FALSE)),0,VLOOKUP($Y107,ess_bud,F$6,FALSE))+IF(ISERROR(VLOOKUP($AA107,ess_bud,F$6,FALSE)),0,VLOOKUP($AA107,ess_bud,F$6,FALSE))+F131+F136+F138</f>
        <v>0</v>
      </c>
      <c r="G107" s="2"/>
      <c r="H107" s="2"/>
      <c r="I107" s="37"/>
      <c r="J107" s="35">
        <f>IF(ISERROR(VLOOKUP($X107,ess_act,J$6,FALSE)),0,VLOOKUP($X107,ess_act,J$6,FALSE))+IF(ISERROR(VLOOKUP($Z107,ess_act,J$6,FALSE)),0,VLOOKUP($Z107,ess_act,J$6,FALSE))+IF(ISERROR(VLOOKUP($Y107,ess_act,J$6,FALSE)),0,VLOOKUP($Y107,ess_act,J$6,FALSE))+IF(ISERROR(VLOOKUP($AA107,ess_act,J$6,FALSE)),0,VLOOKUP($AA107,ess_act,J$6,FALSE))+J131+J136+J138</f>
        <v>0</v>
      </c>
      <c r="K107" s="2"/>
      <c r="L107" s="2"/>
      <c r="M107" s="2"/>
      <c r="N107" s="35">
        <f>IF(ISERROR(VLOOKUP($X107,ess_act,N$6,FALSE)),0,VLOOKUP($X107,ess_act,N$6,FALSE))+IF(ISERROR(VLOOKUP($Z107,ess_act,N$6,FALSE)),0,VLOOKUP($Z107,ess_act,N$6,FALSE))+IF(ISERROR(VLOOKUP($Y107,ess_act,N$6,FALSE)),0,VLOOKUP($Y107,ess_act,N$6,FALSE))+IF(ISERROR(VLOOKUP($AA107,ess_act,N$6,FALSE)),0,VLOOKUP($AA107,ess_act,N$6,FALSE))+N131+N136+N138</f>
        <v>0</v>
      </c>
      <c r="P107" s="29"/>
      <c r="Q107" s="35">
        <f>IF(ISERROR(VLOOKUP($X107,ess_bud,Q$6,FALSE)),0,VLOOKUP($X107,ess_bud,Q$6,FALSE))+IF(ISERROR(VLOOKUP($Z107,ess_bud,Q$6,FALSE)),0,VLOOKUP($Z107,ess_bud,Q$6,FALSE))+IF(ISERROR(VLOOKUP($Y107,ess_bud,Q$6,FALSE)),0,VLOOKUP($Y107,ess_bud,Q$6,FALSE))+IF(ISERROR(VLOOKUP($AA107,ess_bud,Q$6,FALSE)),0,VLOOKUP($AA107,ess_bud,Q$6,FALSE))+Q131+Q136+Q138</f>
        <v>0</v>
      </c>
      <c r="R107" s="35"/>
      <c r="T107" s="37"/>
      <c r="U107" s="35">
        <f>IF(ISERROR(VLOOKUP($X107,ess_act,U$6,FALSE)),0,VLOOKUP($X107,ess_act,U$6,FALSE))+IF(ISERROR(VLOOKUP($Z107,ess_act,U$6,FALSE)),0,VLOOKUP($Z107,ess_act,U$6,FALSE))+IF(ISERROR(VLOOKUP($Y107,ess_act,U$6,FALSE)),0,VLOOKUP($Y107,ess_act,U$6,FALSE))+IF(ISERROR(VLOOKUP($AA107,ess_act,U$6,FALSE)),0,VLOOKUP($AA107,ess_act,U$6,FALSE))+U131+U136+U138</f>
        <v>0</v>
      </c>
      <c r="V107" s="2"/>
      <c r="W107" s="2"/>
      <c r="X107" s="8" t="str">
        <f t="shared" si="66"/>
        <v>41100CD</v>
      </c>
      <c r="Y107" s="8" t="str">
        <f>41101&amp;$X$6</f>
        <v>41101CD</v>
      </c>
      <c r="Z107" s="8" t="str">
        <f>44100&amp;$X$6</f>
        <v>44100CD</v>
      </c>
      <c r="AA107" s="8"/>
      <c r="AB107" s="8"/>
      <c r="AC107" s="8"/>
      <c r="AD107" s="8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ht="12.75" customHeight="1">
      <c r="A108" s="2">
        <v>48300.0</v>
      </c>
      <c r="B108" s="8" t="s">
        <v>195</v>
      </c>
      <c r="C108" s="35">
        <f>IF(ISERROR(VLOOKUP($X108,ess_act,C$6,FALSE)),0,VLOOKUP($X108,ess_act,C$6,FALSE))+IF(ISERROR(VLOOKUP($Z108,ess_act,C$6,FALSE)),0,VLOOKUP($Z108,ess_act,C$6,FALSE))+IF(ISERROR(VLOOKUP($Y108,ess_act,C$6,FALSE)),0,VLOOKUP($Y108,ess_act,C$6,FALSE))+IF(ISERROR(VLOOKUP($AA108,ess_act,C$6,FALSE)),0,VLOOKUP($AA108,ess_act,C$6,FALSE))</f>
        <v>0</v>
      </c>
      <c r="D108" s="2"/>
      <c r="E108" s="29"/>
      <c r="F108" s="35">
        <f>IF(ISERROR(VLOOKUP($X108,ess_bud,F$6,FALSE)),0,VLOOKUP($X108,ess_bud,F$6,FALSE))+IF(ISERROR(VLOOKUP($Z108,ess_bud,F$6,FALSE)),0,VLOOKUP($Z108,ess_bud,F$6,FALSE))+IF(ISERROR(VLOOKUP($Y108,ess_bud,F$6,FALSE)),0,VLOOKUP($Y108,ess_bud,F$6,FALSE))+IF(ISERROR(VLOOKUP($AA108,ess_bud,F$6,FALSE)),0,VLOOKUP($AA108,ess_bud,F$6,FALSE))</f>
        <v>0</v>
      </c>
      <c r="G108" s="2"/>
      <c r="H108" s="2"/>
      <c r="I108" s="37"/>
      <c r="J108" s="35">
        <f>IF(ISERROR(VLOOKUP($X108,ess_act,J$6,FALSE)),0,VLOOKUP($X108,ess_act,J$6,FALSE))+IF(ISERROR(VLOOKUP($Z108,ess_act,J$6,FALSE)),0,VLOOKUP($Z108,ess_act,J$6,FALSE))+IF(ISERROR(VLOOKUP($Y108,ess_act,J$6,FALSE)),0,VLOOKUP($Y108,ess_act,J$6,FALSE))+IF(ISERROR(VLOOKUP($AA108,ess_act,J$6,FALSE)),0,VLOOKUP($AA108,ess_act,J$6,FALSE))</f>
        <v>0</v>
      </c>
      <c r="K108" s="2"/>
      <c r="L108" s="2"/>
      <c r="M108" s="2"/>
      <c r="N108" s="35">
        <f>IF(ISERROR(VLOOKUP($X108,ess_act,N$6,FALSE)),0,VLOOKUP($X108,ess_act,N$6,FALSE))+IF(ISERROR(VLOOKUP($Z108,ess_act,N$6,FALSE)),0,VLOOKUP($Z108,ess_act,N$6,FALSE))+IF(ISERROR(VLOOKUP($Y108,ess_act,N$6,FALSE)),0,VLOOKUP($Y108,ess_act,N$6,FALSE))+IF(ISERROR(VLOOKUP($AA108,ess_act,N$6,FALSE)),0,VLOOKUP($AA108,ess_act,N$6,FALSE))</f>
        <v>0</v>
      </c>
      <c r="P108" s="29"/>
      <c r="Q108" s="35">
        <f>IF(ISERROR(VLOOKUP($X108,ess_bud,Q$6,FALSE)),0,VLOOKUP($X108,ess_bud,Q$6,FALSE))+IF(ISERROR(VLOOKUP($Z108,ess_bud,Q$6,FALSE)),0,VLOOKUP($Z108,ess_bud,Q$6,FALSE))+IF(ISERROR(VLOOKUP($Y108,ess_bud,Q$6,FALSE)),0,VLOOKUP($Y108,ess_bud,Q$6,FALSE))+IF(ISERROR(VLOOKUP($AA108,ess_bud,Q$6,FALSE)),0,VLOOKUP($AA108,ess_bud,Q$6,FALSE))</f>
        <v>0</v>
      </c>
      <c r="T108" s="37"/>
      <c r="U108" s="35">
        <f>IF(ISERROR(VLOOKUP($X108,ess_act,U$6,FALSE)),0,VLOOKUP($X108,ess_act,U$6,FALSE))+IF(ISERROR(VLOOKUP($Z108,ess_act,U$6,FALSE)),0,VLOOKUP($Z108,ess_act,U$6,FALSE))+IF(ISERROR(VLOOKUP($Y108,ess_act,U$6,FALSE)),0,VLOOKUP($Y108,ess_act,U$6,FALSE))+IF(ISERROR(VLOOKUP($AA108,ess_act,U$6,FALSE)),0,VLOOKUP($AA108,ess_act,U$6,FALSE))</f>
        <v>0</v>
      </c>
      <c r="V108" s="2"/>
      <c r="W108" s="2"/>
      <c r="X108" s="8" t="str">
        <f t="shared" si="66"/>
        <v>48300CD</v>
      </c>
      <c r="Y108" s="8"/>
      <c r="Z108" s="8" t="s">
        <v>195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ht="12.75" customHeight="1">
      <c r="A109" s="2"/>
      <c r="B109" s="2"/>
      <c r="C109" s="35"/>
      <c r="D109" s="2"/>
      <c r="E109" s="2"/>
      <c r="F109" s="35"/>
      <c r="G109" s="2"/>
      <c r="H109" s="2"/>
      <c r="I109" s="2"/>
      <c r="J109" s="35"/>
      <c r="K109" s="2"/>
      <c r="L109" s="2"/>
      <c r="M109" s="2"/>
      <c r="N109" s="35"/>
      <c r="O109" s="2"/>
      <c r="P109" s="2"/>
      <c r="Q109" s="35"/>
      <c r="R109" s="2"/>
      <c r="S109" s="2"/>
      <c r="T109" s="2"/>
      <c r="U109" s="35"/>
      <c r="V109" s="2"/>
      <c r="W109" s="2"/>
      <c r="X109" s="2"/>
      <c r="Y109" s="8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ht="12.75" customHeight="1">
      <c r="A110" s="8">
        <v>47404.0</v>
      </c>
      <c r="B110" s="8" t="s">
        <v>103</v>
      </c>
      <c r="C110" s="35">
        <f>IF(ISERROR(VLOOKUP($X110,ess_act,C$6,FALSE)),0,VLOOKUP($X110,ess_act,C$6,FALSE))+IF(ISERROR(VLOOKUP($Z110,ess_act,C$6,FALSE)),0,VLOOKUP($Z110,ess_act,C$6,FALSE))+IF(ISERROR(VLOOKUP($Y110,ess_act,C$6,FALSE)),0,VLOOKUP($Y110,ess_act,C$6,FALSE))+IF(ISERROR(VLOOKUP($AA110,ess_act,C$6,FALSE)),0,VLOOKUP($AA110,ess_act,C$6,FALSE))</f>
        <v>0</v>
      </c>
      <c r="D110" s="2"/>
      <c r="E110" s="29"/>
      <c r="F110" s="35">
        <f>IF(ISERROR(VLOOKUP($X110,ess_bud,F$6,FALSE)),0,VLOOKUP($X110,ess_bud,F$6,FALSE))+IF(ISERROR(VLOOKUP($Z110,ess_bud,F$6,FALSE)),0,VLOOKUP($Z110,ess_bud,F$6,FALSE))+IF(ISERROR(VLOOKUP($Y110,ess_bud,F$6,FALSE)),0,VLOOKUP($Y110,ess_bud,F$6,FALSE))+IF(ISERROR(VLOOKUP($AA110,ess_bud,F$6,FALSE)),0,VLOOKUP($AA110,ess_bud,F$6,FALSE))</f>
        <v>0</v>
      </c>
      <c r="G110" s="2"/>
      <c r="H110" s="2"/>
      <c r="I110" s="37"/>
      <c r="J110" s="35">
        <f>IF(ISERROR(VLOOKUP($X110,ess_act,J$6,FALSE)),0,VLOOKUP($X110,ess_act,J$6,FALSE))+IF(ISERROR(VLOOKUP($Z110,ess_act,J$6,FALSE)),0,VLOOKUP($Z110,ess_act,J$6,FALSE))+IF(ISERROR(VLOOKUP($Y110,ess_act,J$6,FALSE)),0,VLOOKUP($Y110,ess_act,J$6,FALSE))+IF(ISERROR(VLOOKUP($AA110,ess_act,J$6,FALSE)),0,VLOOKUP($AA110,ess_act,J$6,FALSE))</f>
        <v>0</v>
      </c>
      <c r="K110" s="2"/>
      <c r="L110" s="2"/>
      <c r="M110" s="2"/>
      <c r="N110" s="35">
        <f>IF(ISERROR(VLOOKUP($X110,ess_act,N$6,FALSE)),0,VLOOKUP($X110,ess_act,N$6,FALSE))+IF(ISERROR(VLOOKUP($Z110,ess_act,N$6,FALSE)),0,VLOOKUP($Z110,ess_act,N$6,FALSE))+IF(ISERROR(VLOOKUP($Y110,ess_act,N$6,FALSE)),0,VLOOKUP($Y110,ess_act,N$6,FALSE))+IF(ISERROR(VLOOKUP($AA110,ess_act,N$6,FALSE)),0,VLOOKUP($AA110,ess_act,N$6,FALSE))</f>
        <v>0</v>
      </c>
      <c r="P110" s="29"/>
      <c r="Q110" s="35">
        <f>IF(ISERROR(VLOOKUP($X110,ess_bud,Q$6,FALSE)),0,VLOOKUP($X110,ess_bud,Q$6,FALSE))+IF(ISERROR(VLOOKUP($Z110,ess_bud,Q$6,FALSE)),0,VLOOKUP($Z110,ess_bud,Q$6,FALSE))+IF(ISERROR(VLOOKUP($Y110,ess_bud,Q$6,FALSE)),0,VLOOKUP($Y110,ess_bud,Q$6,FALSE))+IF(ISERROR(VLOOKUP($AA110,ess_bud,Q$6,FALSE)),0,VLOOKUP($AA110,ess_bud,Q$6,FALSE))</f>
        <v>0</v>
      </c>
      <c r="T110" s="37"/>
      <c r="U110" s="35">
        <f>IF(ISERROR(VLOOKUP($X110,ess_act,U$6,FALSE)),0,VLOOKUP($X110,ess_act,U$6,FALSE))+IF(ISERROR(VLOOKUP($Z110,ess_act,U$6,FALSE)),0,VLOOKUP($Z110,ess_act,U$6,FALSE))+IF(ISERROR(VLOOKUP($Y110,ess_act,U$6,FALSE)),0,VLOOKUP($Y110,ess_act,U$6,FALSE))+IF(ISERROR(VLOOKUP($AA110,ess_act,U$6,FALSE)),0,VLOOKUP($AA110,ess_act,U$6,FALSE))</f>
        <v>0</v>
      </c>
      <c r="X110" s="8" t="str">
        <f>A110&amp;$X$6</f>
        <v>47404CD</v>
      </c>
      <c r="Y110" s="8" t="str">
        <f>49400&amp;$X$6</f>
        <v>49400CD</v>
      </c>
      <c r="Z110" s="8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ht="12.75" customHeight="1">
      <c r="A111" s="2"/>
      <c r="B111" s="2"/>
      <c r="C111" s="35"/>
      <c r="D111" s="2"/>
      <c r="E111" s="2"/>
      <c r="F111" s="35"/>
      <c r="G111" s="2"/>
      <c r="H111" s="2"/>
      <c r="I111" s="2"/>
      <c r="J111" s="35"/>
      <c r="K111" s="2"/>
      <c r="L111" s="2"/>
      <c r="M111" s="2"/>
      <c r="N111" s="35"/>
      <c r="O111" s="2"/>
      <c r="P111" s="2"/>
      <c r="Q111" s="35"/>
      <c r="R111" s="2"/>
      <c r="S111" s="2"/>
      <c r="T111" s="2"/>
      <c r="U111" s="35"/>
      <c r="V111" s="2"/>
      <c r="W111" s="2"/>
      <c r="X111" s="2"/>
      <c r="Y111" s="8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ht="12.75" customHeight="1">
      <c r="A112" s="2">
        <v>71100.0</v>
      </c>
      <c r="B112" s="8" t="s">
        <v>196</v>
      </c>
      <c r="C112" s="35">
        <f>IF(ISERROR(VLOOKUP($X112,ess_act,C$6,FALSE)),0,VLOOKUP($X112,ess_act,C$6,FALSE))+IF(ISERROR(VLOOKUP($Z112,ess_act,C$6,FALSE)),0,VLOOKUP($Z112,ess_act,C$6,FALSE))+IF(ISERROR(VLOOKUP($Y112,ess_act,C$6,FALSE)),0,VLOOKUP($Y112,ess_act,C$6,FALSE))+IF(ISERROR(VLOOKUP($AA112,ess_act,C$6,FALSE)),0,VLOOKUP($AA112,ess_act,C$6,FALSE))</f>
        <v>0</v>
      </c>
      <c r="D112" s="2"/>
      <c r="E112" s="29"/>
      <c r="F112" s="35">
        <f>IF(ISERROR(VLOOKUP($X112,ess_bud,F$6,FALSE)),0,VLOOKUP($X112,ess_bud,F$6,FALSE))+IF(ISERROR(VLOOKUP($Z112,ess_bud,F$6,FALSE)),0,VLOOKUP($Z112,ess_bud,F$6,FALSE))+IF(ISERROR(VLOOKUP($Y112,ess_bud,F$6,FALSE)),0,VLOOKUP($Y112,ess_bud,F$6,FALSE))+IF(ISERROR(VLOOKUP($AA112,ess_bud,F$6,FALSE)),0,VLOOKUP($AA112,ess_bud,F$6,FALSE))</f>
        <v>0</v>
      </c>
      <c r="G112" s="2"/>
      <c r="H112" s="2"/>
      <c r="I112" s="37"/>
      <c r="J112" s="35">
        <f>IF(ISERROR(VLOOKUP($X112,ess_act,J$6,FALSE)),0,VLOOKUP($X112,ess_act,J$6,FALSE))+IF(ISERROR(VLOOKUP($Z112,ess_act,J$6,FALSE)),0,VLOOKUP($Z112,ess_act,J$6,FALSE))+IF(ISERROR(VLOOKUP($Y112,ess_act,J$6,FALSE)),0,VLOOKUP($Y112,ess_act,J$6,FALSE))+IF(ISERROR(VLOOKUP($AA112,ess_act,J$6,FALSE)),0,VLOOKUP($AA112,ess_act,J$6,FALSE))</f>
        <v>0</v>
      </c>
      <c r="K112" s="2"/>
      <c r="L112" s="2"/>
      <c r="M112" s="2"/>
      <c r="N112" s="35">
        <f>IF(ISERROR(VLOOKUP($X112,ess_act,N$6,FALSE)),0,VLOOKUP($X112,ess_act,N$6,FALSE))+IF(ISERROR(VLOOKUP($Z112,ess_act,N$6,FALSE)),0,VLOOKUP($Z112,ess_act,N$6,FALSE))+IF(ISERROR(VLOOKUP($Y112,ess_act,N$6,FALSE)),0,VLOOKUP($Y112,ess_act,N$6,FALSE))+IF(ISERROR(VLOOKUP($AA112,ess_act,N$6,FALSE)),0,VLOOKUP($AA112,ess_act,N$6,FALSE))</f>
        <v>0</v>
      </c>
      <c r="P112" s="29"/>
      <c r="Q112" s="35">
        <f>IF(ISERROR(VLOOKUP($X112,ess_bud,Q$6,FALSE)),0,VLOOKUP($X112,ess_bud,Q$6,FALSE))+IF(ISERROR(VLOOKUP($Z112,ess_bud,Q$6,FALSE)),0,VLOOKUP($Z112,ess_bud,Q$6,FALSE))+IF(ISERROR(VLOOKUP($Y112,ess_bud,Q$6,FALSE)),0,VLOOKUP($Y112,ess_bud,Q$6,FALSE))+IF(ISERROR(VLOOKUP($AA112,ess_bud,Q$6,FALSE)),0,VLOOKUP($AA112,ess_bud,Q$6,FALSE))</f>
        <v>0</v>
      </c>
      <c r="T112" s="37"/>
      <c r="U112" s="35">
        <f>IF(ISERROR(VLOOKUP($X112,ess_act,U$6,FALSE)),0,VLOOKUP($X112,ess_act,U$6,FALSE))+IF(ISERROR(VLOOKUP($Z112,ess_act,U$6,FALSE)),0,VLOOKUP($Z112,ess_act,U$6,FALSE))+IF(ISERROR(VLOOKUP($Y112,ess_act,U$6,FALSE)),0,VLOOKUP($Y112,ess_act,U$6,FALSE))+IF(ISERROR(VLOOKUP($AA112,ess_act,U$6,FALSE)),0,VLOOKUP($AA112,ess_act,U$6,FALSE))</f>
        <v>0</v>
      </c>
      <c r="V112" s="2"/>
      <c r="W112" s="2"/>
      <c r="X112" s="8" t="str">
        <f>A112&amp;$X$6</f>
        <v>71100CD</v>
      </c>
      <c r="Y112" s="8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8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8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ht="12.75" customHeight="1">
      <c r="A115" s="2"/>
      <c r="B115" s="2" t="s">
        <v>197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8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ht="12.75" customHeight="1">
      <c r="A116" s="2"/>
      <c r="B116" s="2"/>
      <c r="C116" s="35"/>
      <c r="D116" s="2"/>
      <c r="E116" s="29"/>
      <c r="F116" s="35"/>
      <c r="G116" s="2"/>
      <c r="H116" s="2"/>
      <c r="I116" s="37"/>
      <c r="J116" s="35"/>
      <c r="K116" s="2"/>
      <c r="L116" s="2"/>
      <c r="M116" s="2"/>
      <c r="N116" s="35"/>
      <c r="P116" s="29"/>
      <c r="Q116" s="35"/>
      <c r="T116" s="37"/>
      <c r="U116" s="35"/>
      <c r="V116" s="2"/>
      <c r="W116" s="2"/>
      <c r="X116" s="8"/>
      <c r="Y116" s="8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ht="12.75" customHeight="1">
      <c r="A117" s="2"/>
      <c r="B117" s="2"/>
      <c r="C117" s="35"/>
      <c r="D117" s="2"/>
      <c r="E117" s="29"/>
      <c r="F117" s="35"/>
      <c r="G117" s="2"/>
      <c r="H117" s="2"/>
      <c r="I117" s="37"/>
      <c r="J117" s="35"/>
      <c r="K117" s="2"/>
      <c r="L117" s="2"/>
      <c r="M117" s="2"/>
      <c r="N117" s="35"/>
      <c r="P117" s="29"/>
      <c r="Q117" s="35"/>
      <c r="T117" s="37"/>
      <c r="U117" s="35"/>
      <c r="V117" s="2"/>
      <c r="W117" s="2"/>
      <c r="X117" s="8"/>
      <c r="Y117" s="8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ht="12.75" customHeight="1">
      <c r="A118" s="155" t="s">
        <v>198</v>
      </c>
      <c r="B118" s="2"/>
      <c r="C118" s="35"/>
      <c r="D118" s="2"/>
      <c r="E118" s="29"/>
      <c r="F118" s="35"/>
      <c r="G118" s="2"/>
      <c r="H118" s="2"/>
      <c r="I118" s="37"/>
      <c r="J118" s="35"/>
      <c r="K118" s="2"/>
      <c r="L118" s="2"/>
      <c r="M118" s="2"/>
      <c r="N118" s="35"/>
      <c r="P118" s="29"/>
      <c r="Q118" s="35"/>
      <c r="T118" s="37"/>
      <c r="U118" s="35"/>
      <c r="V118" s="2"/>
      <c r="W118" s="2"/>
      <c r="X118" s="8"/>
      <c r="Y118" s="8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ht="12.75" customHeight="1">
      <c r="A119" s="155">
        <v>33103.0</v>
      </c>
      <c r="B119" s="155"/>
      <c r="C119" s="156">
        <f>IF(ISERROR(VLOOKUP($X119,ess_act,C$6,FALSE)),0,VLOOKUP($X119,ess_act,C$6,FALSE))</f>
        <v>0</v>
      </c>
      <c r="D119" s="155"/>
      <c r="E119" s="157"/>
      <c r="F119" s="156">
        <f>IF(ISERROR(VLOOKUP($X119,ess_bud,F$6,FALSE)),0,VLOOKUP($X119,ess_bud,F$6,FALSE))</f>
        <v>0</v>
      </c>
      <c r="G119" s="155"/>
      <c r="H119" s="155"/>
      <c r="I119" s="158"/>
      <c r="J119" s="156">
        <f>IF(ISERROR(VLOOKUP($X119,ess_act,J$6,FALSE)),0,VLOOKUP($X119,ess_act,J$6,FALSE))</f>
        <v>0</v>
      </c>
      <c r="K119" s="155"/>
      <c r="L119" s="155"/>
      <c r="M119" s="155"/>
      <c r="N119" s="156">
        <f>IF(ISERROR(VLOOKUP($X119,ess_act,N$6,FALSE)),0,VLOOKUP($X119,ess_act,N$6,FALSE))</f>
        <v>0</v>
      </c>
      <c r="O119" s="155"/>
      <c r="P119" s="157"/>
      <c r="Q119" s="156">
        <f>IF(ISERROR(VLOOKUP($X119,ess_bud,Q$6,FALSE)),0,VLOOKUP($X119,ess_bud,Q$6,FALSE))</f>
        <v>0</v>
      </c>
      <c r="R119" s="155"/>
      <c r="S119" s="155"/>
      <c r="T119" s="158"/>
      <c r="U119" s="156">
        <f>IF(ISERROR(VLOOKUP($X119,ess_act,U$6,FALSE)),0,VLOOKUP($X119,ess_act,U$6,FALSE))</f>
        <v>0</v>
      </c>
      <c r="V119" s="155"/>
      <c r="W119" s="155"/>
      <c r="X119" s="159" t="str">
        <f>A119&amp;$X$6</f>
        <v>33103CD</v>
      </c>
      <c r="Y119" s="8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ht="12.75" customHeight="1">
      <c r="A120" s="155"/>
      <c r="B120" s="155"/>
      <c r="C120" s="156"/>
      <c r="D120" s="155"/>
      <c r="E120" s="157"/>
      <c r="F120" s="156"/>
      <c r="G120" s="155"/>
      <c r="H120" s="155"/>
      <c r="I120" s="158"/>
      <c r="J120" s="156"/>
      <c r="K120" s="155"/>
      <c r="L120" s="155"/>
      <c r="M120" s="155"/>
      <c r="N120" s="156"/>
      <c r="O120" s="155"/>
      <c r="P120" s="157"/>
      <c r="Q120" s="156"/>
      <c r="R120" s="155"/>
      <c r="S120" s="155"/>
      <c r="T120" s="158"/>
      <c r="U120" s="156"/>
      <c r="V120" s="155"/>
      <c r="W120" s="155"/>
      <c r="X120" s="159"/>
      <c r="Y120" s="8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ht="12.75" customHeight="1">
      <c r="A121" s="155">
        <v>33209.0</v>
      </c>
      <c r="B121" s="155"/>
      <c r="C121" s="156">
        <f t="shared" ref="C121:C124" si="67">IF(ISERROR(VLOOKUP($X121,ess_act,C$6,FALSE)),0,VLOOKUP($X121,ess_act,C$6,FALSE))</f>
        <v>0</v>
      </c>
      <c r="D121" s="155"/>
      <c r="E121" s="157"/>
      <c r="F121" s="156">
        <f>IF(ISERROR(VLOOKUP($X121,ess_bud,F$6,FALSE)),0,VLOOKUP($X121,ess_bud,F$6,FALSE))</f>
        <v>0</v>
      </c>
      <c r="G121" s="155"/>
      <c r="H121" s="155"/>
      <c r="I121" s="158"/>
      <c r="J121" s="156">
        <f t="shared" ref="J121:J124" si="68">IF(ISERROR(VLOOKUP($X121,ess_act,J$6,FALSE)),0,VLOOKUP($X121,ess_act,J$6,FALSE))</f>
        <v>0</v>
      </c>
      <c r="K121" s="155"/>
      <c r="L121" s="155"/>
      <c r="M121" s="155"/>
      <c r="N121" s="156">
        <f t="shared" ref="N121:N124" si="69">IF(ISERROR(VLOOKUP($X121,ess_act,N$6,FALSE)),0,VLOOKUP($X121,ess_act,N$6,FALSE))</f>
        <v>0</v>
      </c>
      <c r="O121" s="155"/>
      <c r="P121" s="157"/>
      <c r="Q121" s="156">
        <f>IF(ISERROR(VLOOKUP($X121,ess_bud,Q$6,FALSE)),0,VLOOKUP($X121,ess_bud,Q$6,FALSE))</f>
        <v>0</v>
      </c>
      <c r="R121" s="155"/>
      <c r="S121" s="155"/>
      <c r="T121" s="158"/>
      <c r="U121" s="156">
        <f t="shared" ref="U121:U124" si="70">IF(ISERROR(VLOOKUP($X121,ess_act,U$6,FALSE)),0,VLOOKUP($X121,ess_act,U$6,FALSE))</f>
        <v>0</v>
      </c>
      <c r="V121" s="155"/>
      <c r="W121" s="155"/>
      <c r="X121" s="159" t="str">
        <f t="shared" ref="X121:X124" si="71">A121&amp;$X$6</f>
        <v>33209CD</v>
      </c>
      <c r="Y121" s="8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ht="12.75" customHeight="1">
      <c r="A122" s="155">
        <v>34100.0</v>
      </c>
      <c r="B122" s="155"/>
      <c r="C122" s="156">
        <f t="shared" si="67"/>
        <v>0</v>
      </c>
      <c r="D122" s="155"/>
      <c r="E122" s="157"/>
      <c r="F122" s="156">
        <f>IF(ISERROR(VLOOKUP($X122,ess_bud,F$6,FALSE)),0,VLOOKUP($X122,ess_bud,F$6,FALSE))</f>
        <v>0</v>
      </c>
      <c r="G122" s="155"/>
      <c r="H122" s="155"/>
      <c r="I122" s="158"/>
      <c r="J122" s="156">
        <f t="shared" si="68"/>
        <v>0</v>
      </c>
      <c r="K122" s="155"/>
      <c r="L122" s="155"/>
      <c r="M122" s="155"/>
      <c r="N122" s="156">
        <f t="shared" si="69"/>
        <v>0</v>
      </c>
      <c r="O122" s="155"/>
      <c r="P122" s="157"/>
      <c r="Q122" s="156">
        <f>IF(ISERROR(VLOOKUP($X122,ess_bud,Q$6,FALSE)),0,VLOOKUP($X122,ess_bud,Q$6,FALSE))</f>
        <v>0</v>
      </c>
      <c r="R122" s="155"/>
      <c r="S122" s="155"/>
      <c r="T122" s="158"/>
      <c r="U122" s="156">
        <f t="shared" si="70"/>
        <v>0</v>
      </c>
      <c r="V122" s="155"/>
      <c r="W122" s="155"/>
      <c r="X122" s="159" t="str">
        <f t="shared" si="71"/>
        <v>34100CD</v>
      </c>
      <c r="Y122" s="8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ht="12.75" customHeight="1">
      <c r="A123" s="155">
        <v>34101.0</v>
      </c>
      <c r="B123" s="155"/>
      <c r="C123" s="156">
        <f t="shared" si="67"/>
        <v>0</v>
      </c>
      <c r="D123" s="155"/>
      <c r="E123" s="157"/>
      <c r="F123" s="156">
        <f>IF(ISERROR(VLOOKUP($X123,ess_bud,F$6,FALSE)),0,VLOOKUP($X123,ess_bud,F$6,FALSE))</f>
        <v>0</v>
      </c>
      <c r="G123" s="155"/>
      <c r="H123" s="155"/>
      <c r="I123" s="158"/>
      <c r="J123" s="156">
        <f t="shared" si="68"/>
        <v>0</v>
      </c>
      <c r="K123" s="155"/>
      <c r="L123" s="155"/>
      <c r="M123" s="155"/>
      <c r="N123" s="156">
        <f t="shared" si="69"/>
        <v>0</v>
      </c>
      <c r="O123" s="155"/>
      <c r="P123" s="157"/>
      <c r="Q123" s="156">
        <f>IF(ISERROR(VLOOKUP($X123,ess_bud,Q$6,FALSE)),0,VLOOKUP($X123,ess_bud,Q$6,FALSE))</f>
        <v>0</v>
      </c>
      <c r="R123" s="155"/>
      <c r="S123" s="155"/>
      <c r="T123" s="158"/>
      <c r="U123" s="156">
        <f t="shared" si="70"/>
        <v>0</v>
      </c>
      <c r="V123" s="155"/>
      <c r="W123" s="155"/>
      <c r="X123" s="159" t="str">
        <f t="shared" si="71"/>
        <v>34101CD</v>
      </c>
      <c r="Y123" s="8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ht="12.75" customHeight="1">
      <c r="A124" s="155">
        <v>34102.0</v>
      </c>
      <c r="B124" s="155"/>
      <c r="C124" s="156">
        <f t="shared" si="67"/>
        <v>0</v>
      </c>
      <c r="D124" s="155"/>
      <c r="E124" s="157"/>
      <c r="F124" s="156">
        <f>IF(ISERROR(VLOOKUP($X124,ess_bud,F$6,FALSE)),0,VLOOKUP($X124,ess_bud,F$6,FALSE))</f>
        <v>0</v>
      </c>
      <c r="G124" s="155"/>
      <c r="H124" s="155"/>
      <c r="I124" s="158"/>
      <c r="J124" s="156">
        <f t="shared" si="68"/>
        <v>0</v>
      </c>
      <c r="K124" s="155"/>
      <c r="L124" s="155"/>
      <c r="M124" s="155"/>
      <c r="N124" s="156">
        <f t="shared" si="69"/>
        <v>0</v>
      </c>
      <c r="O124" s="155"/>
      <c r="P124" s="157"/>
      <c r="Q124" s="156">
        <f>IF(ISERROR(VLOOKUP($X124,ess_bud,Q$6,FALSE)),0,VLOOKUP($X124,ess_bud,Q$6,FALSE))</f>
        <v>0</v>
      </c>
      <c r="R124" s="155"/>
      <c r="S124" s="155"/>
      <c r="T124" s="158"/>
      <c r="U124" s="156">
        <f t="shared" si="70"/>
        <v>0</v>
      </c>
      <c r="V124" s="155"/>
      <c r="W124" s="155"/>
      <c r="X124" s="159" t="str">
        <f t="shared" si="71"/>
        <v>34102CD</v>
      </c>
      <c r="Y124" s="8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ht="12.75" customHeight="1">
      <c r="A125" s="155"/>
      <c r="B125" s="155"/>
      <c r="C125" s="156"/>
      <c r="D125" s="155"/>
      <c r="E125" s="157"/>
      <c r="F125" s="156"/>
      <c r="G125" s="155"/>
      <c r="H125" s="155"/>
      <c r="I125" s="158"/>
      <c r="J125" s="156"/>
      <c r="K125" s="155"/>
      <c r="L125" s="155"/>
      <c r="M125" s="155"/>
      <c r="N125" s="156"/>
      <c r="O125" s="155"/>
      <c r="P125" s="157"/>
      <c r="Q125" s="156"/>
      <c r="R125" s="155"/>
      <c r="S125" s="155"/>
      <c r="T125" s="158"/>
      <c r="U125" s="156"/>
      <c r="V125" s="155"/>
      <c r="W125" s="155"/>
      <c r="X125" s="159"/>
      <c r="Y125" s="8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ht="12.75" customHeight="1">
      <c r="A126" s="155">
        <v>35101.0</v>
      </c>
      <c r="B126" s="155"/>
      <c r="C126" s="156">
        <f t="shared" ref="C126:C128" si="72">IF(ISERROR(VLOOKUP($X126,ess_act,C$6,FALSE)),0,VLOOKUP($X126,ess_act,C$6,FALSE))</f>
        <v>0</v>
      </c>
      <c r="D126" s="155"/>
      <c r="E126" s="157"/>
      <c r="F126" s="156">
        <f>IF(ISERROR(VLOOKUP($X126,ess_bud,F$6,FALSE)),0,VLOOKUP($X126,ess_bud,F$6,FALSE))</f>
        <v>0</v>
      </c>
      <c r="G126" s="155"/>
      <c r="H126" s="155"/>
      <c r="I126" s="158"/>
      <c r="J126" s="156">
        <f t="shared" ref="J126:J128" si="73">IF(ISERROR(VLOOKUP($X126,ess_act,J$6,FALSE)),0,VLOOKUP($X126,ess_act,J$6,FALSE))</f>
        <v>0</v>
      </c>
      <c r="K126" s="155"/>
      <c r="L126" s="155"/>
      <c r="M126" s="155"/>
      <c r="N126" s="156">
        <f t="shared" ref="N126:N128" si="74">IF(ISERROR(VLOOKUP($X126,ess_act,N$6,FALSE)),0,VLOOKUP($X126,ess_act,N$6,FALSE))</f>
        <v>0</v>
      </c>
      <c r="O126" s="155"/>
      <c r="P126" s="157"/>
      <c r="Q126" s="156">
        <f>IF(ISERROR(VLOOKUP($X126,ess_bud,Q$6,FALSE)),0,VLOOKUP($X126,ess_bud,Q$6,FALSE))</f>
        <v>0</v>
      </c>
      <c r="R126" s="155"/>
      <c r="S126" s="155"/>
      <c r="T126" s="158"/>
      <c r="U126" s="156">
        <f t="shared" ref="U126:U128" si="75">IF(ISERROR(VLOOKUP($X126,ess_act,U$6,FALSE)),0,VLOOKUP($X126,ess_act,U$6,FALSE))</f>
        <v>0</v>
      </c>
      <c r="V126" s="155"/>
      <c r="W126" s="155"/>
      <c r="X126" s="159" t="str">
        <f t="shared" ref="X126:X128" si="76">A126&amp;$X$6</f>
        <v>35101CD</v>
      </c>
      <c r="Y126" s="8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ht="12.75" customHeight="1">
      <c r="A127" s="155">
        <v>35102.0</v>
      </c>
      <c r="B127" s="155"/>
      <c r="C127" s="156">
        <f t="shared" si="72"/>
        <v>0</v>
      </c>
      <c r="D127" s="155"/>
      <c r="E127" s="157"/>
      <c r="F127" s="156">
        <f>IF(ISERROR(VLOOKUP($X127,ess_bud,F$6,FALSE)),0,VLOOKUP($X127,ess_bud,F$6,FALSE))</f>
        <v>0</v>
      </c>
      <c r="G127" s="155"/>
      <c r="H127" s="155"/>
      <c r="I127" s="158"/>
      <c r="J127" s="156">
        <f t="shared" si="73"/>
        <v>0</v>
      </c>
      <c r="K127" s="155"/>
      <c r="L127" s="155"/>
      <c r="M127" s="155"/>
      <c r="N127" s="156">
        <f t="shared" si="74"/>
        <v>0</v>
      </c>
      <c r="O127" s="155"/>
      <c r="P127" s="157"/>
      <c r="Q127" s="156">
        <f>IF(ISERROR(VLOOKUP($X127,ess_bud,Q$6,FALSE)),0,VLOOKUP($X127,ess_bud,Q$6,FALSE))</f>
        <v>0</v>
      </c>
      <c r="R127" s="155"/>
      <c r="S127" s="155"/>
      <c r="T127" s="158"/>
      <c r="U127" s="156">
        <f t="shared" si="75"/>
        <v>0</v>
      </c>
      <c r="V127" s="155"/>
      <c r="W127" s="155"/>
      <c r="X127" s="159" t="str">
        <f t="shared" si="76"/>
        <v>35102CD</v>
      </c>
      <c r="Y127" s="8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ht="12.75" customHeight="1">
      <c r="A128" s="155">
        <v>35103.0</v>
      </c>
      <c r="B128" s="155"/>
      <c r="C128" s="156">
        <f t="shared" si="72"/>
        <v>0</v>
      </c>
      <c r="D128" s="155"/>
      <c r="E128" s="157"/>
      <c r="F128" s="156">
        <f>IF(ISERROR(VLOOKUP($X128,ess_bud,F$6,FALSE)),0,VLOOKUP($X128,ess_bud,F$6,FALSE))</f>
        <v>0</v>
      </c>
      <c r="G128" s="155"/>
      <c r="H128" s="155"/>
      <c r="I128" s="158"/>
      <c r="J128" s="156">
        <f t="shared" si="73"/>
        <v>0</v>
      </c>
      <c r="K128" s="155"/>
      <c r="L128" s="155"/>
      <c r="M128" s="155"/>
      <c r="N128" s="156">
        <f t="shared" si="74"/>
        <v>0</v>
      </c>
      <c r="O128" s="155"/>
      <c r="P128" s="157"/>
      <c r="Q128" s="156">
        <f>IF(ISERROR(VLOOKUP($X128,ess_bud,Q$6,FALSE)),0,VLOOKUP($X128,ess_bud,Q$6,FALSE))</f>
        <v>0</v>
      </c>
      <c r="R128" s="155"/>
      <c r="S128" s="155"/>
      <c r="T128" s="158"/>
      <c r="U128" s="156">
        <f t="shared" si="75"/>
        <v>0</v>
      </c>
      <c r="V128" s="155"/>
      <c r="W128" s="155"/>
      <c r="X128" s="159" t="str">
        <f t="shared" si="76"/>
        <v>35103CD</v>
      </c>
      <c r="Y128" s="8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ht="12.75" customHeight="1">
      <c r="A129" s="2"/>
      <c r="B129" s="2"/>
      <c r="C129" s="35"/>
      <c r="D129" s="2"/>
      <c r="E129" s="29"/>
      <c r="F129" s="35"/>
      <c r="G129" s="2"/>
      <c r="H129" s="2"/>
      <c r="I129" s="37"/>
      <c r="J129" s="35"/>
      <c r="K129" s="2"/>
      <c r="L129" s="2"/>
      <c r="M129" s="2"/>
      <c r="N129" s="35"/>
      <c r="P129" s="29"/>
      <c r="Q129" s="35"/>
      <c r="T129" s="37"/>
      <c r="U129" s="35"/>
      <c r="V129" s="2"/>
      <c r="W129" s="2"/>
      <c r="X129" s="8"/>
      <c r="Y129" s="8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ht="12.75" customHeight="1">
      <c r="A130" s="160" t="s">
        <v>199</v>
      </c>
      <c r="B130" s="2"/>
      <c r="C130" s="35"/>
      <c r="D130" s="2"/>
      <c r="E130" s="29"/>
      <c r="F130" s="35"/>
      <c r="G130" s="2"/>
      <c r="H130" s="2"/>
      <c r="I130" s="37"/>
      <c r="J130" s="35"/>
      <c r="K130" s="2"/>
      <c r="L130" s="2"/>
      <c r="M130" s="2"/>
      <c r="N130" s="35"/>
      <c r="P130" s="29"/>
      <c r="Q130" s="35"/>
      <c r="T130" s="37"/>
      <c r="U130" s="35"/>
      <c r="V130" s="2"/>
      <c r="W130" s="2"/>
      <c r="X130" s="8"/>
      <c r="Y130" s="8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ht="12.75" customHeight="1">
      <c r="A131" s="161">
        <v>41103.0</v>
      </c>
      <c r="B131" s="162"/>
      <c r="C131" s="163">
        <f t="shared" ref="C131:C138" si="77">IF(ISERROR(VLOOKUP($X131,ess_act,C$6,FALSE)),0,VLOOKUP($X131,ess_act,C$6,FALSE))</f>
        <v>0</v>
      </c>
      <c r="D131" s="162"/>
      <c r="E131" s="164"/>
      <c r="F131" s="163">
        <f>IF(ISERROR(VLOOKUP($X131,ess_bud,F$6,FALSE)),0,VLOOKUP($X131,ess_bud,F$6,FALSE))</f>
        <v>0</v>
      </c>
      <c r="G131" s="162"/>
      <c r="H131" s="162"/>
      <c r="I131" s="165"/>
      <c r="J131" s="163">
        <f t="shared" ref="J131:J138" si="78">IF(ISERROR(VLOOKUP($X131,ess_act,J$6,FALSE)),0,VLOOKUP($X131,ess_act,J$6,FALSE))</f>
        <v>0</v>
      </c>
      <c r="K131" s="162"/>
      <c r="L131" s="162"/>
      <c r="M131" s="162"/>
      <c r="N131" s="163">
        <f t="shared" ref="N131:N138" si="79">IF(ISERROR(VLOOKUP($X131,ess_act,N$6,FALSE)),0,VLOOKUP($X131,ess_act,N$6,FALSE))</f>
        <v>0</v>
      </c>
      <c r="O131" s="162"/>
      <c r="P131" s="164"/>
      <c r="Q131" s="163">
        <f>IF(ISERROR(VLOOKUP($X131,ess_bud,Q$6,FALSE)),0,VLOOKUP($X131,ess_bud,Q$6,FALSE))</f>
        <v>0</v>
      </c>
      <c r="R131" s="162"/>
      <c r="S131" s="162"/>
      <c r="T131" s="165"/>
      <c r="U131" s="163">
        <f t="shared" ref="U131:U138" si="80">IF(ISERROR(VLOOKUP($X131,ess_act,U$6,FALSE)),0,VLOOKUP($X131,ess_act,U$6,FALSE))</f>
        <v>0</v>
      </c>
      <c r="V131" s="162"/>
      <c r="W131" s="162"/>
      <c r="X131" s="166" t="str">
        <f t="shared" ref="X131:X138" si="81">A131&amp;$X$6</f>
        <v>41103CD</v>
      </c>
      <c r="Y131" s="8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ht="12.75" customHeight="1">
      <c r="A132" s="167">
        <v>41104.0</v>
      </c>
      <c r="B132" s="160"/>
      <c r="C132" s="168">
        <f t="shared" si="77"/>
        <v>0</v>
      </c>
      <c r="D132" s="160"/>
      <c r="E132" s="169"/>
      <c r="F132" s="168">
        <f>IF(ISERROR(VLOOKUP($X132,ess_bud,F$6,FALSE)),0,VLOOKUP($X132,ess_bud,F$6,FALSE))</f>
        <v>0</v>
      </c>
      <c r="G132" s="160"/>
      <c r="H132" s="160"/>
      <c r="I132" s="170"/>
      <c r="J132" s="168">
        <f t="shared" si="78"/>
        <v>0</v>
      </c>
      <c r="K132" s="160"/>
      <c r="L132" s="160"/>
      <c r="M132" s="160"/>
      <c r="N132" s="168">
        <f t="shared" si="79"/>
        <v>0</v>
      </c>
      <c r="O132" s="160"/>
      <c r="P132" s="169"/>
      <c r="Q132" s="168">
        <f>IF(ISERROR(VLOOKUP($X132,ess_bud,Q$6,FALSE)),0,VLOOKUP($X132,ess_bud,Q$6,FALSE))</f>
        <v>0</v>
      </c>
      <c r="R132" s="160"/>
      <c r="S132" s="160"/>
      <c r="T132" s="170"/>
      <c r="U132" s="168">
        <f t="shared" si="80"/>
        <v>0</v>
      </c>
      <c r="V132" s="160"/>
      <c r="W132" s="160"/>
      <c r="X132" s="171" t="str">
        <f t="shared" si="81"/>
        <v>41104CD</v>
      </c>
      <c r="Y132" s="8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ht="12.75" customHeight="1">
      <c r="A133" s="167">
        <v>41102.0</v>
      </c>
      <c r="B133" s="160"/>
      <c r="C133" s="168">
        <f t="shared" si="77"/>
        <v>0</v>
      </c>
      <c r="D133" s="160"/>
      <c r="E133" s="169"/>
      <c r="F133" s="168">
        <f>IF(ISERROR(VLOOKUP($X133,ess_bud,F$6,FALSE)),0,VLOOKUP($X133,ess_bud,F$6,FALSE))</f>
        <v>0</v>
      </c>
      <c r="G133" s="160"/>
      <c r="H133" s="160"/>
      <c r="I133" s="170"/>
      <c r="J133" s="168">
        <f t="shared" si="78"/>
        <v>0</v>
      </c>
      <c r="K133" s="160"/>
      <c r="L133" s="160"/>
      <c r="M133" s="160"/>
      <c r="N133" s="168">
        <f t="shared" si="79"/>
        <v>0</v>
      </c>
      <c r="O133" s="160"/>
      <c r="P133" s="169"/>
      <c r="Q133" s="168">
        <f>IF(ISERROR(VLOOKUP($X133,ess_bud,Q$6,FALSE)),0,VLOOKUP($X133,ess_bud,Q$6,FALSE))</f>
        <v>0</v>
      </c>
      <c r="R133" s="160"/>
      <c r="S133" s="160"/>
      <c r="T133" s="170"/>
      <c r="U133" s="168">
        <f t="shared" si="80"/>
        <v>0</v>
      </c>
      <c r="V133" s="160"/>
      <c r="W133" s="160"/>
      <c r="X133" s="171" t="str">
        <f t="shared" si="81"/>
        <v>41102CD</v>
      </c>
      <c r="Y133" s="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ht="12.75" customHeight="1">
      <c r="A134" s="167">
        <v>42100.0</v>
      </c>
      <c r="B134" s="160"/>
      <c r="C134" s="168">
        <f t="shared" si="77"/>
        <v>0</v>
      </c>
      <c r="D134" s="160"/>
      <c r="E134" s="169"/>
      <c r="F134" s="168">
        <f>IF(ISERROR(VLOOKUP($X134,ess_bud,F$6,FALSE)),0,VLOOKUP($X134,ess_bud,F$6,FALSE))</f>
        <v>0</v>
      </c>
      <c r="G134" s="160"/>
      <c r="H134" s="160"/>
      <c r="I134" s="170"/>
      <c r="J134" s="168">
        <f t="shared" si="78"/>
        <v>0</v>
      </c>
      <c r="K134" s="160"/>
      <c r="L134" s="160"/>
      <c r="M134" s="160"/>
      <c r="N134" s="168">
        <f t="shared" si="79"/>
        <v>0</v>
      </c>
      <c r="O134" s="160"/>
      <c r="P134" s="169"/>
      <c r="Q134" s="168">
        <f>IF(ISERROR(VLOOKUP($X134,ess_bud,Q$6,FALSE)),0,VLOOKUP($X134,ess_bud,Q$6,FALSE))</f>
        <v>0</v>
      </c>
      <c r="R134" s="160"/>
      <c r="S134" s="160"/>
      <c r="T134" s="170"/>
      <c r="U134" s="168">
        <f t="shared" si="80"/>
        <v>0</v>
      </c>
      <c r="V134" s="160"/>
      <c r="W134" s="160"/>
      <c r="X134" s="171" t="str">
        <f t="shared" si="81"/>
        <v>42100CD</v>
      </c>
      <c r="Y134" s="8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ht="12.75" customHeight="1">
      <c r="A135" s="167">
        <v>43500.0</v>
      </c>
      <c r="B135" s="160"/>
      <c r="C135" s="168">
        <f t="shared" si="77"/>
        <v>0</v>
      </c>
      <c r="D135" s="160"/>
      <c r="E135" s="169"/>
      <c r="F135" s="168">
        <f>IF(ISERROR(VLOOKUP($X135,ess_bud,F$6,FALSE)),0,VLOOKUP($X135,ess_bud,F$6,FALSE))</f>
        <v>0</v>
      </c>
      <c r="G135" s="160"/>
      <c r="H135" s="160"/>
      <c r="I135" s="170"/>
      <c r="J135" s="168">
        <f t="shared" si="78"/>
        <v>0</v>
      </c>
      <c r="K135" s="160"/>
      <c r="L135" s="160"/>
      <c r="M135" s="160"/>
      <c r="N135" s="168">
        <f t="shared" si="79"/>
        <v>0</v>
      </c>
      <c r="O135" s="160"/>
      <c r="P135" s="169"/>
      <c r="Q135" s="168">
        <f>IF(ISERROR(VLOOKUP($X135,ess_bud,Q$6,FALSE)),0,VLOOKUP($X135,ess_bud,Q$6,FALSE))</f>
        <v>127797</v>
      </c>
      <c r="R135" s="160"/>
      <c r="S135" s="160"/>
      <c r="T135" s="170"/>
      <c r="U135" s="168">
        <f t="shared" si="80"/>
        <v>0</v>
      </c>
      <c r="V135" s="160"/>
      <c r="W135" s="160"/>
      <c r="X135" s="171" t="str">
        <f t="shared" si="81"/>
        <v>43500CD</v>
      </c>
      <c r="Y135" s="8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ht="12.75" customHeight="1">
      <c r="A136" s="167">
        <v>43100.0</v>
      </c>
      <c r="B136" s="160"/>
      <c r="C136" s="168">
        <f t="shared" si="77"/>
        <v>0</v>
      </c>
      <c r="D136" s="160"/>
      <c r="E136" s="169"/>
      <c r="F136" s="168">
        <f>IF(ISERROR(VLOOKUP($X136,ess_bud,F$6,FALSE)),0,VLOOKUP($X136,ess_bud,F$6,FALSE))</f>
        <v>0</v>
      </c>
      <c r="G136" s="160"/>
      <c r="H136" s="160"/>
      <c r="I136" s="170"/>
      <c r="J136" s="168">
        <f t="shared" si="78"/>
        <v>0</v>
      </c>
      <c r="K136" s="160"/>
      <c r="L136" s="160"/>
      <c r="M136" s="160"/>
      <c r="N136" s="168">
        <f t="shared" si="79"/>
        <v>0</v>
      </c>
      <c r="O136" s="160"/>
      <c r="P136" s="169"/>
      <c r="Q136" s="168">
        <f>IF(ISERROR(VLOOKUP($X136,ess_bud,Q$6,FALSE)),0,VLOOKUP($X136,ess_bud,Q$6,FALSE))</f>
        <v>0</v>
      </c>
      <c r="R136" s="160"/>
      <c r="S136" s="160"/>
      <c r="T136" s="170"/>
      <c r="U136" s="168">
        <f t="shared" si="80"/>
        <v>0</v>
      </c>
      <c r="V136" s="160"/>
      <c r="W136" s="160"/>
      <c r="X136" s="171" t="str">
        <f t="shared" si="81"/>
        <v>43100CD</v>
      </c>
      <c r="Y136" s="8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ht="12.75" customHeight="1">
      <c r="A137" s="172">
        <v>43500.0</v>
      </c>
      <c r="B137" s="173"/>
      <c r="C137" s="174">
        <f t="shared" si="77"/>
        <v>0</v>
      </c>
      <c r="D137" s="173"/>
      <c r="E137" s="175"/>
      <c r="F137" s="174">
        <f>IF(ISERROR(VLOOKUP($X137,ess_bud,F$6,FALSE)),0,VLOOKUP($X137,ess_bud,F$6,FALSE))</f>
        <v>0</v>
      </c>
      <c r="G137" s="173"/>
      <c r="H137" s="173"/>
      <c r="I137" s="176"/>
      <c r="J137" s="174">
        <f t="shared" si="78"/>
        <v>0</v>
      </c>
      <c r="K137" s="173"/>
      <c r="L137" s="173"/>
      <c r="M137" s="173"/>
      <c r="N137" s="174">
        <f t="shared" si="79"/>
        <v>0</v>
      </c>
      <c r="O137" s="173"/>
      <c r="P137" s="175"/>
      <c r="Q137" s="174">
        <f>IF(ISERROR(VLOOKUP($X137,ess_bud,Q$6,FALSE)),0,VLOOKUP($X137,ess_bud,Q$6,FALSE))</f>
        <v>127797</v>
      </c>
      <c r="R137" s="173"/>
      <c r="S137" s="173"/>
      <c r="T137" s="176"/>
      <c r="U137" s="174">
        <f t="shared" si="80"/>
        <v>0</v>
      </c>
      <c r="V137" s="173"/>
      <c r="W137" s="173"/>
      <c r="X137" s="177" t="str">
        <f t="shared" si="81"/>
        <v>43500CD</v>
      </c>
      <c r="Y137" s="8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ht="12.75" customHeight="1">
      <c r="A138" s="2" t="s">
        <v>200</v>
      </c>
      <c r="B138" s="173"/>
      <c r="C138" s="174">
        <f t="shared" si="77"/>
        <v>0</v>
      </c>
      <c r="D138" s="173"/>
      <c r="E138" s="175"/>
      <c r="F138" s="174">
        <f>IF(ISERROR(VLOOKUP($X138,ess_bud,F$6,FALSE)),0,VLOOKUP($X138,ess_bud,F$6,FALSE))</f>
        <v>0</v>
      </c>
      <c r="G138" s="173"/>
      <c r="H138" s="173"/>
      <c r="I138" s="176"/>
      <c r="J138" s="174">
        <f t="shared" si="78"/>
        <v>0</v>
      </c>
      <c r="K138" s="173"/>
      <c r="L138" s="173"/>
      <c r="M138" s="173"/>
      <c r="N138" s="174">
        <f t="shared" si="79"/>
        <v>0</v>
      </c>
      <c r="O138" s="173"/>
      <c r="P138" s="175"/>
      <c r="Q138" s="174">
        <f>IF(ISERROR(VLOOKUP($X138,ess_bud,Q$6,FALSE)),0,VLOOKUP($X138,ess_bud,Q$6,FALSE))</f>
        <v>0</v>
      </c>
      <c r="R138" s="173"/>
      <c r="S138" s="173"/>
      <c r="T138" s="176"/>
      <c r="U138" s="174">
        <f t="shared" si="80"/>
        <v>0</v>
      </c>
      <c r="V138" s="173"/>
      <c r="W138" s="173"/>
      <c r="X138" s="177" t="str">
        <f t="shared" si="81"/>
        <v>OTHER EXCLUDED ACCOUNTSCD</v>
      </c>
      <c r="Y138" s="8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ht="12.75" customHeight="1">
      <c r="A139" s="2"/>
      <c r="B139" s="2"/>
      <c r="C139" s="35"/>
      <c r="D139" s="2"/>
      <c r="E139" s="29"/>
      <c r="F139" s="35"/>
      <c r="G139" s="2"/>
      <c r="H139" s="2"/>
      <c r="I139" s="37"/>
      <c r="J139" s="35"/>
      <c r="K139" s="2"/>
      <c r="L139" s="2"/>
      <c r="M139" s="2"/>
      <c r="N139" s="35"/>
      <c r="O139" s="2"/>
      <c r="P139" s="29"/>
      <c r="Q139" s="35"/>
      <c r="R139" s="2"/>
      <c r="S139" s="2"/>
      <c r="T139" s="37"/>
      <c r="U139" s="35"/>
      <c r="V139" s="2"/>
      <c r="W139" s="2"/>
      <c r="X139" s="8"/>
      <c r="Y139" s="8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ht="12.75" customHeight="1">
      <c r="A140" s="2">
        <v>43101.0</v>
      </c>
      <c r="B140" s="2"/>
      <c r="C140" s="35">
        <f t="shared" ref="C140:C145" si="82">IF(ISERROR(VLOOKUP($X140,ess_act,C$6,FALSE)),0,VLOOKUP($X140,ess_act,C$6,FALSE))</f>
        <v>0</v>
      </c>
      <c r="D140" s="2"/>
      <c r="E140" s="29"/>
      <c r="F140" s="35">
        <f>IF(ISERROR(VLOOKUP($X140,ess_bud,F$6,FALSE)),0,VLOOKUP($X140,ess_bud,F$6,FALSE))</f>
        <v>0</v>
      </c>
      <c r="G140" s="2"/>
      <c r="H140" s="2"/>
      <c r="I140" s="37"/>
      <c r="J140" s="35">
        <f t="shared" ref="J140:J145" si="83">IF(ISERROR(VLOOKUP($X140,ess_act,J$6,FALSE)),0,VLOOKUP($X140,ess_act,J$6,FALSE))</f>
        <v>0</v>
      </c>
      <c r="K140" s="2"/>
      <c r="L140" s="2"/>
      <c r="M140" s="2"/>
      <c r="N140" s="35">
        <f t="shared" ref="N140:N145" si="84">IF(ISERROR(VLOOKUP($X140,ess_act,N$6,FALSE)),0,VLOOKUP($X140,ess_act,N$6,FALSE))</f>
        <v>0</v>
      </c>
      <c r="P140" s="29"/>
      <c r="Q140" s="35">
        <f>IF(ISERROR(VLOOKUP($X140,ess_bud,Q$6,FALSE)),0,VLOOKUP($X140,ess_bud,Q$6,FALSE))</f>
        <v>0</v>
      </c>
      <c r="T140" s="37"/>
      <c r="U140" s="35">
        <f t="shared" ref="U140:U145" si="85">IF(ISERROR(VLOOKUP($X140,ess_act,U$6,FALSE)),0,VLOOKUP($X140,ess_act,U$6,FALSE))</f>
        <v>0</v>
      </c>
      <c r="V140" s="2"/>
      <c r="W140" s="2"/>
      <c r="X140" s="8" t="str">
        <f t="shared" ref="X140:X145" si="86">A140&amp;$X$6</f>
        <v>43101CD</v>
      </c>
      <c r="Y140" s="8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ht="12.75" customHeight="1">
      <c r="A141" s="2">
        <v>43601.0</v>
      </c>
      <c r="B141" s="2"/>
      <c r="C141" s="35">
        <f t="shared" si="82"/>
        <v>0</v>
      </c>
      <c r="D141" s="2"/>
      <c r="E141" s="29"/>
      <c r="F141" s="35">
        <f>IF(ISERROR(VLOOKUP($X141,ess_bud,F$6,FALSE)),0,VLOOKUP($X141,ess_bud,F$6,FALSE))</f>
        <v>0</v>
      </c>
      <c r="G141" s="2"/>
      <c r="H141" s="2"/>
      <c r="I141" s="37"/>
      <c r="J141" s="35">
        <f t="shared" si="83"/>
        <v>0</v>
      </c>
      <c r="K141" s="2"/>
      <c r="L141" s="2"/>
      <c r="M141" s="2"/>
      <c r="N141" s="35">
        <f t="shared" si="84"/>
        <v>0</v>
      </c>
      <c r="P141" s="29"/>
      <c r="Q141" s="35">
        <f>IF(ISERROR(VLOOKUP($X141,ess_bud,Q$6,FALSE)),0,VLOOKUP($X141,ess_bud,Q$6,FALSE))</f>
        <v>0</v>
      </c>
      <c r="T141" s="37"/>
      <c r="U141" s="35">
        <f t="shared" si="85"/>
        <v>0</v>
      </c>
      <c r="V141" s="2"/>
      <c r="W141" s="2"/>
      <c r="X141" s="8" t="str">
        <f t="shared" si="86"/>
        <v>43601CD</v>
      </c>
      <c r="Y141" s="8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ht="12.75" customHeight="1">
      <c r="A142" s="2">
        <v>44101.0</v>
      </c>
      <c r="B142" s="2"/>
      <c r="C142" s="35">
        <f t="shared" si="82"/>
        <v>0</v>
      </c>
      <c r="D142" s="2"/>
      <c r="E142" s="29"/>
      <c r="F142" s="35">
        <f>IF(ISERROR(VLOOKUP($X142,ess_bud,F$6,FALSE)),0,VLOOKUP($X142,ess_bud,F$6,FALSE))</f>
        <v>0</v>
      </c>
      <c r="G142" s="2"/>
      <c r="H142" s="2"/>
      <c r="I142" s="37"/>
      <c r="J142" s="35">
        <f t="shared" si="83"/>
        <v>0</v>
      </c>
      <c r="K142" s="2"/>
      <c r="L142" s="2"/>
      <c r="M142" s="2"/>
      <c r="N142" s="35">
        <f t="shared" si="84"/>
        <v>0</v>
      </c>
      <c r="P142" s="29"/>
      <c r="Q142" s="35">
        <f>IF(ISERROR(VLOOKUP($X142,ess_bud,Q$6,FALSE)),0,VLOOKUP($X142,ess_bud,Q$6,FALSE))</f>
        <v>0</v>
      </c>
      <c r="T142" s="37"/>
      <c r="U142" s="35">
        <f t="shared" si="85"/>
        <v>0</v>
      </c>
      <c r="V142" s="2"/>
      <c r="W142" s="2"/>
      <c r="X142" s="8" t="str">
        <f t="shared" si="86"/>
        <v>44101CD</v>
      </c>
      <c r="Y142" s="8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ht="12.75" customHeight="1">
      <c r="A143" s="2">
        <v>44400.0</v>
      </c>
      <c r="B143" s="2"/>
      <c r="C143" s="35">
        <f t="shared" si="82"/>
        <v>0</v>
      </c>
      <c r="D143" s="2"/>
      <c r="E143" s="29"/>
      <c r="F143" s="35">
        <f>IF(ISERROR(VLOOKUP($X143,ess_bud,F$6,FALSE)),0,VLOOKUP($X143,ess_bud,F$6,FALSE))</f>
        <v>0</v>
      </c>
      <c r="G143" s="2"/>
      <c r="H143" s="2"/>
      <c r="I143" s="37"/>
      <c r="J143" s="35">
        <f t="shared" si="83"/>
        <v>0</v>
      </c>
      <c r="K143" s="2"/>
      <c r="L143" s="2"/>
      <c r="M143" s="2"/>
      <c r="N143" s="35">
        <f t="shared" si="84"/>
        <v>0</v>
      </c>
      <c r="P143" s="29"/>
      <c r="Q143" s="35">
        <f>IF(ISERROR(VLOOKUP($X143,ess_bud,Q$6,FALSE)),0,VLOOKUP($X143,ess_bud,Q$6,FALSE))</f>
        <v>0</v>
      </c>
      <c r="T143" s="37"/>
      <c r="U143" s="35">
        <f t="shared" si="85"/>
        <v>0</v>
      </c>
      <c r="V143" s="2"/>
      <c r="W143" s="2"/>
      <c r="X143" s="8" t="str">
        <f t="shared" si="86"/>
        <v>44400CD</v>
      </c>
      <c r="Y143" s="8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ht="12.75" customHeight="1">
      <c r="A144" s="2">
        <v>44401.0</v>
      </c>
      <c r="B144" s="2"/>
      <c r="C144" s="35">
        <f t="shared" si="82"/>
        <v>0</v>
      </c>
      <c r="D144" s="2"/>
      <c r="E144" s="29"/>
      <c r="F144" s="35">
        <f>IF(ISERROR(VLOOKUP($X144,ess_bud,F$6,FALSE)),0,VLOOKUP($X144,ess_bud,F$6,FALSE))</f>
        <v>0</v>
      </c>
      <c r="G144" s="2"/>
      <c r="H144" s="2"/>
      <c r="I144" s="37"/>
      <c r="J144" s="35">
        <f t="shared" si="83"/>
        <v>0</v>
      </c>
      <c r="K144" s="2"/>
      <c r="L144" s="2"/>
      <c r="M144" s="2"/>
      <c r="N144" s="35">
        <f t="shared" si="84"/>
        <v>0</v>
      </c>
      <c r="P144" s="29"/>
      <c r="Q144" s="35">
        <f>IF(ISERROR(VLOOKUP($X144,ess_bud,Q$6,FALSE)),0,VLOOKUP($X144,ess_bud,Q$6,FALSE))</f>
        <v>0</v>
      </c>
      <c r="T144" s="37"/>
      <c r="U144" s="35">
        <f t="shared" si="85"/>
        <v>0</v>
      </c>
      <c r="V144" s="2"/>
      <c r="W144" s="2"/>
      <c r="X144" s="8" t="str">
        <f t="shared" si="86"/>
        <v>44401CD</v>
      </c>
      <c r="Y144" s="8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ht="12.75" customHeight="1">
      <c r="A145" s="2">
        <v>44402.0</v>
      </c>
      <c r="B145" s="2"/>
      <c r="C145" s="35">
        <f t="shared" si="82"/>
        <v>0</v>
      </c>
      <c r="D145" s="2"/>
      <c r="E145" s="29"/>
      <c r="F145" s="35">
        <f>IF(ISERROR(VLOOKUP($X145,ess_bud,F$6,FALSE)),0,VLOOKUP($X145,ess_bud,F$6,FALSE))</f>
        <v>0</v>
      </c>
      <c r="G145" s="2"/>
      <c r="H145" s="2"/>
      <c r="I145" s="37"/>
      <c r="J145" s="35">
        <f t="shared" si="83"/>
        <v>0</v>
      </c>
      <c r="K145" s="2"/>
      <c r="L145" s="2"/>
      <c r="M145" s="2"/>
      <c r="N145" s="35">
        <f t="shared" si="84"/>
        <v>0</v>
      </c>
      <c r="P145" s="29"/>
      <c r="Q145" s="35">
        <f>IF(ISERROR(VLOOKUP($X145,ess_bud,Q$6,FALSE)),0,VLOOKUP($X145,ess_bud,Q$6,FALSE))</f>
        <v>0</v>
      </c>
      <c r="T145" s="37"/>
      <c r="U145" s="35">
        <f t="shared" si="85"/>
        <v>0</v>
      </c>
      <c r="V145" s="2"/>
      <c r="W145" s="2"/>
      <c r="X145" s="8" t="str">
        <f t="shared" si="86"/>
        <v>44402CD</v>
      </c>
      <c r="Y145" s="8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ht="12.75" customHeight="1">
      <c r="A146" s="2"/>
      <c r="B146" s="2"/>
      <c r="C146" s="35">
        <f>SUM(C139:C145)</f>
        <v>0</v>
      </c>
      <c r="D146" s="2"/>
      <c r="E146" s="29"/>
      <c r="F146" s="35">
        <f>SUM(F139:F145)</f>
        <v>0</v>
      </c>
      <c r="G146" s="2"/>
      <c r="H146" s="2"/>
      <c r="I146" s="37"/>
      <c r="J146" s="35">
        <f>SUM(J139:J145)</f>
        <v>0</v>
      </c>
      <c r="K146" s="2"/>
      <c r="L146" s="2"/>
      <c r="M146" s="2"/>
      <c r="N146" s="35">
        <f>SUM(N139:N145)</f>
        <v>0</v>
      </c>
      <c r="P146" s="29"/>
      <c r="Q146" s="35">
        <f>SUM(Q139:Q145)</f>
        <v>0</v>
      </c>
      <c r="T146" s="37"/>
      <c r="U146" s="35">
        <f>SUM(U139:U145)</f>
        <v>0</v>
      </c>
      <c r="V146" s="2"/>
      <c r="W146" s="2"/>
      <c r="X146" s="8"/>
      <c r="Y146" s="8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ht="12.75" customHeight="1">
      <c r="A147" s="47"/>
      <c r="B147" s="47"/>
      <c r="C147" s="178">
        <f>SUM(C116:C146)</f>
        <v>0</v>
      </c>
      <c r="D147" s="47"/>
      <c r="E147" s="47"/>
      <c r="F147" s="178">
        <f>SUM(F116:F146)</f>
        <v>0</v>
      </c>
      <c r="G147" s="47"/>
      <c r="H147" s="47"/>
      <c r="I147" s="47"/>
      <c r="J147" s="178">
        <f>SUM(J116:J146)</f>
        <v>0</v>
      </c>
      <c r="K147" s="47"/>
      <c r="L147" s="47"/>
      <c r="M147" s="47"/>
      <c r="N147" s="178">
        <f>SUM(N116:N146)</f>
        <v>0</v>
      </c>
      <c r="O147" s="47"/>
      <c r="P147" s="47"/>
      <c r="Q147" s="178">
        <f>SUM(Q116:Q146)</f>
        <v>255594</v>
      </c>
      <c r="R147" s="47"/>
      <c r="S147" s="47"/>
      <c r="T147" s="47"/>
      <c r="U147" s="178">
        <f>SUM(U116:U146)</f>
        <v>0</v>
      </c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</row>
  </sheetData>
  <mergeCells count="11">
    <mergeCell ref="C7:L7"/>
    <mergeCell ref="A1:V1"/>
    <mergeCell ref="B2:W2"/>
    <mergeCell ref="A5:V5"/>
    <mergeCell ref="N7:W7"/>
    <mergeCell ref="Q8:S8"/>
    <mergeCell ref="U8:W8"/>
    <mergeCell ref="C8:D8"/>
    <mergeCell ref="F8:H8"/>
    <mergeCell ref="J8:L8"/>
    <mergeCell ref="N8:O8"/>
  </mergeCells>
  <dataValidations>
    <dataValidation type="custom" allowBlank="1" sqref="E4 G10:H10 C11:F14 C15:G15 C16:F18 B19:F19 C20:F20 B21:F21 S23 N13:N40 C22:F43 N43 U43 B44:F44 C45:F46 B47:F48 C49:F55 B56:F56 C57:F61 B62:F62 T62 M44:N66 U66 M67:M72 I11:J85 I86 K86 C63:F94 I87:J94 C101:F101 I101:J101 C103:F103 I103:J103 C105:F107 I105:J107">
      <formula1>AND(GTE(LEN(B4),MIN((0),(10000))),LTE(LEN(B4),MAX((0),(10000))))</formula1>
    </dataValidation>
  </dataValidations>
  <printOptions horizontalCentered="1" verticalCentered="1"/>
  <pageMargins bottom="0.17" footer="0.0" header="0.0" left="0.54" right="0.51" top="0.28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pageSetUpPr fitToPage="1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5.29"/>
    <col customWidth="1" min="3" max="3" width="10.0"/>
    <col customWidth="1" min="4" max="4" width="8.14"/>
    <col customWidth="1" min="5" max="5" width="1.71"/>
    <col customWidth="1" min="6" max="6" width="9.43"/>
    <col customWidth="1" min="7" max="7" width="7.57"/>
    <col customWidth="1" min="8" max="8" width="8.14"/>
    <col customWidth="1" min="9" max="9" width="1.71"/>
    <col customWidth="1" min="10" max="10" width="8.0"/>
    <col customWidth="1" min="11" max="11" width="7.71"/>
    <col customWidth="1" min="12" max="12" width="12.57"/>
    <col customWidth="1" min="13" max="13" width="4.86"/>
    <col customWidth="1" min="14" max="14" width="10.14"/>
    <col customWidth="1" min="15" max="15" width="7.43"/>
    <col customWidth="1" min="16" max="16" width="1.71"/>
    <col customWidth="1" min="17" max="17" width="10.86"/>
    <col customWidth="1" min="18" max="18" width="7.57"/>
    <col customWidth="1" min="19" max="19" width="8.14"/>
    <col customWidth="1" min="20" max="20" width="1.71"/>
    <col customWidth="1" min="21" max="21" width="11.0"/>
    <col customWidth="1" min="22" max="22" width="7.57"/>
    <col customWidth="1" min="23" max="23" width="9.86"/>
    <col customWidth="1" min="24" max="70" width="9.14"/>
  </cols>
  <sheetData>
    <row r="1" ht="12.75" customHeight="1">
      <c r="A1" s="4" t="str">
        <f>+'P&amp;L Summary'!A1:V1</f>
        <v/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ht="12.75" customHeight="1">
      <c r="A2" s="24"/>
      <c r="B2" s="4" t="s">
        <v>174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ht="12.75" customHeight="1">
      <c r="A4" s="24"/>
      <c r="B4" s="8" t="str">
        <f>CELL("FILENAME",D9)</f>
        <v>#VALUE!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ht="12.75" customHeight="1">
      <c r="A5" s="3" t="str">
        <f>+'P&amp;L Summary'!A4:V4</f>
        <v/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ht="12.75" customHeight="1">
      <c r="A6" s="14">
        <f>'P&amp;L Summary'!A5</f>
        <v>43221</v>
      </c>
      <c r="B6" s="2"/>
      <c r="C6" s="119">
        <f>$A$6-2006993</f>
        <v>-1963772</v>
      </c>
      <c r="D6" s="2"/>
      <c r="E6" s="8"/>
      <c r="F6" s="119">
        <f>$A$6-2006995</f>
        <v>-1963774</v>
      </c>
      <c r="G6" s="2"/>
      <c r="H6" s="2"/>
      <c r="I6" s="119">
        <f>$A$6-2005980</f>
        <v>-1962759</v>
      </c>
      <c r="J6" s="119">
        <f>$A$6-2006980</f>
        <v>-1963759</v>
      </c>
      <c r="K6" s="2"/>
      <c r="L6" s="2"/>
      <c r="M6" s="2"/>
      <c r="N6" s="2">
        <v>20.0</v>
      </c>
      <c r="O6" s="2"/>
      <c r="P6" s="2"/>
      <c r="Q6" s="2">
        <v>19.0</v>
      </c>
      <c r="R6" s="2"/>
      <c r="S6" s="2"/>
      <c r="T6" s="2"/>
      <c r="U6" s="2">
        <v>33.0</v>
      </c>
      <c r="V6" s="2"/>
      <c r="W6" s="2"/>
      <c r="X6" s="2" t="s">
        <v>176</v>
      </c>
      <c r="Y6" s="2" t="s">
        <v>177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ht="12.75" customHeight="1">
      <c r="A7" s="2"/>
      <c r="B7" s="8"/>
      <c r="C7" s="120" t="s">
        <v>3</v>
      </c>
      <c r="D7" s="11"/>
      <c r="E7" s="11"/>
      <c r="F7" s="11"/>
      <c r="G7" s="11"/>
      <c r="H7" s="11"/>
      <c r="I7" s="11"/>
      <c r="J7" s="11"/>
      <c r="K7" s="11"/>
      <c r="L7" s="12"/>
      <c r="M7" s="111"/>
      <c r="N7" s="121" t="s">
        <v>4</v>
      </c>
      <c r="O7" s="11"/>
      <c r="P7" s="11"/>
      <c r="Q7" s="11"/>
      <c r="R7" s="11"/>
      <c r="S7" s="11"/>
      <c r="T7" s="11"/>
      <c r="U7" s="11"/>
      <c r="V7" s="11"/>
      <c r="W7" s="1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ht="12.75" customHeight="1">
      <c r="A8" s="2"/>
      <c r="B8" s="8"/>
      <c r="C8" s="19" t="s">
        <v>5</v>
      </c>
      <c r="E8" s="16"/>
      <c r="F8" s="16" t="s">
        <v>6</v>
      </c>
      <c r="I8" s="16"/>
      <c r="J8" s="16" t="s">
        <v>7</v>
      </c>
      <c r="L8" s="122"/>
      <c r="M8" s="111"/>
      <c r="N8" s="19" t="s">
        <v>5</v>
      </c>
      <c r="P8" s="16"/>
      <c r="Q8" s="16" t="s">
        <v>6</v>
      </c>
      <c r="T8" s="16"/>
      <c r="U8" s="16" t="s">
        <v>7</v>
      </c>
      <c r="W8" s="12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ht="12.75" customHeight="1">
      <c r="A9" s="47" t="s">
        <v>176</v>
      </c>
      <c r="B9" s="8"/>
      <c r="C9" s="19" t="s">
        <v>8</v>
      </c>
      <c r="D9" s="20" t="s">
        <v>9</v>
      </c>
      <c r="E9" s="20"/>
      <c r="F9" s="16" t="s">
        <v>8</v>
      </c>
      <c r="G9" s="20" t="s">
        <v>9</v>
      </c>
      <c r="H9" s="20" t="s">
        <v>10</v>
      </c>
      <c r="I9" s="20"/>
      <c r="J9" s="16" t="s">
        <v>8</v>
      </c>
      <c r="K9" s="20" t="s">
        <v>9</v>
      </c>
      <c r="L9" s="112" t="s">
        <v>11</v>
      </c>
      <c r="M9" s="111"/>
      <c r="N9" s="19" t="s">
        <v>8</v>
      </c>
      <c r="O9" s="20" t="s">
        <v>9</v>
      </c>
      <c r="P9" s="20"/>
      <c r="Q9" s="16" t="s">
        <v>8</v>
      </c>
      <c r="R9" s="20" t="s">
        <v>9</v>
      </c>
      <c r="S9" s="20" t="s">
        <v>10</v>
      </c>
      <c r="T9" s="20"/>
      <c r="U9" s="16" t="s">
        <v>8</v>
      </c>
      <c r="V9" s="20" t="s">
        <v>9</v>
      </c>
      <c r="W9" s="112" t="s">
        <v>11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ht="12.75" customHeight="1">
      <c r="A10" s="47" t="s">
        <v>176</v>
      </c>
      <c r="B10" s="8"/>
      <c r="C10" s="109"/>
      <c r="D10" s="110" t="s">
        <v>12</v>
      </c>
      <c r="E10" s="110"/>
      <c r="F10" s="111"/>
      <c r="G10" s="110" t="s">
        <v>12</v>
      </c>
      <c r="H10" s="110" t="s">
        <v>13</v>
      </c>
      <c r="I10" s="110"/>
      <c r="J10" s="111"/>
      <c r="K10" s="110" t="s">
        <v>12</v>
      </c>
      <c r="L10" s="112" t="s">
        <v>14</v>
      </c>
      <c r="M10" s="111"/>
      <c r="N10" s="109"/>
      <c r="O10" s="110" t="s">
        <v>12</v>
      </c>
      <c r="P10" s="110"/>
      <c r="Q10" s="111"/>
      <c r="R10" s="110" t="s">
        <v>12</v>
      </c>
      <c r="S10" s="110" t="s">
        <v>13</v>
      </c>
      <c r="T10" s="110"/>
      <c r="U10" s="111"/>
      <c r="V10" s="110" t="s">
        <v>12</v>
      </c>
      <c r="W10" s="112" t="s">
        <v>14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ht="12.75" customHeight="1">
      <c r="A11" s="123" t="s">
        <v>92</v>
      </c>
      <c r="B11" s="8"/>
      <c r="C11" s="109"/>
      <c r="D11" s="110"/>
      <c r="E11" s="110"/>
      <c r="F11" s="111"/>
      <c r="G11" s="110"/>
      <c r="H11" s="110"/>
      <c r="I11" s="110"/>
      <c r="J11" s="111"/>
      <c r="K11" s="110"/>
      <c r="L11" s="112"/>
      <c r="M11" s="111"/>
      <c r="N11" s="109"/>
      <c r="O11" s="110"/>
      <c r="P11" s="110"/>
      <c r="Q11" s="111"/>
      <c r="R11" s="110"/>
      <c r="S11" s="110"/>
      <c r="T11" s="110"/>
      <c r="U11" s="111"/>
      <c r="V11" s="110"/>
      <c r="W11" s="11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ht="12.75" customHeight="1">
      <c r="A12" s="47" t="s">
        <v>93</v>
      </c>
      <c r="B12" s="24" t="s">
        <v>78</v>
      </c>
      <c r="C12" s="113"/>
      <c r="D12" s="114"/>
      <c r="E12" s="114"/>
      <c r="F12" s="115"/>
      <c r="G12" s="114"/>
      <c r="H12" s="114"/>
      <c r="I12" s="114"/>
      <c r="J12" s="115"/>
      <c r="K12" s="114"/>
      <c r="L12" s="116"/>
      <c r="M12" s="115"/>
      <c r="N12" s="113"/>
      <c r="O12" s="114"/>
      <c r="P12" s="114"/>
      <c r="Q12" s="115"/>
      <c r="R12" s="114"/>
      <c r="S12" s="114"/>
      <c r="T12" s="114"/>
      <c r="U12" s="115"/>
      <c r="V12" s="114"/>
      <c r="W12" s="116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ht="12.75" customHeight="1">
      <c r="A13" s="124">
        <v>42200.0</v>
      </c>
      <c r="B13" s="8" t="s">
        <v>79</v>
      </c>
      <c r="C13" s="125">
        <f t="shared" ref="C13:C40" si="1">IF(ISERROR(VLOOKUP($X13,ess_act,C$6,FALSE)),0,VLOOKUP($X13,ess_act,C$6,FALSE))+IF(ISERROR(VLOOKUP($Z13,ess_act,C$6,FALSE)),0,VLOOKUP($Z13,ess_act,C$6,FALSE))+IF(ISERROR(VLOOKUP($Y13,ess_act,C$6,FALSE)),0,VLOOKUP($Y13,ess_act,C$6,FALSE))+IF(ISERROR(VLOOKUP($AA13,ess_act,C$6,FALSE)),0,VLOOKUP($AA13,ess_act,C$6,FALSE))</f>
        <v>0</v>
      </c>
      <c r="D13" s="114">
        <f>+C13/'P&amp;L Summary'!B$21</f>
        <v>0</v>
      </c>
      <c r="E13" s="114"/>
      <c r="F13" s="118">
        <f>IF(ISERROR(VLOOKUP($X13,ess_bud,F$6,FALSE)),0,VLOOKUP($X13,ess_bud,F$6,FALSE))+IF(ISERROR(VLOOKUP($Z13,ess_bud,F$6,FALSE)),0,VLOOKUP($Z13,ess_bud,F$6,FALSE))+IF(ISERROR(VLOOKUP($Y13,ess_bud,F$6,FALSE)),0,VLOOKUP($Y13,ess_bud,F$6,FALSE))+IF(ISERROR(VLOOKUP($AA13,ess_bud,F$6,FALSE)),0,VLOOKUP($AA13,ess_bud,F$6,FALSE))</f>
        <v>0</v>
      </c>
      <c r="G13" s="114">
        <f>+F13/'P&amp;L Summary'!E$21</f>
        <v>0</v>
      </c>
      <c r="H13" s="114">
        <f t="shared" ref="H13:H15" si="2">IF(F13=0,0,+(C13-F13)/F13)</f>
        <v>0</v>
      </c>
      <c r="I13" s="114"/>
      <c r="J13" s="118">
        <f t="shared" ref="J13:J40" si="3">IF(ISERROR(VLOOKUP($X13,ess_act,J$6,FALSE)),0,VLOOKUP($X13,ess_act,J$6,FALSE))+IF(ISERROR(VLOOKUP($Z13,ess_act,J$6,FALSE)),0,VLOOKUP($Z13,ess_act,J$6,FALSE))+IF(ISERROR(VLOOKUP($Y13,ess_act,J$6,FALSE)),0,VLOOKUP($Y13,ess_act,J$6,FALSE))+IF(ISERROR(VLOOKUP($AA13,ess_act,J$6,FALSE)),0,VLOOKUP($AA13,ess_act,J$6,FALSE))</f>
        <v>0</v>
      </c>
      <c r="K13" s="114">
        <f>+J13/'P&amp;L Summary'!I$21</f>
        <v>0</v>
      </c>
      <c r="L13" s="116">
        <f t="shared" ref="L13:L15" si="4">IF(J13=0,0,+(C13-J13)/J13)</f>
        <v>0</v>
      </c>
      <c r="M13" s="115"/>
      <c r="N13" s="125">
        <f t="shared" ref="N13:N40" si="5">IF(ISERROR(VLOOKUP($X13,ess_act,N$6,FALSE)),0,VLOOKUP($X13,ess_act,N$6,FALSE))+IF(ISERROR(VLOOKUP($Z13,ess_act,N$6,FALSE)),0,VLOOKUP($Z13,ess_act,N$6,FALSE))+IF(ISERROR(VLOOKUP($Y13,ess_act,N$6,FALSE)),0,VLOOKUP($Y13,ess_act,N$6,FALSE))+IF(ISERROR(VLOOKUP($AA13,ess_act,N$6,FALSE)),0,VLOOKUP($AA13,ess_act,N$6,FALSE))</f>
        <v>0</v>
      </c>
      <c r="O13" s="114">
        <f>+N13/'P&amp;L Summary'!M$21</f>
        <v>0</v>
      </c>
      <c r="P13" s="114"/>
      <c r="Q13" s="74">
        <f>IF(ISERROR(VLOOKUP($X13,ess_bud,Q$6,FALSE)),0,VLOOKUP($X13,ess_bud,Q$6,FALSE))+IF(ISERROR(VLOOKUP($Z13,ess_bud,Q$6,FALSE)),0,VLOOKUP($Z13,ess_bud,Q$6,FALSE))+IF(ISERROR(VLOOKUP($Y13,ess_bud,Q$6,FALSE)),0,VLOOKUP($Y13,ess_bud,Q$6,FALSE))+IF(ISERROR(VLOOKUP($AA13,ess_bud,Q$6,FALSE)),0,VLOOKUP($AA13,ess_bud,Q$6,FALSE))</f>
        <v>0</v>
      </c>
      <c r="R13" s="114">
        <f>+Q13/'P&amp;L Summary'!P$21</f>
        <v>0</v>
      </c>
      <c r="S13" s="114">
        <f t="shared" ref="S13:S27" si="6">+IF(Q13=0,0,(N13-Q13)/Q13)</f>
        <v>0</v>
      </c>
      <c r="T13" s="114"/>
      <c r="U13" s="126">
        <f t="shared" ref="U13:U40" si="7">IF(ISERROR(VLOOKUP($X13,ess_act,U$6,FALSE)),0,VLOOKUP($X13,ess_act,U$6,FALSE))+IF(ISERROR(VLOOKUP($Z13,ess_act,U$6,FALSE)),0,VLOOKUP($Z13,ess_act,U$6,FALSE))+IF(ISERROR(VLOOKUP($Y13,ess_act,U$6,FALSE)),0,VLOOKUP($Y13,ess_act,U$6,FALSE))+IF(ISERROR(VLOOKUP($AA13,ess_act,U$6,FALSE)),0,VLOOKUP($AA13,ess_act,U$6,FALSE))</f>
        <v>0</v>
      </c>
      <c r="V13" s="114">
        <f>+U13/'P&amp;L Summary'!T$21</f>
        <v>0</v>
      </c>
      <c r="W13" s="116">
        <f t="shared" ref="W13:W24" si="8">+IF(U13=0,0,(N13-U13)/U13)</f>
        <v>0</v>
      </c>
      <c r="X13" s="2" t="str">
        <f t="shared" ref="X13:X40" si="9">A13&amp;$A$9</f>
        <v>42200CW</v>
      </c>
      <c r="Y13" s="2" t="str">
        <f t="shared" ref="Y13:Y40" si="10">A13&amp;$Y$6</f>
        <v>42200CO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ht="12.75" customHeight="1">
      <c r="A14" s="124">
        <v>43500.0</v>
      </c>
      <c r="B14" s="8" t="s">
        <v>98</v>
      </c>
      <c r="C14" s="125">
        <f t="shared" si="1"/>
        <v>0</v>
      </c>
      <c r="D14" s="114">
        <f>+C14/'P&amp;L Summary'!B$21</f>
        <v>0</v>
      </c>
      <c r="E14" s="114"/>
      <c r="F14" s="118">
        <f>IF(ISERROR(VLOOKUP($X14,ess_bud,F$6,FALSE)),0,VLOOKUP($X14,ess_bud,F$6,FALSE))+IF(ISERROR(VLOOKUP($Z14,ess_bud,F$6,FALSE)),0,VLOOKUP($Z14,ess_bud,F$6,FALSE))+IF(ISERROR(VLOOKUP($Y14,ess_bud,F$6,FALSE)),0,VLOOKUP($Y14,ess_bud,F$6,FALSE))+IF(ISERROR(VLOOKUP($AA14,ess_bud,F$6,FALSE)),0,VLOOKUP($AA14,ess_bud,F$6,FALSE))</f>
        <v>0</v>
      </c>
      <c r="G14" s="114">
        <f>+F14/'P&amp;L Summary'!E$21</f>
        <v>0</v>
      </c>
      <c r="H14" s="114">
        <f t="shared" si="2"/>
        <v>0</v>
      </c>
      <c r="I14" s="114"/>
      <c r="J14" s="118">
        <f t="shared" si="3"/>
        <v>0</v>
      </c>
      <c r="K14" s="114">
        <f>+J14/'P&amp;L Summary'!I$21</f>
        <v>0</v>
      </c>
      <c r="L14" s="116">
        <f t="shared" si="4"/>
        <v>0</v>
      </c>
      <c r="M14" s="115"/>
      <c r="N14" s="125">
        <f t="shared" si="5"/>
        <v>0</v>
      </c>
      <c r="O14" s="114">
        <f>+N14/'P&amp;L Summary'!M$21</f>
        <v>0</v>
      </c>
      <c r="P14" s="114"/>
      <c r="Q14" s="74">
        <f>IF(ISERROR(VLOOKUP($X14,ess_bud,Q$6,FALSE)),0,VLOOKUP($X14,ess_bud,Q$6,FALSE))+IF(ISERROR(VLOOKUP($Z14,ess_bud,Q$6,FALSE)),0,VLOOKUP($Z14,ess_bud,Q$6,FALSE))+IF(ISERROR(VLOOKUP($Y14,ess_bud,Q$6,FALSE)),0,VLOOKUP($Y14,ess_bud,Q$6,FALSE))+IF(ISERROR(VLOOKUP($AA14,ess_bud,Q$6,FALSE)),0,VLOOKUP($AA14,ess_bud,Q$6,FALSE))</f>
        <v>0</v>
      </c>
      <c r="R14" s="114">
        <f>+Q14/'P&amp;L Summary'!P$21</f>
        <v>0</v>
      </c>
      <c r="S14" s="114">
        <f t="shared" si="6"/>
        <v>0</v>
      </c>
      <c r="T14" s="114"/>
      <c r="U14" s="126">
        <f t="shared" si="7"/>
        <v>0</v>
      </c>
      <c r="V14" s="114">
        <f>+U14/'P&amp;L Summary'!T$21</f>
        <v>0</v>
      </c>
      <c r="W14" s="116">
        <f t="shared" si="8"/>
        <v>0</v>
      </c>
      <c r="X14" s="2" t="str">
        <f t="shared" si="9"/>
        <v>43500CW</v>
      </c>
      <c r="Y14" s="2" t="str">
        <f t="shared" si="10"/>
        <v>43500CO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ht="12.75" customHeight="1">
      <c r="A15" s="124">
        <v>45101.0</v>
      </c>
      <c r="B15" s="8" t="s">
        <v>100</v>
      </c>
      <c r="C15" s="125">
        <f t="shared" si="1"/>
        <v>0</v>
      </c>
      <c r="D15" s="114">
        <f>+C15/'P&amp;L Summary'!B$21</f>
        <v>0</v>
      </c>
      <c r="E15" s="114"/>
      <c r="F15" s="118">
        <f>IF(ISERROR(VLOOKUP($X15,ess_bud,F$6,FALSE)),0,VLOOKUP($X15,ess_bud,F$6,FALSE))+IF(ISERROR(VLOOKUP($Z15,ess_bud,F$6,FALSE)),0,VLOOKUP($Z15,ess_bud,F$6,FALSE))+IF(ISERROR(VLOOKUP($Y15,ess_bud,F$6,FALSE)),0,VLOOKUP($Y15,ess_bud,F$6,FALSE))+IF(ISERROR(VLOOKUP($AA15,ess_bud,F$6,FALSE)),0,VLOOKUP($AA15,ess_bud,F$6,FALSE))</f>
        <v>0</v>
      </c>
      <c r="G15" s="114">
        <f>+F15/'P&amp;L Summary'!E$21</f>
        <v>0</v>
      </c>
      <c r="H15" s="114">
        <f t="shared" si="2"/>
        <v>0</v>
      </c>
      <c r="I15" s="114"/>
      <c r="J15" s="118">
        <f t="shared" si="3"/>
        <v>0</v>
      </c>
      <c r="K15" s="114">
        <f>+J15/'P&amp;L Summary'!I$21</f>
        <v>0</v>
      </c>
      <c r="L15" s="116">
        <f t="shared" si="4"/>
        <v>0</v>
      </c>
      <c r="M15" s="115"/>
      <c r="N15" s="125">
        <f t="shared" si="5"/>
        <v>0</v>
      </c>
      <c r="O15" s="114">
        <f>+N15/'P&amp;L Summary'!M$21</f>
        <v>0</v>
      </c>
      <c r="P15" s="114"/>
      <c r="Q15" s="74">
        <f>IF(ISERROR(VLOOKUP($X15,ess_bud,Q$6,FALSE)),0,VLOOKUP($X15,ess_bud,Q$6,FALSE))+IF(ISERROR(VLOOKUP($Z15,ess_bud,Q$6,FALSE)),0,VLOOKUP($Z15,ess_bud,Q$6,FALSE))+IF(ISERROR(VLOOKUP($Y15,ess_bud,Q$6,FALSE)),0,VLOOKUP($Y15,ess_bud,Q$6,FALSE))+IF(ISERROR(VLOOKUP($AA15,ess_bud,Q$6,FALSE)),0,VLOOKUP($AA15,ess_bud,Q$6,FALSE))</f>
        <v>0</v>
      </c>
      <c r="R15" s="114">
        <f>+Q15/'P&amp;L Summary'!P$21</f>
        <v>0</v>
      </c>
      <c r="S15" s="114">
        <f t="shared" si="6"/>
        <v>0</v>
      </c>
      <c r="T15" s="114"/>
      <c r="U15" s="126">
        <f t="shared" si="7"/>
        <v>0</v>
      </c>
      <c r="V15" s="114">
        <f>+U15/'P&amp;L Summary'!T$21</f>
        <v>0</v>
      </c>
      <c r="W15" s="116">
        <f t="shared" si="8"/>
        <v>0</v>
      </c>
      <c r="X15" s="2" t="str">
        <f t="shared" si="9"/>
        <v>45101CW</v>
      </c>
      <c r="Y15" s="2" t="str">
        <f t="shared" si="10"/>
        <v>45101CO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ht="12.75" customHeight="1">
      <c r="A16" s="124">
        <v>45303.0</v>
      </c>
      <c r="B16" s="8" t="s">
        <v>80</v>
      </c>
      <c r="C16" s="125">
        <f t="shared" si="1"/>
        <v>0</v>
      </c>
      <c r="D16" s="114">
        <f>+C16/'P&amp;L Summary'!B$21</f>
        <v>0</v>
      </c>
      <c r="E16" s="114"/>
      <c r="F16" s="118">
        <f>IF(ISERROR(VLOOKUP($X16,ess_bud,F$6,FALSE)),0,VLOOKUP($X16,ess_bud,F$6,FALSE))+IF(ISERROR(VLOOKUP($Z16,ess_bud,F$6,FALSE)),0,VLOOKUP($Z16,ess_bud,F$6,FALSE))+IF(ISERROR(VLOOKUP($Y16,ess_bud,F$6,FALSE)),0,VLOOKUP($Y16,ess_bud,F$6,FALSE))+IF(ISERROR(VLOOKUP($AA16,ess_bud,F$6,FALSE)),0,VLOOKUP($AA16,ess_bud,F$6,FALSE))</f>
        <v>0</v>
      </c>
      <c r="G16" s="114">
        <f>+F16/'P&amp;L Summary'!E$21</f>
        <v>0</v>
      </c>
      <c r="H16" s="114">
        <f>IF(F17=0,0,+(C17-F17)/F17)</f>
        <v>0</v>
      </c>
      <c r="I16" s="114"/>
      <c r="J16" s="118">
        <f t="shared" si="3"/>
        <v>0</v>
      </c>
      <c r="K16" s="114">
        <f>+J16/'P&amp;L Summary'!I$21</f>
        <v>0</v>
      </c>
      <c r="L16" s="116">
        <f>IF(J17=0,0,+(C17-J17)/J17)</f>
        <v>0</v>
      </c>
      <c r="M16" s="115"/>
      <c r="N16" s="125">
        <f t="shared" si="5"/>
        <v>0</v>
      </c>
      <c r="O16" s="114">
        <f>+N16/'P&amp;L Summary'!M$21</f>
        <v>0</v>
      </c>
      <c r="P16" s="114"/>
      <c r="Q16" s="74">
        <f>IF(ISERROR(VLOOKUP($X16,ess_bud,Q$6,FALSE)),0,VLOOKUP($X16,ess_bud,Q$6,FALSE))+IF(ISERROR(VLOOKUP($Z16,ess_bud,Q$6,FALSE)),0,VLOOKUP($Z16,ess_bud,Q$6,FALSE))+IF(ISERROR(VLOOKUP($Y16,ess_bud,Q$6,FALSE)),0,VLOOKUP($Y16,ess_bud,Q$6,FALSE))+IF(ISERROR(VLOOKUP($AA16,ess_bud,Q$6,FALSE)),0,VLOOKUP($AA16,ess_bud,Q$6,FALSE))</f>
        <v>0</v>
      </c>
      <c r="R16" s="114">
        <f>+Q16/'P&amp;L Summary'!P$21</f>
        <v>0</v>
      </c>
      <c r="S16" s="114">
        <f t="shared" si="6"/>
        <v>0</v>
      </c>
      <c r="T16" s="114"/>
      <c r="U16" s="126">
        <f t="shared" si="7"/>
        <v>0</v>
      </c>
      <c r="V16" s="114">
        <f>+U16/'P&amp;L Summary'!T$21</f>
        <v>0</v>
      </c>
      <c r="W16" s="116">
        <f t="shared" si="8"/>
        <v>0</v>
      </c>
      <c r="X16" s="2" t="str">
        <f t="shared" si="9"/>
        <v>45303CW</v>
      </c>
      <c r="Y16" s="2" t="str">
        <f t="shared" si="10"/>
        <v>45303CO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ht="12.75" customHeight="1">
      <c r="A17" s="124">
        <v>45403.0</v>
      </c>
      <c r="B17" s="8" t="s">
        <v>104</v>
      </c>
      <c r="C17" s="125">
        <f t="shared" si="1"/>
        <v>0</v>
      </c>
      <c r="D17" s="114">
        <f>+C17/'P&amp;L Summary'!B$21</f>
        <v>0</v>
      </c>
      <c r="E17" s="114"/>
      <c r="F17" s="118">
        <f>IF(ISERROR(VLOOKUP($X17,ess_bud,F$6,FALSE)),0,VLOOKUP($X17,ess_bud,F$6,FALSE))+IF(ISERROR(VLOOKUP($Z17,ess_bud,F$6,FALSE)),0,VLOOKUP($Z17,ess_bud,F$6,FALSE))+IF(ISERROR(VLOOKUP($Y17,ess_bud,F$6,FALSE)),0,VLOOKUP($Y17,ess_bud,F$6,FALSE))+IF(ISERROR(VLOOKUP($AA17,ess_bud,F$6,FALSE)),0,VLOOKUP($AA17,ess_bud,F$6,FALSE))</f>
        <v>0</v>
      </c>
      <c r="G17" s="114">
        <f>+F17/'P&amp;L Summary'!E$21</f>
        <v>0</v>
      </c>
      <c r="H17" s="114">
        <f t="shared" ref="H17:H24" si="11">IF(F17=0,0,+(C17-F17)/F17)</f>
        <v>0</v>
      </c>
      <c r="I17" s="114"/>
      <c r="J17" s="118">
        <f t="shared" si="3"/>
        <v>0</v>
      </c>
      <c r="K17" s="114">
        <f>+J17/'P&amp;L Summary'!I$21</f>
        <v>0</v>
      </c>
      <c r="L17" s="116">
        <f t="shared" ref="L17:L24" si="12">IF(J17=0,0,+(C17-J17)/J17)</f>
        <v>0</v>
      </c>
      <c r="M17" s="115"/>
      <c r="N17" s="125">
        <f t="shared" si="5"/>
        <v>0</v>
      </c>
      <c r="O17" s="114">
        <f>+N17/'P&amp;L Summary'!M$21</f>
        <v>0</v>
      </c>
      <c r="P17" s="114"/>
      <c r="Q17" s="74">
        <f>IF(ISERROR(VLOOKUP($X17,ess_bud,Q$6,FALSE)),0,VLOOKUP($X17,ess_bud,Q$6,FALSE))+IF(ISERROR(VLOOKUP($Z17,ess_bud,Q$6,FALSE)),0,VLOOKUP($Z17,ess_bud,Q$6,FALSE))+IF(ISERROR(VLOOKUP($Y17,ess_bud,Q$6,FALSE)),0,VLOOKUP($Y17,ess_bud,Q$6,FALSE))+IF(ISERROR(VLOOKUP($AA17,ess_bud,Q$6,FALSE)),0,VLOOKUP($AA17,ess_bud,Q$6,FALSE))</f>
        <v>0</v>
      </c>
      <c r="R17" s="114">
        <f>+Q17/'P&amp;L Summary'!P$21</f>
        <v>0</v>
      </c>
      <c r="S17" s="114">
        <f t="shared" si="6"/>
        <v>0</v>
      </c>
      <c r="T17" s="114"/>
      <c r="U17" s="126">
        <f t="shared" si="7"/>
        <v>0</v>
      </c>
      <c r="V17" s="114">
        <f>+U17/'P&amp;L Summary'!T$21</f>
        <v>0</v>
      </c>
      <c r="W17" s="116">
        <f t="shared" si="8"/>
        <v>0</v>
      </c>
      <c r="X17" s="2" t="str">
        <f t="shared" si="9"/>
        <v>45403CW</v>
      </c>
      <c r="Y17" s="2" t="str">
        <f t="shared" si="10"/>
        <v>45403CO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ht="12.75" customHeight="1">
      <c r="A18" s="124">
        <v>45700.0</v>
      </c>
      <c r="B18" s="8" t="s">
        <v>81</v>
      </c>
      <c r="C18" s="125">
        <f t="shared" si="1"/>
        <v>0</v>
      </c>
      <c r="D18" s="114">
        <f>+C18/'P&amp;L Summary'!B$21</f>
        <v>0</v>
      </c>
      <c r="E18" s="114"/>
      <c r="F18" s="118">
        <f>IF(ISERROR(VLOOKUP($X18,ess_bud,F$6,FALSE)),0,VLOOKUP($X18,ess_bud,F$6,FALSE))+IF(ISERROR(VLOOKUP($Z18,ess_bud,F$6,FALSE)),0,VLOOKUP($Z18,ess_bud,F$6,FALSE))+IF(ISERROR(VLOOKUP($Y18,ess_bud,F$6,FALSE)),0,VLOOKUP($Y18,ess_bud,F$6,FALSE))+IF(ISERROR(VLOOKUP($AA18,ess_bud,F$6,FALSE)),0,VLOOKUP($AA18,ess_bud,F$6,FALSE))</f>
        <v>0</v>
      </c>
      <c r="G18" s="114">
        <f>+F18/'P&amp;L Summary'!E$21</f>
        <v>0</v>
      </c>
      <c r="H18" s="114">
        <f t="shared" si="11"/>
        <v>0</v>
      </c>
      <c r="I18" s="114"/>
      <c r="J18" s="118">
        <f t="shared" si="3"/>
        <v>0</v>
      </c>
      <c r="K18" s="114">
        <f>+J18/'P&amp;L Summary'!I$21</f>
        <v>0</v>
      </c>
      <c r="L18" s="116">
        <f t="shared" si="12"/>
        <v>0</v>
      </c>
      <c r="M18" s="115"/>
      <c r="N18" s="125">
        <f t="shared" si="5"/>
        <v>0</v>
      </c>
      <c r="O18" s="114">
        <f>+N18/'P&amp;L Summary'!M$21</f>
        <v>0</v>
      </c>
      <c r="P18" s="114"/>
      <c r="Q18" s="74">
        <f>IF(ISERROR(VLOOKUP($X18,ess_bud,Q$6,FALSE)),0,VLOOKUP($X18,ess_bud,Q$6,FALSE))+IF(ISERROR(VLOOKUP($Z18,ess_bud,Q$6,FALSE)),0,VLOOKUP($Z18,ess_bud,Q$6,FALSE))+IF(ISERROR(VLOOKUP($Y18,ess_bud,Q$6,FALSE)),0,VLOOKUP($Y18,ess_bud,Q$6,FALSE))+IF(ISERROR(VLOOKUP($AA18,ess_bud,Q$6,FALSE)),0,VLOOKUP($AA18,ess_bud,Q$6,FALSE))</f>
        <v>0</v>
      </c>
      <c r="R18" s="114">
        <f>+Q18/'P&amp;L Summary'!P$21</f>
        <v>0</v>
      </c>
      <c r="S18" s="114">
        <f t="shared" si="6"/>
        <v>0</v>
      </c>
      <c r="T18" s="114"/>
      <c r="U18" s="126">
        <f t="shared" si="7"/>
        <v>0</v>
      </c>
      <c r="V18" s="114">
        <f>+U18/'P&amp;L Summary'!T$21</f>
        <v>0</v>
      </c>
      <c r="W18" s="116">
        <f t="shared" si="8"/>
        <v>0</v>
      </c>
      <c r="X18" s="2" t="str">
        <f t="shared" si="9"/>
        <v>45700CW</v>
      </c>
      <c r="Y18" s="2" t="str">
        <f t="shared" si="10"/>
        <v>45700CO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ht="12.75" customHeight="1">
      <c r="A19" s="124">
        <v>45701.0</v>
      </c>
      <c r="B19" s="8" t="s">
        <v>82</v>
      </c>
      <c r="C19" s="125">
        <f t="shared" si="1"/>
        <v>0</v>
      </c>
      <c r="D19" s="114">
        <f>+C19/'P&amp;L Summary'!B$21</f>
        <v>0</v>
      </c>
      <c r="E19" s="114"/>
      <c r="F19" s="118">
        <f>IF(ISERROR(VLOOKUP($X19,ess_bud,F$6,FALSE)),0,VLOOKUP($X19,ess_bud,F$6,FALSE))+IF(ISERROR(VLOOKUP($Z19,ess_bud,F$6,FALSE)),0,VLOOKUP($Z19,ess_bud,F$6,FALSE))+IF(ISERROR(VLOOKUP($Y19,ess_bud,F$6,FALSE)),0,VLOOKUP($Y19,ess_bud,F$6,FALSE))+IF(ISERROR(VLOOKUP($AA19,ess_bud,F$6,FALSE)),0,VLOOKUP($AA19,ess_bud,F$6,FALSE))</f>
        <v>0</v>
      </c>
      <c r="G19" s="114">
        <f>+F19/'P&amp;L Summary'!E$21</f>
        <v>0</v>
      </c>
      <c r="H19" s="114">
        <f t="shared" si="11"/>
        <v>0</v>
      </c>
      <c r="I19" s="114"/>
      <c r="J19" s="118">
        <f t="shared" si="3"/>
        <v>0</v>
      </c>
      <c r="K19" s="114">
        <f>+J19/'P&amp;L Summary'!I$21</f>
        <v>0</v>
      </c>
      <c r="L19" s="116">
        <f t="shared" si="12"/>
        <v>0</v>
      </c>
      <c r="M19" s="115"/>
      <c r="N19" s="125">
        <f t="shared" si="5"/>
        <v>0</v>
      </c>
      <c r="O19" s="114">
        <f>+N19/'P&amp;L Summary'!M$21</f>
        <v>0</v>
      </c>
      <c r="P19" s="114"/>
      <c r="Q19" s="74">
        <f>IF(ISERROR(VLOOKUP($X19,ess_bud,Q$6,FALSE)),0,VLOOKUP($X19,ess_bud,Q$6,FALSE))+IF(ISERROR(VLOOKUP($Z19,ess_bud,Q$6,FALSE)),0,VLOOKUP($Z19,ess_bud,Q$6,FALSE))+IF(ISERROR(VLOOKUP($Y19,ess_bud,Q$6,FALSE)),0,VLOOKUP($Y19,ess_bud,Q$6,FALSE))+IF(ISERROR(VLOOKUP($AA19,ess_bud,Q$6,FALSE)),0,VLOOKUP($AA19,ess_bud,Q$6,FALSE))</f>
        <v>0</v>
      </c>
      <c r="R19" s="114">
        <f>+Q19/'P&amp;L Summary'!P$21</f>
        <v>0</v>
      </c>
      <c r="S19" s="114">
        <f t="shared" si="6"/>
        <v>0</v>
      </c>
      <c r="T19" s="114"/>
      <c r="U19" s="126">
        <f t="shared" si="7"/>
        <v>0</v>
      </c>
      <c r="V19" s="114">
        <f>+U19/'P&amp;L Summary'!T$21</f>
        <v>0</v>
      </c>
      <c r="W19" s="116">
        <f t="shared" si="8"/>
        <v>0</v>
      </c>
      <c r="X19" s="2" t="str">
        <f t="shared" si="9"/>
        <v>45701CW</v>
      </c>
      <c r="Y19" s="2" t="str">
        <f t="shared" si="10"/>
        <v>45701CO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ht="12.75" customHeight="1">
      <c r="A20" s="124">
        <v>45702.0</v>
      </c>
      <c r="B20" s="8" t="s">
        <v>112</v>
      </c>
      <c r="C20" s="125">
        <f t="shared" si="1"/>
        <v>0</v>
      </c>
      <c r="D20" s="114">
        <f>+C20/'P&amp;L Summary'!B$21</f>
        <v>0</v>
      </c>
      <c r="E20" s="114"/>
      <c r="F20" s="118">
        <f>IF(ISERROR(VLOOKUP($X20,ess_bud,F$6,FALSE)),0,VLOOKUP($X20,ess_bud,F$6,FALSE))+IF(ISERROR(VLOOKUP($Z20,ess_bud,F$6,FALSE)),0,VLOOKUP($Z20,ess_bud,F$6,FALSE))+IF(ISERROR(VLOOKUP($Y20,ess_bud,F$6,FALSE)),0,VLOOKUP($Y20,ess_bud,F$6,FALSE))+IF(ISERROR(VLOOKUP($AA20,ess_bud,F$6,FALSE)),0,VLOOKUP($AA20,ess_bud,F$6,FALSE))</f>
        <v>0</v>
      </c>
      <c r="G20" s="114">
        <f>+F20/'P&amp;L Summary'!E$21</f>
        <v>0</v>
      </c>
      <c r="H20" s="114">
        <f t="shared" si="11"/>
        <v>0</v>
      </c>
      <c r="I20" s="114"/>
      <c r="J20" s="118">
        <f t="shared" si="3"/>
        <v>0</v>
      </c>
      <c r="K20" s="114">
        <f>+J20/'P&amp;L Summary'!I$21</f>
        <v>0</v>
      </c>
      <c r="L20" s="116">
        <f t="shared" si="12"/>
        <v>0</v>
      </c>
      <c r="M20" s="115"/>
      <c r="N20" s="125">
        <f t="shared" si="5"/>
        <v>0</v>
      </c>
      <c r="O20" s="114">
        <f>+N20/'P&amp;L Summary'!M$21</f>
        <v>0</v>
      </c>
      <c r="P20" s="114"/>
      <c r="Q20" s="74">
        <f>IF(ISERROR(VLOOKUP($X20,ess_bud,Q$6,FALSE)),0,VLOOKUP($X20,ess_bud,Q$6,FALSE))+IF(ISERROR(VLOOKUP($Z20,ess_bud,Q$6,FALSE)),0,VLOOKUP($Z20,ess_bud,Q$6,FALSE))+IF(ISERROR(VLOOKUP($Y20,ess_bud,Q$6,FALSE)),0,VLOOKUP($Y20,ess_bud,Q$6,FALSE))+IF(ISERROR(VLOOKUP($AA20,ess_bud,Q$6,FALSE)),0,VLOOKUP($AA20,ess_bud,Q$6,FALSE))</f>
        <v>0</v>
      </c>
      <c r="R20" s="114">
        <f>+Q20/'P&amp;L Summary'!P$21</f>
        <v>0</v>
      </c>
      <c r="S20" s="114">
        <f t="shared" si="6"/>
        <v>0</v>
      </c>
      <c r="T20" s="114"/>
      <c r="U20" s="126">
        <f t="shared" si="7"/>
        <v>0</v>
      </c>
      <c r="V20" s="114">
        <f>+U20/'P&amp;L Summary'!T$21</f>
        <v>0</v>
      </c>
      <c r="W20" s="116">
        <f t="shared" si="8"/>
        <v>0</v>
      </c>
      <c r="X20" s="2" t="str">
        <f t="shared" si="9"/>
        <v>45702CW</v>
      </c>
      <c r="Y20" s="2" t="str">
        <f t="shared" si="10"/>
        <v>45702CO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ht="12.75" customHeight="1">
      <c r="A21" s="124">
        <v>45703.0</v>
      </c>
      <c r="B21" s="8" t="s">
        <v>113</v>
      </c>
      <c r="C21" s="125">
        <f t="shared" si="1"/>
        <v>0</v>
      </c>
      <c r="D21" s="114">
        <f>+C21/'P&amp;L Summary'!B$21</f>
        <v>0</v>
      </c>
      <c r="E21" s="114"/>
      <c r="F21" s="118">
        <f>IF(ISERROR(VLOOKUP($X21,ess_bud,F$6,FALSE)),0,VLOOKUP($X21,ess_bud,F$6,FALSE))+IF(ISERROR(VLOOKUP($Z21,ess_bud,F$6,FALSE)),0,VLOOKUP($Z21,ess_bud,F$6,FALSE))+IF(ISERROR(VLOOKUP($Y21,ess_bud,F$6,FALSE)),0,VLOOKUP($Y21,ess_bud,F$6,FALSE))+IF(ISERROR(VLOOKUP($AA21,ess_bud,F$6,FALSE)),0,VLOOKUP($AA21,ess_bud,F$6,FALSE))</f>
        <v>0</v>
      </c>
      <c r="G21" s="114">
        <f>+F21/'P&amp;L Summary'!E$21</f>
        <v>0</v>
      </c>
      <c r="H21" s="114">
        <f t="shared" si="11"/>
        <v>0</v>
      </c>
      <c r="I21" s="114"/>
      <c r="J21" s="118">
        <f t="shared" si="3"/>
        <v>0</v>
      </c>
      <c r="K21" s="114">
        <f>+J21/'P&amp;L Summary'!I$21</f>
        <v>0</v>
      </c>
      <c r="L21" s="116">
        <f t="shared" si="12"/>
        <v>0</v>
      </c>
      <c r="M21" s="115"/>
      <c r="N21" s="125">
        <f t="shared" si="5"/>
        <v>0</v>
      </c>
      <c r="O21" s="114">
        <f>+N21/'P&amp;L Summary'!M$21</f>
        <v>0</v>
      </c>
      <c r="P21" s="114"/>
      <c r="Q21" s="74">
        <f>IF(ISERROR(VLOOKUP($X21,ess_bud,Q$6,FALSE)),0,VLOOKUP($X21,ess_bud,Q$6,FALSE))+IF(ISERROR(VLOOKUP($Z21,ess_bud,Q$6,FALSE)),0,VLOOKUP($Z21,ess_bud,Q$6,FALSE))+IF(ISERROR(VLOOKUP($Y21,ess_bud,Q$6,FALSE)),0,VLOOKUP($Y21,ess_bud,Q$6,FALSE))+IF(ISERROR(VLOOKUP($AA21,ess_bud,Q$6,FALSE)),0,VLOOKUP($AA21,ess_bud,Q$6,FALSE))</f>
        <v>0</v>
      </c>
      <c r="R21" s="114">
        <f>+Q21/'P&amp;L Summary'!P$21</f>
        <v>0</v>
      </c>
      <c r="S21" s="114">
        <f t="shared" si="6"/>
        <v>0</v>
      </c>
      <c r="T21" s="114"/>
      <c r="U21" s="126">
        <f t="shared" si="7"/>
        <v>0</v>
      </c>
      <c r="V21" s="114">
        <f>+U21/'P&amp;L Summary'!T$21</f>
        <v>0</v>
      </c>
      <c r="W21" s="116">
        <f t="shared" si="8"/>
        <v>0</v>
      </c>
      <c r="X21" s="2" t="str">
        <f t="shared" si="9"/>
        <v>45703CW</v>
      </c>
      <c r="Y21" s="2" t="str">
        <f t="shared" si="10"/>
        <v>45703CO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ht="12.75" customHeight="1">
      <c r="A22" s="124">
        <v>45704.0</v>
      </c>
      <c r="B22" s="8" t="s">
        <v>114</v>
      </c>
      <c r="C22" s="125">
        <f t="shared" si="1"/>
        <v>0</v>
      </c>
      <c r="D22" s="114">
        <f>+C22/'P&amp;L Summary'!B$21</f>
        <v>0</v>
      </c>
      <c r="E22" s="114"/>
      <c r="F22" s="118">
        <f>IF(ISERROR(VLOOKUP($X22,ess_bud,F$6,FALSE)),0,VLOOKUP($X22,ess_bud,F$6,FALSE))+IF(ISERROR(VLOOKUP($Z22,ess_bud,F$6,FALSE)),0,VLOOKUP($Z22,ess_bud,F$6,FALSE))+IF(ISERROR(VLOOKUP($Y22,ess_bud,F$6,FALSE)),0,VLOOKUP($Y22,ess_bud,F$6,FALSE))+IF(ISERROR(VLOOKUP($AA22,ess_bud,F$6,FALSE)),0,VLOOKUP($AA22,ess_bud,F$6,FALSE))</f>
        <v>0</v>
      </c>
      <c r="G22" s="114">
        <f>+F22/'P&amp;L Summary'!E$21</f>
        <v>0</v>
      </c>
      <c r="H22" s="114">
        <f t="shared" si="11"/>
        <v>0</v>
      </c>
      <c r="I22" s="114"/>
      <c r="J22" s="118">
        <f t="shared" si="3"/>
        <v>0</v>
      </c>
      <c r="K22" s="114">
        <f>+J22/'P&amp;L Summary'!I$21</f>
        <v>0</v>
      </c>
      <c r="L22" s="116">
        <f t="shared" si="12"/>
        <v>0</v>
      </c>
      <c r="M22" s="115"/>
      <c r="N22" s="125">
        <f t="shared" si="5"/>
        <v>0</v>
      </c>
      <c r="O22" s="114">
        <f>+N22/'P&amp;L Summary'!M$21</f>
        <v>0</v>
      </c>
      <c r="P22" s="114"/>
      <c r="Q22" s="74">
        <f>IF(ISERROR(VLOOKUP($X22,ess_bud,Q$6,FALSE)),0,VLOOKUP($X22,ess_bud,Q$6,FALSE))+IF(ISERROR(VLOOKUP($Z22,ess_bud,Q$6,FALSE)),0,VLOOKUP($Z22,ess_bud,Q$6,FALSE))+IF(ISERROR(VLOOKUP($Y22,ess_bud,Q$6,FALSE)),0,VLOOKUP($Y22,ess_bud,Q$6,FALSE))+IF(ISERROR(VLOOKUP($AA22,ess_bud,Q$6,FALSE)),0,VLOOKUP($AA22,ess_bud,Q$6,FALSE))</f>
        <v>0</v>
      </c>
      <c r="R22" s="114">
        <f>+Q22/'P&amp;L Summary'!P$21</f>
        <v>0</v>
      </c>
      <c r="S22" s="114">
        <f t="shared" si="6"/>
        <v>0</v>
      </c>
      <c r="T22" s="114"/>
      <c r="U22" s="126">
        <f t="shared" si="7"/>
        <v>0</v>
      </c>
      <c r="V22" s="114">
        <f>+U22/'P&amp;L Summary'!T$21</f>
        <v>0</v>
      </c>
      <c r="W22" s="116">
        <f t="shared" si="8"/>
        <v>0</v>
      </c>
      <c r="X22" s="2" t="str">
        <f t="shared" si="9"/>
        <v>45704CW</v>
      </c>
      <c r="Y22" s="2" t="str">
        <f t="shared" si="10"/>
        <v>45704CO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ht="12.75" customHeight="1">
      <c r="A23" s="124">
        <v>45705.0</v>
      </c>
      <c r="B23" s="8" t="s">
        <v>116</v>
      </c>
      <c r="C23" s="125">
        <f t="shared" si="1"/>
        <v>0</v>
      </c>
      <c r="D23" s="114">
        <f>+C23/'P&amp;L Summary'!B$21</f>
        <v>0</v>
      </c>
      <c r="E23" s="114"/>
      <c r="F23" s="118">
        <f>IF(ISERROR(VLOOKUP($X23,ess_bud,F$6,FALSE)),0,VLOOKUP($X23,ess_bud,F$6,FALSE))+IF(ISERROR(VLOOKUP($Z23,ess_bud,F$6,FALSE)),0,VLOOKUP($Z23,ess_bud,F$6,FALSE))+IF(ISERROR(VLOOKUP($Y23,ess_bud,F$6,FALSE)),0,VLOOKUP($Y23,ess_bud,F$6,FALSE))+IF(ISERROR(VLOOKUP($AA23,ess_bud,F$6,FALSE)),0,VLOOKUP($AA23,ess_bud,F$6,FALSE))</f>
        <v>0</v>
      </c>
      <c r="G23" s="114">
        <f>+F23/'P&amp;L Summary'!E$21</f>
        <v>0</v>
      </c>
      <c r="H23" s="114">
        <f t="shared" si="11"/>
        <v>0</v>
      </c>
      <c r="I23" s="114"/>
      <c r="J23" s="118">
        <f t="shared" si="3"/>
        <v>0</v>
      </c>
      <c r="K23" s="114">
        <f>+J23/'P&amp;L Summary'!I$21</f>
        <v>0</v>
      </c>
      <c r="L23" s="116">
        <f t="shared" si="12"/>
        <v>0</v>
      </c>
      <c r="M23" s="115"/>
      <c r="N23" s="125">
        <f t="shared" si="5"/>
        <v>0</v>
      </c>
      <c r="O23" s="114">
        <f>+N23/'P&amp;L Summary'!M$21</f>
        <v>0</v>
      </c>
      <c r="P23" s="114"/>
      <c r="Q23" s="74">
        <f>IF(ISERROR(VLOOKUP($X23,ess_bud,Q$6,FALSE)),0,VLOOKUP($X23,ess_bud,Q$6,FALSE))+IF(ISERROR(VLOOKUP($Z23,ess_bud,Q$6,FALSE)),0,VLOOKUP($Z23,ess_bud,Q$6,FALSE))+IF(ISERROR(VLOOKUP($Y23,ess_bud,Q$6,FALSE)),0,VLOOKUP($Y23,ess_bud,Q$6,FALSE))+IF(ISERROR(VLOOKUP($AA23,ess_bud,Q$6,FALSE)),0,VLOOKUP($AA23,ess_bud,Q$6,FALSE))</f>
        <v>0</v>
      </c>
      <c r="R23" s="114">
        <f>+Q23/'P&amp;L Summary'!P$21</f>
        <v>0</v>
      </c>
      <c r="S23" s="114">
        <f t="shared" si="6"/>
        <v>0</v>
      </c>
      <c r="T23" s="114"/>
      <c r="U23" s="126">
        <f t="shared" si="7"/>
        <v>0</v>
      </c>
      <c r="V23" s="114">
        <f>+U23/'P&amp;L Summary'!T$21</f>
        <v>0</v>
      </c>
      <c r="W23" s="116">
        <f t="shared" si="8"/>
        <v>0</v>
      </c>
      <c r="X23" s="2" t="str">
        <f t="shared" si="9"/>
        <v>45705CW</v>
      </c>
      <c r="Y23" s="2" t="str">
        <f t="shared" si="10"/>
        <v>45705CO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ht="12.75" customHeight="1">
      <c r="A24" s="124">
        <v>45710.0</v>
      </c>
      <c r="B24" s="8" t="s">
        <v>119</v>
      </c>
      <c r="C24" s="125">
        <f t="shared" si="1"/>
        <v>0</v>
      </c>
      <c r="D24" s="114">
        <f>+C24/'P&amp;L Summary'!B$21</f>
        <v>0</v>
      </c>
      <c r="E24" s="114"/>
      <c r="F24" s="118">
        <f>IF(ISERROR(VLOOKUP($X24,ess_bud,F$6,FALSE)),0,VLOOKUP($X24,ess_bud,F$6,FALSE))+IF(ISERROR(VLOOKUP($Z24,ess_bud,F$6,FALSE)),0,VLOOKUP($Z24,ess_bud,F$6,FALSE))+IF(ISERROR(VLOOKUP($Y24,ess_bud,F$6,FALSE)),0,VLOOKUP($Y24,ess_bud,F$6,FALSE))+IF(ISERROR(VLOOKUP($AA24,ess_bud,F$6,FALSE)),0,VLOOKUP($AA24,ess_bud,F$6,FALSE))</f>
        <v>0</v>
      </c>
      <c r="G24" s="114">
        <f>+F24/'P&amp;L Summary'!E$21</f>
        <v>0</v>
      </c>
      <c r="H24" s="114">
        <f t="shared" si="11"/>
        <v>0</v>
      </c>
      <c r="I24" s="114"/>
      <c r="J24" s="118">
        <f t="shared" si="3"/>
        <v>0</v>
      </c>
      <c r="K24" s="114">
        <f>+J24/'P&amp;L Summary'!I$21</f>
        <v>0</v>
      </c>
      <c r="L24" s="116">
        <f t="shared" si="12"/>
        <v>0</v>
      </c>
      <c r="M24" s="115"/>
      <c r="N24" s="125">
        <f t="shared" si="5"/>
        <v>0</v>
      </c>
      <c r="O24" s="114">
        <f>+N24/'P&amp;L Summary'!M$21</f>
        <v>0</v>
      </c>
      <c r="P24" s="114"/>
      <c r="Q24" s="74">
        <f>IF(ISERROR(VLOOKUP($X24,ess_bud,Q$6,FALSE)),0,VLOOKUP($X24,ess_bud,Q$6,FALSE))+IF(ISERROR(VLOOKUP($Z24,ess_bud,Q$6,FALSE)),0,VLOOKUP($Z24,ess_bud,Q$6,FALSE))+IF(ISERROR(VLOOKUP($Y24,ess_bud,Q$6,FALSE)),0,VLOOKUP($Y24,ess_bud,Q$6,FALSE))+IF(ISERROR(VLOOKUP($AA24,ess_bud,Q$6,FALSE)),0,VLOOKUP($AA24,ess_bud,Q$6,FALSE))</f>
        <v>0</v>
      </c>
      <c r="R24" s="114">
        <f>+Q24/'P&amp;L Summary'!P$21</f>
        <v>0</v>
      </c>
      <c r="S24" s="114">
        <f t="shared" si="6"/>
        <v>0</v>
      </c>
      <c r="T24" s="114"/>
      <c r="U24" s="126">
        <f t="shared" si="7"/>
        <v>0</v>
      </c>
      <c r="V24" s="114">
        <f>+U24/'P&amp;L Summary'!T$21</f>
        <v>0</v>
      </c>
      <c r="W24" s="116">
        <f t="shared" si="8"/>
        <v>0</v>
      </c>
      <c r="X24" s="2" t="str">
        <f t="shared" si="9"/>
        <v>45710CW</v>
      </c>
      <c r="Y24" s="2" t="str">
        <f t="shared" si="10"/>
        <v>45710CO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ht="12.75" customHeight="1">
      <c r="A25" s="124">
        <v>45711.0</v>
      </c>
      <c r="B25" s="8" t="s">
        <v>121</v>
      </c>
      <c r="C25" s="125">
        <f t="shared" si="1"/>
        <v>0</v>
      </c>
      <c r="D25" s="114">
        <f>+C25/'P&amp;L Summary'!B$21</f>
        <v>0</v>
      </c>
      <c r="E25" s="114"/>
      <c r="F25" s="118">
        <f>IF(ISERROR(VLOOKUP($X25,ess_bud,F$6,FALSE)),0,VLOOKUP($X25,ess_bud,F$6,FALSE))+IF(ISERROR(VLOOKUP($Z25,ess_bud,F$6,FALSE)),0,VLOOKUP($Z25,ess_bud,F$6,FALSE))+IF(ISERROR(VLOOKUP($Y25,ess_bud,F$6,FALSE)),0,VLOOKUP($Y25,ess_bud,F$6,FALSE))+IF(ISERROR(VLOOKUP($AA25,ess_bud,F$6,FALSE)),0,VLOOKUP($AA25,ess_bud,F$6,FALSE))</f>
        <v>0</v>
      </c>
      <c r="G25" s="114">
        <f>+F25/'P&amp;L Summary'!E$21</f>
        <v>0</v>
      </c>
      <c r="H25" s="114"/>
      <c r="I25" s="114"/>
      <c r="J25" s="118">
        <f t="shared" si="3"/>
        <v>0</v>
      </c>
      <c r="K25" s="114">
        <f>+J25/'P&amp;L Summary'!I$21</f>
        <v>0</v>
      </c>
      <c r="L25" s="116"/>
      <c r="M25" s="115"/>
      <c r="N25" s="125">
        <f t="shared" si="5"/>
        <v>0</v>
      </c>
      <c r="O25" s="114">
        <f>+N25/'P&amp;L Summary'!M$21</f>
        <v>0</v>
      </c>
      <c r="P25" s="114"/>
      <c r="Q25" s="74">
        <f>IF(ISERROR(VLOOKUP($X25,ess_bud,Q$6,FALSE)),0,VLOOKUP($X25,ess_bud,Q$6,FALSE))+IF(ISERROR(VLOOKUP($Z25,ess_bud,Q$6,FALSE)),0,VLOOKUP($Z25,ess_bud,Q$6,FALSE))+IF(ISERROR(VLOOKUP($Y25,ess_bud,Q$6,FALSE)),0,VLOOKUP($Y25,ess_bud,Q$6,FALSE))+IF(ISERROR(VLOOKUP($AA25,ess_bud,Q$6,FALSE)),0,VLOOKUP($AA25,ess_bud,Q$6,FALSE))</f>
        <v>0</v>
      </c>
      <c r="R25" s="114">
        <f>+Q25/'P&amp;L Summary'!P$21</f>
        <v>0</v>
      </c>
      <c r="S25" s="114">
        <f t="shared" si="6"/>
        <v>0</v>
      </c>
      <c r="T25" s="114"/>
      <c r="U25" s="126">
        <f t="shared" si="7"/>
        <v>0</v>
      </c>
      <c r="V25" s="114">
        <f>+U25/'P&amp;L Summary'!T$21</f>
        <v>0</v>
      </c>
      <c r="W25" s="116"/>
      <c r="X25" s="2" t="str">
        <f t="shared" si="9"/>
        <v>45711CW</v>
      </c>
      <c r="Y25" s="2" t="str">
        <f t="shared" si="10"/>
        <v>45711CO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ht="12.75" customHeight="1">
      <c r="A26" s="124">
        <v>45712.0</v>
      </c>
      <c r="B26" s="8" t="s">
        <v>85</v>
      </c>
      <c r="C26" s="125">
        <f t="shared" si="1"/>
        <v>0</v>
      </c>
      <c r="D26" s="114">
        <f>+C26/'P&amp;L Summary'!B$21</f>
        <v>0</v>
      </c>
      <c r="E26" s="114"/>
      <c r="F26" s="118">
        <f>IF(ISERROR(VLOOKUP($X26,ess_bud,F$6,FALSE)),0,VLOOKUP($X26,ess_bud,F$6,FALSE))+IF(ISERROR(VLOOKUP($Z26,ess_bud,F$6,FALSE)),0,VLOOKUP($Z26,ess_bud,F$6,FALSE))+IF(ISERROR(VLOOKUP($Y26,ess_bud,F$6,FALSE)),0,VLOOKUP($Y26,ess_bud,F$6,FALSE))+IF(ISERROR(VLOOKUP($AA26,ess_bud,F$6,FALSE)),0,VLOOKUP($AA26,ess_bud,F$6,FALSE))</f>
        <v>0</v>
      </c>
      <c r="G26" s="114">
        <f>+F26/'P&amp;L Summary'!E$21</f>
        <v>0</v>
      </c>
      <c r="H26" s="114">
        <f>IF(F29=0,0,+(C29-F29)/F29)</f>
        <v>0</v>
      </c>
      <c r="I26" s="114"/>
      <c r="J26" s="118">
        <f t="shared" si="3"/>
        <v>0</v>
      </c>
      <c r="K26" s="114">
        <f>+J26/'P&amp;L Summary'!I$21</f>
        <v>0</v>
      </c>
      <c r="L26" s="116">
        <f>IF(J29=0,0,+(C29-J29)/J29)</f>
        <v>0</v>
      </c>
      <c r="M26" s="115"/>
      <c r="N26" s="125">
        <f t="shared" si="5"/>
        <v>0</v>
      </c>
      <c r="O26" s="114">
        <f>+N26/'P&amp;L Summary'!M$21</f>
        <v>0</v>
      </c>
      <c r="P26" s="114"/>
      <c r="Q26" s="74">
        <f>IF(ISERROR(VLOOKUP($X26,ess_bud,Q$6,FALSE)),0,VLOOKUP($X26,ess_bud,Q$6,FALSE))+IF(ISERROR(VLOOKUP($Z26,ess_bud,Q$6,FALSE)),0,VLOOKUP($Z26,ess_bud,Q$6,FALSE))+IF(ISERROR(VLOOKUP($Y26,ess_bud,Q$6,FALSE)),0,VLOOKUP($Y26,ess_bud,Q$6,FALSE))+IF(ISERROR(VLOOKUP($AA26,ess_bud,Q$6,FALSE)),0,VLOOKUP($AA26,ess_bud,Q$6,FALSE))</f>
        <v>0</v>
      </c>
      <c r="R26" s="114">
        <f>+Q26/'P&amp;L Summary'!P$21</f>
        <v>0</v>
      </c>
      <c r="S26" s="114">
        <f t="shared" si="6"/>
        <v>0</v>
      </c>
      <c r="T26" s="114"/>
      <c r="U26" s="126">
        <f t="shared" si="7"/>
        <v>0</v>
      </c>
      <c r="V26" s="114">
        <f>+U26/'P&amp;L Summary'!T$21</f>
        <v>0</v>
      </c>
      <c r="W26" s="116">
        <f t="shared" ref="W26:W27" si="13">+IF(U26=0,0,(N26-U26)/U26)</f>
        <v>0</v>
      </c>
      <c r="X26" s="2" t="str">
        <f t="shared" si="9"/>
        <v>45712CW</v>
      </c>
      <c r="Y26" s="2" t="str">
        <f t="shared" si="10"/>
        <v>45712CO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ht="12.75" customHeight="1">
      <c r="A27" s="124">
        <v>45713.0</v>
      </c>
      <c r="B27" s="8" t="s">
        <v>124</v>
      </c>
      <c r="C27" s="125">
        <f t="shared" si="1"/>
        <v>0</v>
      </c>
      <c r="D27" s="114">
        <f>+C27/'P&amp;L Summary'!B$21</f>
        <v>0</v>
      </c>
      <c r="E27" s="114"/>
      <c r="F27" s="118">
        <f>IF(ISERROR(VLOOKUP($X27,ess_bud,F$6,FALSE)),0,VLOOKUP($X27,ess_bud,F$6,FALSE))+IF(ISERROR(VLOOKUP($Z27,ess_bud,F$6,FALSE)),0,VLOOKUP($Z27,ess_bud,F$6,FALSE))+IF(ISERROR(VLOOKUP($Y27,ess_bud,F$6,FALSE)),0,VLOOKUP($Y27,ess_bud,F$6,FALSE))+IF(ISERROR(VLOOKUP($AA27,ess_bud,F$6,FALSE)),0,VLOOKUP($AA27,ess_bud,F$6,FALSE))</f>
        <v>0</v>
      </c>
      <c r="G27" s="114">
        <f>+F27/'P&amp;L Summary'!E$21</f>
        <v>0</v>
      </c>
      <c r="H27" s="114">
        <f>IF(F27=0,0,+(C27-F27)/F27)</f>
        <v>0</v>
      </c>
      <c r="I27" s="114"/>
      <c r="J27" s="118">
        <f t="shared" si="3"/>
        <v>0</v>
      </c>
      <c r="K27" s="114">
        <f>+J27/'P&amp;L Summary'!I$21</f>
        <v>0</v>
      </c>
      <c r="L27" s="116">
        <f>IF(J27=0,0,+(C27-J27)/J27)</f>
        <v>0</v>
      </c>
      <c r="M27" s="115"/>
      <c r="N27" s="125">
        <f t="shared" si="5"/>
        <v>0</v>
      </c>
      <c r="O27" s="114">
        <f>+N27/'P&amp;L Summary'!M$21</f>
        <v>0</v>
      </c>
      <c r="P27" s="114"/>
      <c r="Q27" s="74">
        <f>IF(ISERROR(VLOOKUP($X27,ess_bud,Q$6,FALSE)),0,VLOOKUP($X27,ess_bud,Q$6,FALSE))+IF(ISERROR(VLOOKUP($Z27,ess_bud,Q$6,FALSE)),0,VLOOKUP($Z27,ess_bud,Q$6,FALSE))+IF(ISERROR(VLOOKUP($Y27,ess_bud,Q$6,FALSE)),0,VLOOKUP($Y27,ess_bud,Q$6,FALSE))+IF(ISERROR(VLOOKUP($AA27,ess_bud,Q$6,FALSE)),0,VLOOKUP($AA27,ess_bud,Q$6,FALSE))</f>
        <v>0</v>
      </c>
      <c r="R27" s="114">
        <f>+Q27/'P&amp;L Summary'!P$21</f>
        <v>0</v>
      </c>
      <c r="S27" s="114">
        <f t="shared" si="6"/>
        <v>0</v>
      </c>
      <c r="T27" s="114"/>
      <c r="U27" s="126">
        <f t="shared" si="7"/>
        <v>0</v>
      </c>
      <c r="V27" s="114">
        <f>+U27/'P&amp;L Summary'!T$21</f>
        <v>0</v>
      </c>
      <c r="W27" s="116">
        <f t="shared" si="13"/>
        <v>0</v>
      </c>
      <c r="X27" s="2" t="str">
        <f t="shared" si="9"/>
        <v>45713CW</v>
      </c>
      <c r="Y27" s="2" t="str">
        <f t="shared" si="10"/>
        <v>45713CO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ht="12.75" customHeight="1">
      <c r="A28" s="124">
        <v>45714.0</v>
      </c>
      <c r="B28" s="8" t="s">
        <v>127</v>
      </c>
      <c r="C28" s="125">
        <f t="shared" si="1"/>
        <v>0</v>
      </c>
      <c r="D28" s="114">
        <f>+C28/'P&amp;L Summary'!B$21</f>
        <v>0</v>
      </c>
      <c r="E28" s="114"/>
      <c r="F28" s="118">
        <f>IF(ISERROR(VLOOKUP($X28,ess_bud,F$6,FALSE)),0,VLOOKUP($X28,ess_bud,F$6,FALSE))+IF(ISERROR(VLOOKUP($Z28,ess_bud,F$6,FALSE)),0,VLOOKUP($Z28,ess_bud,F$6,FALSE))+IF(ISERROR(VLOOKUP($Y28,ess_bud,F$6,FALSE)),0,VLOOKUP($Y28,ess_bud,F$6,FALSE))+IF(ISERROR(VLOOKUP($AA28,ess_bud,F$6,FALSE)),0,VLOOKUP($AA28,ess_bud,F$6,FALSE))</f>
        <v>0</v>
      </c>
      <c r="G28" s="114">
        <f>+F28/'P&amp;L Summary'!E$21</f>
        <v>0</v>
      </c>
      <c r="H28" s="114"/>
      <c r="I28" s="114"/>
      <c r="J28" s="118">
        <f t="shared" si="3"/>
        <v>0</v>
      </c>
      <c r="K28" s="114">
        <f>+J28/'P&amp;L Summary'!I$21</f>
        <v>0</v>
      </c>
      <c r="L28" s="116"/>
      <c r="M28" s="115"/>
      <c r="N28" s="125">
        <f t="shared" si="5"/>
        <v>0</v>
      </c>
      <c r="O28" s="114">
        <f>+N28/'P&amp;L Summary'!M$21</f>
        <v>0</v>
      </c>
      <c r="P28" s="114"/>
      <c r="Q28" s="74">
        <f>IF(ISERROR(VLOOKUP($X28,ess_bud,Q$6,FALSE)),0,VLOOKUP($X28,ess_bud,Q$6,FALSE))+IF(ISERROR(VLOOKUP($Z28,ess_bud,Q$6,FALSE)),0,VLOOKUP($Z28,ess_bud,Q$6,FALSE))+IF(ISERROR(VLOOKUP($Y28,ess_bud,Q$6,FALSE)),0,VLOOKUP($Y28,ess_bud,Q$6,FALSE))+IF(ISERROR(VLOOKUP($AA28,ess_bud,Q$6,FALSE)),0,VLOOKUP($AA28,ess_bud,Q$6,FALSE))</f>
        <v>0</v>
      </c>
      <c r="R28" s="114">
        <f>+Q28/'P&amp;L Summary'!P$21</f>
        <v>0</v>
      </c>
      <c r="S28" s="114"/>
      <c r="T28" s="114"/>
      <c r="U28" s="126">
        <f t="shared" si="7"/>
        <v>0</v>
      </c>
      <c r="V28" s="114">
        <f>+U28/'P&amp;L Summary'!T$21</f>
        <v>0</v>
      </c>
      <c r="W28" s="116"/>
      <c r="X28" s="2" t="str">
        <f t="shared" si="9"/>
        <v>45714CW</v>
      </c>
      <c r="Y28" s="2" t="str">
        <f t="shared" si="10"/>
        <v>45714CO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ht="12.75" customHeight="1">
      <c r="A29" s="124">
        <v>45715.0</v>
      </c>
      <c r="B29" s="8" t="s">
        <v>129</v>
      </c>
      <c r="C29" s="125">
        <f t="shared" si="1"/>
        <v>0</v>
      </c>
      <c r="D29" s="114">
        <f>+C29/'P&amp;L Summary'!B$21</f>
        <v>0</v>
      </c>
      <c r="E29" s="114"/>
      <c r="F29" s="118">
        <f>IF(ISERROR(VLOOKUP($X29,ess_bud,F$6,FALSE)),0,VLOOKUP($X29,ess_bud,F$6,FALSE))+IF(ISERROR(VLOOKUP($Z29,ess_bud,F$6,FALSE)),0,VLOOKUP($Z29,ess_bud,F$6,FALSE))+IF(ISERROR(VLOOKUP($Y29,ess_bud,F$6,FALSE)),0,VLOOKUP($Y29,ess_bud,F$6,FALSE))+IF(ISERROR(VLOOKUP($AA29,ess_bud,F$6,FALSE)),0,VLOOKUP($AA29,ess_bud,F$6,FALSE))</f>
        <v>0</v>
      </c>
      <c r="G29" s="114">
        <f>+F29/'P&amp;L Summary'!E$21</f>
        <v>0</v>
      </c>
      <c r="H29" s="114">
        <f t="shared" ref="H29:H37" si="14">IF(F29=0,0,+(C29-F29)/F29)</f>
        <v>0</v>
      </c>
      <c r="I29" s="114"/>
      <c r="J29" s="118">
        <f t="shared" si="3"/>
        <v>0</v>
      </c>
      <c r="K29" s="114">
        <f>+J29/'P&amp;L Summary'!I$21</f>
        <v>0</v>
      </c>
      <c r="L29" s="116">
        <f t="shared" ref="L29:L37" si="15">IF(J29=0,0,+(C29-J29)/J29)</f>
        <v>0</v>
      </c>
      <c r="M29" s="115"/>
      <c r="N29" s="125">
        <f t="shared" si="5"/>
        <v>0</v>
      </c>
      <c r="O29" s="114">
        <f>+N29/'P&amp;L Summary'!M$21</f>
        <v>0</v>
      </c>
      <c r="P29" s="114"/>
      <c r="Q29" s="74">
        <f>IF(ISERROR(VLOOKUP($X29,ess_bud,Q$6,FALSE)),0,VLOOKUP($X29,ess_bud,Q$6,FALSE))+IF(ISERROR(VLOOKUP($Z29,ess_bud,Q$6,FALSE)),0,VLOOKUP($Z29,ess_bud,Q$6,FALSE))+IF(ISERROR(VLOOKUP($Y29,ess_bud,Q$6,FALSE)),0,VLOOKUP($Y29,ess_bud,Q$6,FALSE))+IF(ISERROR(VLOOKUP($AA29,ess_bud,Q$6,FALSE)),0,VLOOKUP($AA29,ess_bud,Q$6,FALSE))</f>
        <v>0</v>
      </c>
      <c r="R29" s="114">
        <f>+Q29/'P&amp;L Summary'!P$21</f>
        <v>0</v>
      </c>
      <c r="S29" s="114">
        <f t="shared" ref="S29:S41" si="16">+IF(Q29=0,0,(N29-Q29)/Q29)</f>
        <v>0</v>
      </c>
      <c r="T29" s="114"/>
      <c r="U29" s="126">
        <f t="shared" si="7"/>
        <v>0</v>
      </c>
      <c r="V29" s="114">
        <f>+U29/'P&amp;L Summary'!T$21</f>
        <v>0</v>
      </c>
      <c r="W29" s="116">
        <f t="shared" ref="W29:W38" si="17">+IF(U29=0,0,(N29-U29)/U29)</f>
        <v>0</v>
      </c>
      <c r="X29" s="2" t="str">
        <f t="shared" si="9"/>
        <v>45715CW</v>
      </c>
      <c r="Y29" s="2" t="str">
        <f t="shared" si="10"/>
        <v>45715CO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ht="12.75" customHeight="1">
      <c r="A30" s="124">
        <v>45716.0</v>
      </c>
      <c r="B30" s="8" t="s">
        <v>131</v>
      </c>
      <c r="C30" s="125">
        <f t="shared" si="1"/>
        <v>0</v>
      </c>
      <c r="D30" s="114">
        <f>+C30/'P&amp;L Summary'!B$21</f>
        <v>0</v>
      </c>
      <c r="E30" s="114"/>
      <c r="F30" s="118">
        <f>IF(ISERROR(VLOOKUP($X30,ess_bud,F$6,FALSE)),0,VLOOKUP($X30,ess_bud,F$6,FALSE))+IF(ISERROR(VLOOKUP($Z30,ess_bud,F$6,FALSE)),0,VLOOKUP($Z30,ess_bud,F$6,FALSE))+IF(ISERROR(VLOOKUP($Y30,ess_bud,F$6,FALSE)),0,VLOOKUP($Y30,ess_bud,F$6,FALSE))+IF(ISERROR(VLOOKUP($AA30,ess_bud,F$6,FALSE)),0,VLOOKUP($AA30,ess_bud,F$6,FALSE))</f>
        <v>0</v>
      </c>
      <c r="G30" s="114">
        <f>+F30/'P&amp;L Summary'!E$21</f>
        <v>0</v>
      </c>
      <c r="H30" s="114">
        <f t="shared" si="14"/>
        <v>0</v>
      </c>
      <c r="I30" s="114"/>
      <c r="J30" s="118">
        <f t="shared" si="3"/>
        <v>0</v>
      </c>
      <c r="K30" s="114">
        <f>+J30/'P&amp;L Summary'!I$21</f>
        <v>0</v>
      </c>
      <c r="L30" s="116">
        <f t="shared" si="15"/>
        <v>0</v>
      </c>
      <c r="M30" s="115"/>
      <c r="N30" s="125">
        <f t="shared" si="5"/>
        <v>0</v>
      </c>
      <c r="O30" s="114">
        <f>+N30/'P&amp;L Summary'!M$21</f>
        <v>0</v>
      </c>
      <c r="P30" s="114"/>
      <c r="Q30" s="74">
        <f>IF(ISERROR(VLOOKUP($X30,ess_bud,Q$6,FALSE)),0,VLOOKUP($X30,ess_bud,Q$6,FALSE))+IF(ISERROR(VLOOKUP($Z30,ess_bud,Q$6,FALSE)),0,VLOOKUP($Z30,ess_bud,Q$6,FALSE))+IF(ISERROR(VLOOKUP($Y30,ess_bud,Q$6,FALSE)),0,VLOOKUP($Y30,ess_bud,Q$6,FALSE))+IF(ISERROR(VLOOKUP($AA30,ess_bud,Q$6,FALSE)),0,VLOOKUP($AA30,ess_bud,Q$6,FALSE))</f>
        <v>0</v>
      </c>
      <c r="R30" s="114">
        <f>+Q30/'P&amp;L Summary'!P$21</f>
        <v>0</v>
      </c>
      <c r="S30" s="114">
        <f t="shared" si="16"/>
        <v>0</v>
      </c>
      <c r="T30" s="114"/>
      <c r="U30" s="126">
        <f t="shared" si="7"/>
        <v>0</v>
      </c>
      <c r="V30" s="114">
        <f>+U30/'P&amp;L Summary'!T$21</f>
        <v>0</v>
      </c>
      <c r="W30" s="116">
        <f t="shared" si="17"/>
        <v>0</v>
      </c>
      <c r="X30" s="2" t="str">
        <f t="shared" si="9"/>
        <v>45716CW</v>
      </c>
      <c r="Y30" s="2" t="str">
        <f t="shared" si="10"/>
        <v>45716CO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ht="12.75" customHeight="1">
      <c r="A31" s="124">
        <v>45717.0</v>
      </c>
      <c r="B31" s="8" t="s">
        <v>133</v>
      </c>
      <c r="C31" s="125">
        <f t="shared" si="1"/>
        <v>0</v>
      </c>
      <c r="D31" s="114">
        <f>+C31/'P&amp;L Summary'!B$21</f>
        <v>0</v>
      </c>
      <c r="E31" s="114"/>
      <c r="F31" s="118">
        <f>IF(ISERROR(VLOOKUP($X31,ess_bud,F$6,FALSE)),0,VLOOKUP($X31,ess_bud,F$6,FALSE))+IF(ISERROR(VLOOKUP($Z31,ess_bud,F$6,FALSE)),0,VLOOKUP($Z31,ess_bud,F$6,FALSE))+IF(ISERROR(VLOOKUP($Y31,ess_bud,F$6,FALSE)),0,VLOOKUP($Y31,ess_bud,F$6,FALSE))+IF(ISERROR(VLOOKUP($AA31,ess_bud,F$6,FALSE)),0,VLOOKUP($AA31,ess_bud,F$6,FALSE))</f>
        <v>0</v>
      </c>
      <c r="G31" s="114">
        <f>+F31/'P&amp;L Summary'!E$21</f>
        <v>0</v>
      </c>
      <c r="H31" s="114">
        <f t="shared" si="14"/>
        <v>0</v>
      </c>
      <c r="I31" s="114"/>
      <c r="J31" s="118">
        <f t="shared" si="3"/>
        <v>0</v>
      </c>
      <c r="K31" s="114">
        <f>+J31/'P&amp;L Summary'!I$21</f>
        <v>0</v>
      </c>
      <c r="L31" s="116">
        <f t="shared" si="15"/>
        <v>0</v>
      </c>
      <c r="M31" s="115"/>
      <c r="N31" s="125">
        <f t="shared" si="5"/>
        <v>0</v>
      </c>
      <c r="O31" s="114">
        <f>+N31/'P&amp;L Summary'!M$21</f>
        <v>0</v>
      </c>
      <c r="P31" s="114"/>
      <c r="Q31" s="74">
        <f>IF(ISERROR(VLOOKUP($X31,ess_bud,Q$6,FALSE)),0,VLOOKUP($X31,ess_bud,Q$6,FALSE))+IF(ISERROR(VLOOKUP($Z31,ess_bud,Q$6,FALSE)),0,VLOOKUP($Z31,ess_bud,Q$6,FALSE))+IF(ISERROR(VLOOKUP($Y31,ess_bud,Q$6,FALSE)),0,VLOOKUP($Y31,ess_bud,Q$6,FALSE))+IF(ISERROR(VLOOKUP($AA31,ess_bud,Q$6,FALSE)),0,VLOOKUP($AA31,ess_bud,Q$6,FALSE))</f>
        <v>0</v>
      </c>
      <c r="R31" s="114">
        <f>+Q31/'P&amp;L Summary'!P$21</f>
        <v>0</v>
      </c>
      <c r="S31" s="114">
        <f t="shared" si="16"/>
        <v>0</v>
      </c>
      <c r="T31" s="114"/>
      <c r="U31" s="126">
        <f t="shared" si="7"/>
        <v>0</v>
      </c>
      <c r="V31" s="114">
        <f>+U31/'P&amp;L Summary'!T$21</f>
        <v>0</v>
      </c>
      <c r="W31" s="116">
        <f t="shared" si="17"/>
        <v>0</v>
      </c>
      <c r="X31" s="2" t="str">
        <f t="shared" si="9"/>
        <v>45717CW</v>
      </c>
      <c r="Y31" s="2" t="str">
        <f t="shared" si="10"/>
        <v>45717CO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ht="12.75" customHeight="1">
      <c r="A32" s="124">
        <v>45718.0</v>
      </c>
      <c r="B32" s="8" t="s">
        <v>135</v>
      </c>
      <c r="C32" s="125">
        <f t="shared" si="1"/>
        <v>0</v>
      </c>
      <c r="D32" s="114">
        <f>+C32/'P&amp;L Summary'!B$21</f>
        <v>0</v>
      </c>
      <c r="E32" s="114"/>
      <c r="F32" s="118">
        <f>IF(ISERROR(VLOOKUP($X32,ess_bud,F$6,FALSE)),0,VLOOKUP($X32,ess_bud,F$6,FALSE))+IF(ISERROR(VLOOKUP($Z32,ess_bud,F$6,FALSE)),0,VLOOKUP($Z32,ess_bud,F$6,FALSE))+IF(ISERROR(VLOOKUP($Y32,ess_bud,F$6,FALSE)),0,VLOOKUP($Y32,ess_bud,F$6,FALSE))+IF(ISERROR(VLOOKUP($AA32,ess_bud,F$6,FALSE)),0,VLOOKUP($AA32,ess_bud,F$6,FALSE))</f>
        <v>0</v>
      </c>
      <c r="G32" s="114">
        <f>+F32/'P&amp;L Summary'!E$21</f>
        <v>0</v>
      </c>
      <c r="H32" s="114">
        <f t="shared" si="14"/>
        <v>0</v>
      </c>
      <c r="I32" s="114"/>
      <c r="J32" s="118">
        <f t="shared" si="3"/>
        <v>0</v>
      </c>
      <c r="K32" s="114">
        <f>+J32/'P&amp;L Summary'!I$21</f>
        <v>0</v>
      </c>
      <c r="L32" s="116">
        <f t="shared" si="15"/>
        <v>0</v>
      </c>
      <c r="M32" s="115"/>
      <c r="N32" s="125">
        <f t="shared" si="5"/>
        <v>0</v>
      </c>
      <c r="O32" s="114">
        <f>+N32/'P&amp;L Summary'!M$21</f>
        <v>0</v>
      </c>
      <c r="P32" s="114"/>
      <c r="Q32" s="74">
        <f>IF(ISERROR(VLOOKUP($X32,ess_bud,Q$6,FALSE)),0,VLOOKUP($X32,ess_bud,Q$6,FALSE))+IF(ISERROR(VLOOKUP($Z32,ess_bud,Q$6,FALSE)),0,VLOOKUP($Z32,ess_bud,Q$6,FALSE))+IF(ISERROR(VLOOKUP($Y32,ess_bud,Q$6,FALSE)),0,VLOOKUP($Y32,ess_bud,Q$6,FALSE))+IF(ISERROR(VLOOKUP($AA32,ess_bud,Q$6,FALSE)),0,VLOOKUP($AA32,ess_bud,Q$6,FALSE))</f>
        <v>0</v>
      </c>
      <c r="R32" s="114">
        <f>+Q32/'P&amp;L Summary'!P$21</f>
        <v>0</v>
      </c>
      <c r="S32" s="114">
        <f t="shared" si="16"/>
        <v>0</v>
      </c>
      <c r="T32" s="114"/>
      <c r="U32" s="126">
        <f t="shared" si="7"/>
        <v>0</v>
      </c>
      <c r="V32" s="114">
        <f>+U32/'P&amp;L Summary'!T$21</f>
        <v>0</v>
      </c>
      <c r="W32" s="116">
        <f t="shared" si="17"/>
        <v>0</v>
      </c>
      <c r="X32" s="2" t="str">
        <f t="shared" si="9"/>
        <v>45718CW</v>
      </c>
      <c r="Y32" s="2" t="str">
        <f t="shared" si="10"/>
        <v>45718CO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ht="12.75" customHeight="1">
      <c r="A33" s="124">
        <v>45719.0</v>
      </c>
      <c r="B33" s="8" t="s">
        <v>87</v>
      </c>
      <c r="C33" s="125">
        <f t="shared" si="1"/>
        <v>0</v>
      </c>
      <c r="D33" s="114">
        <f>+C33/'P&amp;L Summary'!B$21</f>
        <v>0</v>
      </c>
      <c r="E33" s="114"/>
      <c r="F33" s="118">
        <f>IF(ISERROR(VLOOKUP($X33,ess_bud,F$6,FALSE)),0,VLOOKUP($X33,ess_bud,F$6,FALSE))+IF(ISERROR(VLOOKUP($Z33,ess_bud,F$6,FALSE)),0,VLOOKUP($Z33,ess_bud,F$6,FALSE))+IF(ISERROR(VLOOKUP($Y33,ess_bud,F$6,FALSE)),0,VLOOKUP($Y33,ess_bud,F$6,FALSE))+IF(ISERROR(VLOOKUP($AA33,ess_bud,F$6,FALSE)),0,VLOOKUP($AA33,ess_bud,F$6,FALSE))</f>
        <v>0</v>
      </c>
      <c r="G33" s="114">
        <f>+F33/'P&amp;L Summary'!E$21</f>
        <v>0</v>
      </c>
      <c r="H33" s="114">
        <f t="shared" si="14"/>
        <v>0</v>
      </c>
      <c r="I33" s="114"/>
      <c r="J33" s="118">
        <f t="shared" si="3"/>
        <v>0</v>
      </c>
      <c r="K33" s="114">
        <f>+J33/'P&amp;L Summary'!I$21</f>
        <v>0</v>
      </c>
      <c r="L33" s="116">
        <f t="shared" si="15"/>
        <v>0</v>
      </c>
      <c r="M33" s="115"/>
      <c r="N33" s="125">
        <f t="shared" si="5"/>
        <v>0</v>
      </c>
      <c r="O33" s="114">
        <f>+N33/'P&amp;L Summary'!M$21</f>
        <v>0</v>
      </c>
      <c r="P33" s="114"/>
      <c r="Q33" s="74">
        <f>IF(ISERROR(VLOOKUP($X33,ess_bud,Q$6,FALSE)),0,VLOOKUP($X33,ess_bud,Q$6,FALSE))+IF(ISERROR(VLOOKUP($Z33,ess_bud,Q$6,FALSE)),0,VLOOKUP($Z33,ess_bud,Q$6,FALSE))+IF(ISERROR(VLOOKUP($Y33,ess_bud,Q$6,FALSE)),0,VLOOKUP($Y33,ess_bud,Q$6,FALSE))+IF(ISERROR(VLOOKUP($AA33,ess_bud,Q$6,FALSE)),0,VLOOKUP($AA33,ess_bud,Q$6,FALSE))</f>
        <v>0</v>
      </c>
      <c r="R33" s="114">
        <f>+Q33/'P&amp;L Summary'!P$21</f>
        <v>0</v>
      </c>
      <c r="S33" s="114">
        <f t="shared" si="16"/>
        <v>0</v>
      </c>
      <c r="T33" s="114"/>
      <c r="U33" s="126">
        <f t="shared" si="7"/>
        <v>0</v>
      </c>
      <c r="V33" s="114">
        <f>+U33/'P&amp;L Summary'!T$21</f>
        <v>0</v>
      </c>
      <c r="W33" s="116">
        <f t="shared" si="17"/>
        <v>0</v>
      </c>
      <c r="X33" s="2" t="str">
        <f t="shared" si="9"/>
        <v>45719CW</v>
      </c>
      <c r="Y33" s="2" t="str">
        <f t="shared" si="10"/>
        <v>45719CO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ht="12.75" customHeight="1">
      <c r="A34" s="124">
        <v>45720.0</v>
      </c>
      <c r="B34" s="8" t="s">
        <v>88</v>
      </c>
      <c r="C34" s="125">
        <f t="shared" si="1"/>
        <v>0</v>
      </c>
      <c r="D34" s="114">
        <f>+C34/'P&amp;L Summary'!B$21</f>
        <v>0</v>
      </c>
      <c r="E34" s="114"/>
      <c r="F34" s="118">
        <f>IF(ISERROR(VLOOKUP($X34,ess_bud,F$6,FALSE)),0,VLOOKUP($X34,ess_bud,F$6,FALSE))+IF(ISERROR(VLOOKUP($Z34,ess_bud,F$6,FALSE)),0,VLOOKUP($Z34,ess_bud,F$6,FALSE))+IF(ISERROR(VLOOKUP($Y34,ess_bud,F$6,FALSE)),0,VLOOKUP($Y34,ess_bud,F$6,FALSE))+IF(ISERROR(VLOOKUP($AA34,ess_bud,F$6,FALSE)),0,VLOOKUP($AA34,ess_bud,F$6,FALSE))</f>
        <v>0</v>
      </c>
      <c r="G34" s="114">
        <f>+F34/'P&amp;L Summary'!E$21</f>
        <v>0</v>
      </c>
      <c r="H34" s="114">
        <f t="shared" si="14"/>
        <v>0</v>
      </c>
      <c r="I34" s="114"/>
      <c r="J34" s="118">
        <f t="shared" si="3"/>
        <v>0</v>
      </c>
      <c r="K34" s="114">
        <f>+J34/'P&amp;L Summary'!I$21</f>
        <v>0</v>
      </c>
      <c r="L34" s="116">
        <f t="shared" si="15"/>
        <v>0</v>
      </c>
      <c r="M34" s="115"/>
      <c r="N34" s="125">
        <f t="shared" si="5"/>
        <v>0</v>
      </c>
      <c r="O34" s="114">
        <f>+N34/'P&amp;L Summary'!M$21</f>
        <v>0</v>
      </c>
      <c r="P34" s="114"/>
      <c r="Q34" s="74">
        <f>IF(ISERROR(VLOOKUP($X34,ess_bud,Q$6,FALSE)),0,VLOOKUP($X34,ess_bud,Q$6,FALSE))+IF(ISERROR(VLOOKUP($Z34,ess_bud,Q$6,FALSE)),0,VLOOKUP($Z34,ess_bud,Q$6,FALSE))+IF(ISERROR(VLOOKUP($Y34,ess_bud,Q$6,FALSE)),0,VLOOKUP($Y34,ess_bud,Q$6,FALSE))+IF(ISERROR(VLOOKUP($AA34,ess_bud,Q$6,FALSE)),0,VLOOKUP($AA34,ess_bud,Q$6,FALSE))</f>
        <v>0</v>
      </c>
      <c r="R34" s="114">
        <f>+Q34/'P&amp;L Summary'!P$21</f>
        <v>0</v>
      </c>
      <c r="S34" s="114">
        <f t="shared" si="16"/>
        <v>0</v>
      </c>
      <c r="T34" s="114"/>
      <c r="U34" s="126">
        <f t="shared" si="7"/>
        <v>0</v>
      </c>
      <c r="V34" s="114">
        <f>+U34/'P&amp;L Summary'!T$21</f>
        <v>0</v>
      </c>
      <c r="W34" s="116">
        <f t="shared" si="17"/>
        <v>0</v>
      </c>
      <c r="X34" s="2" t="str">
        <f t="shared" si="9"/>
        <v>45720CW</v>
      </c>
      <c r="Y34" s="2" t="str">
        <f t="shared" si="10"/>
        <v>45720CO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ht="12.75" customHeight="1">
      <c r="A35" s="124">
        <v>45721.0</v>
      </c>
      <c r="B35" s="8" t="s">
        <v>141</v>
      </c>
      <c r="C35" s="125">
        <f t="shared" si="1"/>
        <v>0</v>
      </c>
      <c r="D35" s="114">
        <f>+C35/'P&amp;L Summary'!B$21</f>
        <v>0</v>
      </c>
      <c r="E35" s="114"/>
      <c r="F35" s="118">
        <f>IF(ISERROR(VLOOKUP($X35,ess_bud,F$6,FALSE)),0,VLOOKUP($X35,ess_bud,F$6,FALSE))+IF(ISERROR(VLOOKUP($Z35,ess_bud,F$6,FALSE)),0,VLOOKUP($Z35,ess_bud,F$6,FALSE))+IF(ISERROR(VLOOKUP($Y35,ess_bud,F$6,FALSE)),0,VLOOKUP($Y35,ess_bud,F$6,FALSE))+IF(ISERROR(VLOOKUP($AA35,ess_bud,F$6,FALSE)),0,VLOOKUP($AA35,ess_bud,F$6,FALSE))</f>
        <v>0</v>
      </c>
      <c r="G35" s="114">
        <f>+F35/'P&amp;L Summary'!E$21</f>
        <v>0</v>
      </c>
      <c r="H35" s="114">
        <f t="shared" si="14"/>
        <v>0</v>
      </c>
      <c r="I35" s="114"/>
      <c r="J35" s="118">
        <f t="shared" si="3"/>
        <v>0</v>
      </c>
      <c r="K35" s="114">
        <f>+J35/'P&amp;L Summary'!I$21</f>
        <v>0</v>
      </c>
      <c r="L35" s="116">
        <f t="shared" si="15"/>
        <v>0</v>
      </c>
      <c r="M35" s="115"/>
      <c r="N35" s="125">
        <f t="shared" si="5"/>
        <v>0</v>
      </c>
      <c r="O35" s="114">
        <f>+N35/'P&amp;L Summary'!M$21</f>
        <v>0</v>
      </c>
      <c r="P35" s="114"/>
      <c r="Q35" s="74">
        <f>IF(ISERROR(VLOOKUP($X35,ess_bud,Q$6,FALSE)),0,VLOOKUP($X35,ess_bud,Q$6,FALSE))+IF(ISERROR(VLOOKUP($Z35,ess_bud,Q$6,FALSE)),0,VLOOKUP($Z35,ess_bud,Q$6,FALSE))+IF(ISERROR(VLOOKUP($Y35,ess_bud,Q$6,FALSE)),0,VLOOKUP($Y35,ess_bud,Q$6,FALSE))+IF(ISERROR(VLOOKUP($AA35,ess_bud,Q$6,FALSE)),0,VLOOKUP($AA35,ess_bud,Q$6,FALSE))</f>
        <v>0</v>
      </c>
      <c r="R35" s="114">
        <f>+Q35/'P&amp;L Summary'!P$21</f>
        <v>0</v>
      </c>
      <c r="S35" s="114">
        <f t="shared" si="16"/>
        <v>0</v>
      </c>
      <c r="T35" s="114"/>
      <c r="U35" s="126">
        <f t="shared" si="7"/>
        <v>0</v>
      </c>
      <c r="V35" s="114">
        <f>+U35/'P&amp;L Summary'!T$21</f>
        <v>0</v>
      </c>
      <c r="W35" s="116">
        <f t="shared" si="17"/>
        <v>0</v>
      </c>
      <c r="X35" s="2" t="str">
        <f t="shared" si="9"/>
        <v>45721CW</v>
      </c>
      <c r="Y35" s="2" t="str">
        <f t="shared" si="10"/>
        <v>45721CO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ht="12.75" customHeight="1">
      <c r="A36" s="124">
        <v>45722.0</v>
      </c>
      <c r="B36" s="8" t="s">
        <v>143</v>
      </c>
      <c r="C36" s="125">
        <f t="shared" si="1"/>
        <v>0</v>
      </c>
      <c r="D36" s="114">
        <f>+C36/'P&amp;L Summary'!B$21</f>
        <v>0</v>
      </c>
      <c r="E36" s="114"/>
      <c r="F36" s="118">
        <f>IF(ISERROR(VLOOKUP($X36,ess_bud,F$6,FALSE)),0,VLOOKUP($X36,ess_bud,F$6,FALSE))+IF(ISERROR(VLOOKUP($Z36,ess_bud,F$6,FALSE)),0,VLOOKUP($Z36,ess_bud,F$6,FALSE))+IF(ISERROR(VLOOKUP($Y36,ess_bud,F$6,FALSE)),0,VLOOKUP($Y36,ess_bud,F$6,FALSE))+IF(ISERROR(VLOOKUP($AA36,ess_bud,F$6,FALSE)),0,VLOOKUP($AA36,ess_bud,F$6,FALSE))</f>
        <v>0</v>
      </c>
      <c r="G36" s="114">
        <f>+F36/'P&amp;L Summary'!E$21</f>
        <v>0</v>
      </c>
      <c r="H36" s="114">
        <f t="shared" si="14"/>
        <v>0</v>
      </c>
      <c r="I36" s="114"/>
      <c r="J36" s="118">
        <f t="shared" si="3"/>
        <v>0</v>
      </c>
      <c r="K36" s="114">
        <f>+J36/'P&amp;L Summary'!I$21</f>
        <v>0</v>
      </c>
      <c r="L36" s="116">
        <f t="shared" si="15"/>
        <v>0</v>
      </c>
      <c r="M36" s="115"/>
      <c r="N36" s="125">
        <f t="shared" si="5"/>
        <v>0</v>
      </c>
      <c r="O36" s="114">
        <f>+N36/'P&amp;L Summary'!M$21</f>
        <v>0</v>
      </c>
      <c r="P36" s="114"/>
      <c r="Q36" s="74">
        <f>IF(ISERROR(VLOOKUP($X36,ess_bud,Q$6,FALSE)),0,VLOOKUP($X36,ess_bud,Q$6,FALSE))+IF(ISERROR(VLOOKUP($Z36,ess_bud,Q$6,FALSE)),0,VLOOKUP($Z36,ess_bud,Q$6,FALSE))+IF(ISERROR(VLOOKUP($Y36,ess_bud,Q$6,FALSE)),0,VLOOKUP($Y36,ess_bud,Q$6,FALSE))+IF(ISERROR(VLOOKUP($AA36,ess_bud,Q$6,FALSE)),0,VLOOKUP($AA36,ess_bud,Q$6,FALSE))</f>
        <v>0</v>
      </c>
      <c r="R36" s="114">
        <f>+Q36/'P&amp;L Summary'!P$21</f>
        <v>0</v>
      </c>
      <c r="S36" s="114">
        <f t="shared" si="16"/>
        <v>0</v>
      </c>
      <c r="T36" s="114"/>
      <c r="U36" s="126">
        <f t="shared" si="7"/>
        <v>0</v>
      </c>
      <c r="V36" s="114">
        <f>+U36/'P&amp;L Summary'!T$21</f>
        <v>0</v>
      </c>
      <c r="W36" s="116">
        <f t="shared" si="17"/>
        <v>0</v>
      </c>
      <c r="X36" s="2" t="str">
        <f t="shared" si="9"/>
        <v>45722CW</v>
      </c>
      <c r="Y36" s="2" t="str">
        <f t="shared" si="10"/>
        <v>45722CO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ht="12.75" customHeight="1">
      <c r="A37" s="124">
        <v>45723.0</v>
      </c>
      <c r="B37" s="8" t="s">
        <v>147</v>
      </c>
      <c r="C37" s="125">
        <f t="shared" si="1"/>
        <v>0</v>
      </c>
      <c r="D37" s="114">
        <f>+C37/'P&amp;L Summary'!B$21</f>
        <v>0</v>
      </c>
      <c r="E37" s="114"/>
      <c r="F37" s="118">
        <f>IF(ISERROR(VLOOKUP($X37,ess_bud,F$6,FALSE)),0,VLOOKUP($X37,ess_bud,F$6,FALSE))+IF(ISERROR(VLOOKUP($Z37,ess_bud,F$6,FALSE)),0,VLOOKUP($Z37,ess_bud,F$6,FALSE))+IF(ISERROR(VLOOKUP($Y37,ess_bud,F$6,FALSE)),0,VLOOKUP($Y37,ess_bud,F$6,FALSE))+IF(ISERROR(VLOOKUP($AA37,ess_bud,F$6,FALSE)),0,VLOOKUP($AA37,ess_bud,F$6,FALSE))</f>
        <v>0</v>
      </c>
      <c r="G37" s="114">
        <f>+F37/'P&amp;L Summary'!E$21</f>
        <v>0</v>
      </c>
      <c r="H37" s="114">
        <f t="shared" si="14"/>
        <v>0</v>
      </c>
      <c r="I37" s="114"/>
      <c r="J37" s="118">
        <f t="shared" si="3"/>
        <v>0</v>
      </c>
      <c r="K37" s="114">
        <f>+J37/'P&amp;L Summary'!I$21</f>
        <v>0</v>
      </c>
      <c r="L37" s="116">
        <f t="shared" si="15"/>
        <v>0</v>
      </c>
      <c r="M37" s="115"/>
      <c r="N37" s="125">
        <f t="shared" si="5"/>
        <v>0</v>
      </c>
      <c r="O37" s="114">
        <f>+N37/'P&amp;L Summary'!M$21</f>
        <v>0</v>
      </c>
      <c r="P37" s="114"/>
      <c r="Q37" s="74">
        <f>IF(ISERROR(VLOOKUP($X37,ess_bud,Q$6,FALSE)),0,VLOOKUP($X37,ess_bud,Q$6,FALSE))+IF(ISERROR(VLOOKUP($Z37,ess_bud,Q$6,FALSE)),0,VLOOKUP($Z37,ess_bud,Q$6,FALSE))+IF(ISERROR(VLOOKUP($Y37,ess_bud,Q$6,FALSE)),0,VLOOKUP($Y37,ess_bud,Q$6,FALSE))+IF(ISERROR(VLOOKUP($AA37,ess_bud,Q$6,FALSE)),0,VLOOKUP($AA37,ess_bud,Q$6,FALSE))</f>
        <v>0</v>
      </c>
      <c r="R37" s="114">
        <f>+Q37/'P&amp;L Summary'!P$21</f>
        <v>0</v>
      </c>
      <c r="S37" s="114">
        <f t="shared" si="16"/>
        <v>0</v>
      </c>
      <c r="T37" s="114"/>
      <c r="U37" s="126">
        <f t="shared" si="7"/>
        <v>0</v>
      </c>
      <c r="V37" s="114">
        <f>+U37/'P&amp;L Summary'!T$21</f>
        <v>0</v>
      </c>
      <c r="W37" s="116">
        <f t="shared" si="17"/>
        <v>0</v>
      </c>
      <c r="X37" s="2" t="str">
        <f t="shared" si="9"/>
        <v>45723CW</v>
      </c>
      <c r="Y37" s="2" t="str">
        <f t="shared" si="10"/>
        <v>45723CO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ht="12.75" customHeight="1">
      <c r="A38" s="124">
        <v>45724.0</v>
      </c>
      <c r="B38" s="8" t="s">
        <v>94</v>
      </c>
      <c r="C38" s="125">
        <f t="shared" si="1"/>
        <v>0</v>
      </c>
      <c r="D38" s="114">
        <f>+C38/'P&amp;L Summary'!B$21</f>
        <v>0</v>
      </c>
      <c r="E38" s="114"/>
      <c r="F38" s="118">
        <f>IF(ISERROR(VLOOKUP($X38,ess_bud,F$6,FALSE)),0,VLOOKUP($X38,ess_bud,F$6,FALSE))+IF(ISERROR(VLOOKUP($Z38,ess_bud,F$6,FALSE)),0,VLOOKUP($Z38,ess_bud,F$6,FALSE))+IF(ISERROR(VLOOKUP($Y38,ess_bud,F$6,FALSE)),0,VLOOKUP($Y38,ess_bud,F$6,FALSE))+IF(ISERROR(VLOOKUP($AA38,ess_bud,F$6,FALSE)),0,VLOOKUP($AA38,ess_bud,F$6,FALSE))</f>
        <v>0</v>
      </c>
      <c r="G38" s="114">
        <f>+F38/'P&amp;L Summary'!E$21</f>
        <v>0</v>
      </c>
      <c r="H38" s="114">
        <f>IF(F40=0,0,+(C40-F40)/F40)</f>
        <v>0</v>
      </c>
      <c r="I38" s="114"/>
      <c r="J38" s="118">
        <f t="shared" si="3"/>
        <v>0</v>
      </c>
      <c r="K38" s="114">
        <f>+J38/'P&amp;L Summary'!I$21</f>
        <v>0</v>
      </c>
      <c r="L38" s="116">
        <f>IF(J40=0,0,+(C40-J40)/J40)</f>
        <v>0</v>
      </c>
      <c r="M38" s="115"/>
      <c r="N38" s="125">
        <f t="shared" si="5"/>
        <v>0</v>
      </c>
      <c r="O38" s="114">
        <f>+N38/'P&amp;L Summary'!M$21</f>
        <v>0</v>
      </c>
      <c r="P38" s="114"/>
      <c r="Q38" s="74">
        <f>IF(ISERROR(VLOOKUP($X38,ess_bud,Q$6,FALSE)),0,VLOOKUP($X38,ess_bud,Q$6,FALSE))+IF(ISERROR(VLOOKUP($Z38,ess_bud,Q$6,FALSE)),0,VLOOKUP($Z38,ess_bud,Q$6,FALSE))+IF(ISERROR(VLOOKUP($Y38,ess_bud,Q$6,FALSE)),0,VLOOKUP($Y38,ess_bud,Q$6,FALSE))+IF(ISERROR(VLOOKUP($AA38,ess_bud,Q$6,FALSE)),0,VLOOKUP($AA38,ess_bud,Q$6,FALSE))</f>
        <v>0</v>
      </c>
      <c r="R38" s="114">
        <f>+Q38/'P&amp;L Summary'!P$21</f>
        <v>0</v>
      </c>
      <c r="S38" s="114">
        <f t="shared" si="16"/>
        <v>0</v>
      </c>
      <c r="T38" s="114"/>
      <c r="U38" s="126">
        <f t="shared" si="7"/>
        <v>0</v>
      </c>
      <c r="V38" s="114">
        <f>+U38/'P&amp;L Summary'!T$21</f>
        <v>0</v>
      </c>
      <c r="W38" s="116">
        <f t="shared" si="17"/>
        <v>0</v>
      </c>
      <c r="X38" s="2" t="str">
        <f t="shared" si="9"/>
        <v>45724CW</v>
      </c>
      <c r="Y38" s="2" t="str">
        <f t="shared" si="10"/>
        <v>45724CO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ht="12.75" customHeight="1">
      <c r="A39" s="124">
        <v>49109.0</v>
      </c>
      <c r="B39" s="8" t="s">
        <v>150</v>
      </c>
      <c r="C39" s="125">
        <f t="shared" si="1"/>
        <v>0</v>
      </c>
      <c r="D39" s="114">
        <f>+C39/'P&amp;L Summary'!B$21</f>
        <v>0</v>
      </c>
      <c r="E39" s="114"/>
      <c r="F39" s="118">
        <f>IF(ISERROR(VLOOKUP($X39,ess_bud,F$6,FALSE)),0,VLOOKUP($X39,ess_bud,F$6,FALSE))+IF(ISERROR(VLOOKUP($Z39,ess_bud,F$6,FALSE)),0,VLOOKUP($Z39,ess_bud,F$6,FALSE))+IF(ISERROR(VLOOKUP($Y39,ess_bud,F$6,FALSE)),0,VLOOKUP($Y39,ess_bud,F$6,FALSE))+IF(ISERROR(VLOOKUP($AA39,ess_bud,F$6,FALSE)),0,VLOOKUP($AA39,ess_bud,F$6,FALSE))</f>
        <v>0</v>
      </c>
      <c r="G39" s="114">
        <f>+F39/'P&amp;L Summary'!E$21</f>
        <v>0</v>
      </c>
      <c r="H39" s="114"/>
      <c r="I39" s="114"/>
      <c r="J39" s="118">
        <f t="shared" si="3"/>
        <v>0</v>
      </c>
      <c r="K39" s="114">
        <f>+J39/'P&amp;L Summary'!I$21</f>
        <v>0</v>
      </c>
      <c r="L39" s="116"/>
      <c r="M39" s="115"/>
      <c r="N39" s="125">
        <f t="shared" si="5"/>
        <v>0</v>
      </c>
      <c r="O39" s="114">
        <f>+N39/'P&amp;L Summary'!M$21</f>
        <v>0</v>
      </c>
      <c r="P39" s="114"/>
      <c r="Q39" s="74">
        <f>IF(ISERROR(VLOOKUP($X39,ess_bud,Q$6,FALSE)),0,VLOOKUP($X39,ess_bud,Q$6,FALSE))+IF(ISERROR(VLOOKUP($Z39,ess_bud,Q$6,FALSE)),0,VLOOKUP($Z39,ess_bud,Q$6,FALSE))+IF(ISERROR(VLOOKUP($Y39,ess_bud,Q$6,FALSE)),0,VLOOKUP($Y39,ess_bud,Q$6,FALSE))+IF(ISERROR(VLOOKUP($AA39,ess_bud,Q$6,FALSE)),0,VLOOKUP($AA39,ess_bud,Q$6,FALSE))</f>
        <v>0</v>
      </c>
      <c r="R39" s="114">
        <f>+Q39/'P&amp;L Summary'!P$21</f>
        <v>0</v>
      </c>
      <c r="S39" s="114">
        <f t="shared" si="16"/>
        <v>0</v>
      </c>
      <c r="T39" s="114"/>
      <c r="U39" s="126">
        <f t="shared" si="7"/>
        <v>0</v>
      </c>
      <c r="V39" s="114">
        <f>+U39/'P&amp;L Summary'!T$21</f>
        <v>0</v>
      </c>
      <c r="W39" s="116"/>
      <c r="X39" s="2" t="str">
        <f t="shared" si="9"/>
        <v>49109CW</v>
      </c>
      <c r="Y39" s="2" t="str">
        <f t="shared" si="10"/>
        <v>49109CO</v>
      </c>
      <c r="Z39" s="2" t="str">
        <f>49107&amp;$A$9</f>
        <v>49107CW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ht="12.75" customHeight="1">
      <c r="A40" s="124">
        <v>45725.0</v>
      </c>
      <c r="B40" s="8" t="s">
        <v>95</v>
      </c>
      <c r="C40" s="125">
        <f t="shared" si="1"/>
        <v>0</v>
      </c>
      <c r="D40" s="114">
        <f>+C40/'P&amp;L Summary'!B$21</f>
        <v>0</v>
      </c>
      <c r="E40" s="114"/>
      <c r="F40" s="118">
        <f>IF(ISERROR(VLOOKUP($X40,ess_bud,F$6,FALSE)),0,VLOOKUP($X40,ess_bud,F$6,FALSE))+IF(ISERROR(VLOOKUP($Z40,ess_bud,F$6,FALSE)),0,VLOOKUP($Z40,ess_bud,F$6,FALSE))+IF(ISERROR(VLOOKUP($Y40,ess_bud,F$6,FALSE)),0,VLOOKUP($Y40,ess_bud,F$6,FALSE))+IF(ISERROR(VLOOKUP($AA40,ess_bud,F$6,FALSE)),0,VLOOKUP($AA40,ess_bud,F$6,FALSE))</f>
        <v>0</v>
      </c>
      <c r="G40" s="114">
        <f>+F40/'P&amp;L Summary'!E$21</f>
        <v>0</v>
      </c>
      <c r="H40" s="114">
        <f t="shared" ref="H40:H41" si="18">IF(F40=0,0,+(C40-F40)/F40)</f>
        <v>0</v>
      </c>
      <c r="I40" s="114"/>
      <c r="J40" s="118">
        <f t="shared" si="3"/>
        <v>0</v>
      </c>
      <c r="K40" s="114">
        <f>+J40/'P&amp;L Summary'!I$21</f>
        <v>0</v>
      </c>
      <c r="L40" s="116">
        <f t="shared" ref="L40:L41" si="19">IF(J40=0,0,+(C40-J40)/J40)</f>
        <v>0</v>
      </c>
      <c r="M40" s="115"/>
      <c r="N40" s="125">
        <f t="shared" si="5"/>
        <v>0</v>
      </c>
      <c r="O40" s="114">
        <f>+N40/'P&amp;L Summary'!M$21</f>
        <v>0</v>
      </c>
      <c r="P40" s="114"/>
      <c r="Q40" s="74">
        <f>IF(ISERROR(VLOOKUP($X40,ess_bud,Q$6,FALSE)),0,VLOOKUP($X40,ess_bud,Q$6,FALSE))+IF(ISERROR(VLOOKUP($Z40,ess_bud,Q$6,FALSE)),0,VLOOKUP($Z40,ess_bud,Q$6,FALSE))+IF(ISERROR(VLOOKUP($Y40,ess_bud,Q$6,FALSE)),0,VLOOKUP($Y40,ess_bud,Q$6,FALSE))+IF(ISERROR(VLOOKUP($AA40,ess_bud,Q$6,FALSE)),0,VLOOKUP($AA40,ess_bud,Q$6,FALSE))</f>
        <v>0</v>
      </c>
      <c r="R40" s="114">
        <f>+Q40/'P&amp;L Summary'!P$21</f>
        <v>0</v>
      </c>
      <c r="S40" s="114">
        <f t="shared" si="16"/>
        <v>0</v>
      </c>
      <c r="T40" s="114"/>
      <c r="U40" s="126">
        <f t="shared" si="7"/>
        <v>0</v>
      </c>
      <c r="V40" s="114">
        <f>+U40/'P&amp;L Summary'!T$21</f>
        <v>0</v>
      </c>
      <c r="W40" s="116">
        <f t="shared" ref="W40:W41" si="20">+IF(U40=0,0,(N40-U40)/U40)</f>
        <v>0</v>
      </c>
      <c r="X40" s="2" t="str">
        <f t="shared" si="9"/>
        <v>45725CW</v>
      </c>
      <c r="Y40" s="2" t="str">
        <f t="shared" si="10"/>
        <v>45725CO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ht="12.75" customHeight="1">
      <c r="A41" s="2"/>
      <c r="B41" s="24" t="s">
        <v>40</v>
      </c>
      <c r="C41" s="179">
        <f>SUM(C13:C40)</f>
        <v>0</v>
      </c>
      <c r="D41" s="145">
        <f>+C41/'P&amp;L Summary'!B$21</f>
        <v>0</v>
      </c>
      <c r="E41" s="145"/>
      <c r="F41" s="147">
        <f>SUM(F13:F40)</f>
        <v>0</v>
      </c>
      <c r="G41" s="145">
        <f>+F41/'P&amp;L Summary'!E$21</f>
        <v>0</v>
      </c>
      <c r="H41" s="145">
        <f t="shared" si="18"/>
        <v>0</v>
      </c>
      <c r="I41" s="145"/>
      <c r="J41" s="147">
        <f>SUM(J13:J40)</f>
        <v>0</v>
      </c>
      <c r="K41" s="145">
        <f>+J41/'P&amp;L Summary'!I$21</f>
        <v>0</v>
      </c>
      <c r="L41" s="148">
        <f t="shared" si="19"/>
        <v>0</v>
      </c>
      <c r="M41" s="149"/>
      <c r="N41" s="179">
        <f>SUM(N13:N40)</f>
        <v>0</v>
      </c>
      <c r="O41" s="145">
        <f>+N41/'P&amp;L Summary'!M$21</f>
        <v>0</v>
      </c>
      <c r="P41" s="145"/>
      <c r="Q41" s="147">
        <f>SUM(Q13:Q40)</f>
        <v>0</v>
      </c>
      <c r="R41" s="145">
        <f>+Q41/'P&amp;L Summary'!P$21</f>
        <v>0</v>
      </c>
      <c r="S41" s="145">
        <f t="shared" si="16"/>
        <v>0</v>
      </c>
      <c r="T41" s="145"/>
      <c r="U41" s="147">
        <f>SUM(U13:U40)</f>
        <v>0</v>
      </c>
      <c r="V41" s="145">
        <f>+U41/'P&amp;L Summary'!T$21</f>
        <v>0</v>
      </c>
      <c r="W41" s="148">
        <f t="shared" si="20"/>
        <v>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ht="12.75" customHeight="1">
      <c r="A42" s="2"/>
      <c r="B42" s="8"/>
      <c r="C42" s="117"/>
      <c r="D42" s="114"/>
      <c r="E42" s="114"/>
      <c r="F42" s="118"/>
      <c r="G42" s="114"/>
      <c r="H42" s="137"/>
      <c r="I42" s="137"/>
      <c r="J42" s="118"/>
      <c r="K42" s="137"/>
      <c r="L42" s="116"/>
      <c r="M42" s="115"/>
      <c r="N42" s="117"/>
      <c r="O42" s="114"/>
      <c r="P42" s="114"/>
      <c r="Q42" s="118"/>
      <c r="R42" s="114"/>
      <c r="S42" s="137"/>
      <c r="T42" s="137"/>
      <c r="U42" s="118"/>
      <c r="V42" s="137"/>
      <c r="W42" s="116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ht="12.75" customHeight="1">
      <c r="A43" s="2"/>
      <c r="B43" s="24" t="s">
        <v>33</v>
      </c>
      <c r="C43" s="117"/>
      <c r="D43" s="137"/>
      <c r="E43" s="137"/>
      <c r="F43" s="118"/>
      <c r="G43" s="137"/>
      <c r="H43" s="137"/>
      <c r="I43" s="137"/>
      <c r="J43" s="118"/>
      <c r="K43" s="137"/>
      <c r="L43" s="138"/>
      <c r="M43" s="115"/>
      <c r="N43" s="117"/>
      <c r="O43" s="137"/>
      <c r="P43" s="137"/>
      <c r="Q43" s="118"/>
      <c r="R43" s="137"/>
      <c r="S43" s="137"/>
      <c r="T43" s="137"/>
      <c r="U43" s="118"/>
      <c r="V43" s="137"/>
      <c r="W43" s="13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ht="12.75" customHeight="1">
      <c r="A44" s="32">
        <v>45102.0</v>
      </c>
      <c r="B44" s="8" t="s">
        <v>154</v>
      </c>
      <c r="C44" s="125">
        <f t="shared" ref="C44:C65" si="21">IF(ISERROR(VLOOKUP($X44,ess_act,C$6,FALSE)),0,VLOOKUP($X44,ess_act,C$6,FALSE))+IF(ISERROR(VLOOKUP($Z44,ess_act,C$6,FALSE)),0,VLOOKUP($Z44,ess_act,C$6,FALSE))+IF(ISERROR(VLOOKUP($Y44,ess_act,C$6,FALSE)),0,VLOOKUP($Y44,ess_act,C$6,FALSE))+IF(ISERROR(VLOOKUP($AA44,ess_act,C$6,FALSE)),0,VLOOKUP($AA44,ess_act,C$6,FALSE))</f>
        <v>0</v>
      </c>
      <c r="D44" s="114">
        <f>+C44/'P&amp;L Summary'!B$21</f>
        <v>0</v>
      </c>
      <c r="E44" s="114"/>
      <c r="F44" s="118">
        <f>IF(ISERROR(VLOOKUP($X44,ess_bud,F$6,FALSE)),0,VLOOKUP($X44,ess_bud,F$6,FALSE))+IF(ISERROR(VLOOKUP($Z44,ess_bud,F$6,FALSE)),0,VLOOKUP($Z44,ess_bud,F$6,FALSE))+IF(ISERROR(VLOOKUP($Y44,ess_bud,F$6,FALSE)),0,VLOOKUP($Y44,ess_bud,F$6,FALSE))+IF(ISERROR(VLOOKUP($AA44,ess_bud,F$6,FALSE)),0,VLOOKUP($AA44,ess_bud,F$6,FALSE))</f>
        <v>0</v>
      </c>
      <c r="G44" s="114">
        <f>+F44/'P&amp;L Summary'!E$21</f>
        <v>0</v>
      </c>
      <c r="H44" s="114">
        <f t="shared" ref="H44:H52" si="22">IF(F44=0,0,+(C44-F44)/F44)</f>
        <v>0</v>
      </c>
      <c r="I44" s="114"/>
      <c r="J44" s="118">
        <f t="shared" ref="J44:J65" si="23">IF(ISERROR(VLOOKUP($X44,ess_act,J$6,FALSE)),0,VLOOKUP($X44,ess_act,J$6,FALSE))+IF(ISERROR(VLOOKUP($Z44,ess_act,J$6,FALSE)),0,VLOOKUP($Z44,ess_act,J$6,FALSE))+IF(ISERROR(VLOOKUP($Y44,ess_act,J$6,FALSE)),0,VLOOKUP($Y44,ess_act,J$6,FALSE))+IF(ISERROR(VLOOKUP($AA44,ess_act,J$6,FALSE)),0,VLOOKUP($AA44,ess_act,J$6,FALSE))</f>
        <v>0</v>
      </c>
      <c r="K44" s="114">
        <f>+J44/'P&amp;L Summary'!I$21</f>
        <v>0</v>
      </c>
      <c r="L44" s="116">
        <f t="shared" ref="L44:L52" si="24">IF(J44=0,0,+(C44-J44)/J44)</f>
        <v>0</v>
      </c>
      <c r="M44" s="115"/>
      <c r="N44" s="125">
        <f t="shared" ref="N44:N65" si="25">IF(ISERROR(VLOOKUP($X44,ess_act,N$6,FALSE)),0,VLOOKUP($X44,ess_act,N$6,FALSE))+IF(ISERROR(VLOOKUP($Z44,ess_act,N$6,FALSE)),0,VLOOKUP($Z44,ess_act,N$6,FALSE))+IF(ISERROR(VLOOKUP($Y44,ess_act,N$6,FALSE)),0,VLOOKUP($Y44,ess_act,N$6,FALSE))+IF(ISERROR(VLOOKUP($AA44,ess_act,N$6,FALSE)),0,VLOOKUP($AA44,ess_act,N$6,FALSE))</f>
        <v>0</v>
      </c>
      <c r="O44" s="114">
        <f>+N44/'P&amp;L Summary'!M$21</f>
        <v>0</v>
      </c>
      <c r="P44" s="114"/>
      <c r="Q44" s="74">
        <f>IF(ISERROR(VLOOKUP($X44,ess_bud,Q$6,FALSE)),0,VLOOKUP($X44,ess_bud,Q$6,FALSE))+IF(ISERROR(VLOOKUP($Z44,ess_bud,Q$6,FALSE)),0,VLOOKUP($Z44,ess_bud,Q$6,FALSE))+IF(ISERROR(VLOOKUP($Y44,ess_bud,Q$6,FALSE)),0,VLOOKUP($Y44,ess_bud,Q$6,FALSE))+IF(ISERROR(VLOOKUP($AA44,ess_bud,Q$6,FALSE)),0,VLOOKUP($AA44,ess_bud,Q$6,FALSE))</f>
        <v>0</v>
      </c>
      <c r="R44" s="114">
        <f>+Q44/'P&amp;L Summary'!P$21</f>
        <v>0</v>
      </c>
      <c r="S44" s="114">
        <f t="shared" ref="S44:S52" si="26">+IF(Q44=0,0,(N44-Q44)/Q44)</f>
        <v>0</v>
      </c>
      <c r="T44" s="114"/>
      <c r="U44" s="126">
        <f t="shared" ref="U44:U65" si="27">IF(ISERROR(VLOOKUP($X44,ess_act,U$6,FALSE)),0,VLOOKUP($X44,ess_act,U$6,FALSE))+IF(ISERROR(VLOOKUP($Z44,ess_act,U$6,FALSE)),0,VLOOKUP($Z44,ess_act,U$6,FALSE))+IF(ISERROR(VLOOKUP($Y44,ess_act,U$6,FALSE)),0,VLOOKUP($Y44,ess_act,U$6,FALSE))+IF(ISERROR(VLOOKUP($AA44,ess_act,U$6,FALSE)),0,VLOOKUP($AA44,ess_act,U$6,FALSE))</f>
        <v>0</v>
      </c>
      <c r="V44" s="114">
        <f>+U44/'P&amp;L Summary'!T$21</f>
        <v>0</v>
      </c>
      <c r="W44" s="116">
        <f t="shared" ref="W44:W65" si="28">+IF(U44=0,0,(N44-U44)/U44)</f>
        <v>0</v>
      </c>
      <c r="X44" s="2" t="str">
        <f t="shared" ref="X44:X65" si="29">A44&amp;$A$9</f>
        <v>45102CW</v>
      </c>
      <c r="Y44" s="2" t="str">
        <f t="shared" ref="Y44:Y65" si="30">A44&amp;$Y$6</f>
        <v>45102CO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ht="12.75" customHeight="1">
      <c r="A45" s="32">
        <v>45103.0</v>
      </c>
      <c r="B45" s="8" t="s">
        <v>123</v>
      </c>
      <c r="C45" s="125">
        <f t="shared" si="21"/>
        <v>0</v>
      </c>
      <c r="D45" s="114">
        <f>+C45/'P&amp;L Summary'!B$21</f>
        <v>0</v>
      </c>
      <c r="E45" s="114"/>
      <c r="F45" s="118">
        <f>IF(ISERROR(VLOOKUP($X45,ess_bud,F$6,FALSE)),0,VLOOKUP($X45,ess_bud,F$6,FALSE))+IF(ISERROR(VLOOKUP($Z45,ess_bud,F$6,FALSE)),0,VLOOKUP($Z45,ess_bud,F$6,FALSE))+IF(ISERROR(VLOOKUP($Y45,ess_bud,F$6,FALSE)),0,VLOOKUP($Y45,ess_bud,F$6,FALSE))+IF(ISERROR(VLOOKUP($AA45,ess_bud,F$6,FALSE)),0,VLOOKUP($AA45,ess_bud,F$6,FALSE))</f>
        <v>0</v>
      </c>
      <c r="G45" s="114">
        <f>+F45/'P&amp;L Summary'!E$21</f>
        <v>0</v>
      </c>
      <c r="H45" s="114">
        <f t="shared" si="22"/>
        <v>0</v>
      </c>
      <c r="I45" s="114"/>
      <c r="J45" s="118">
        <f t="shared" si="23"/>
        <v>0</v>
      </c>
      <c r="K45" s="114">
        <f>+J45/'P&amp;L Summary'!I$21</f>
        <v>0</v>
      </c>
      <c r="L45" s="116">
        <f t="shared" si="24"/>
        <v>0</v>
      </c>
      <c r="M45" s="115"/>
      <c r="N45" s="125">
        <f t="shared" si="25"/>
        <v>0</v>
      </c>
      <c r="O45" s="114">
        <f>+N45/'P&amp;L Summary'!M$21</f>
        <v>0</v>
      </c>
      <c r="P45" s="114"/>
      <c r="Q45" s="74">
        <f>IF(ISERROR(VLOOKUP($X45,ess_bud,Q$6,FALSE)),0,VLOOKUP($X45,ess_bud,Q$6,FALSE))+IF(ISERROR(VLOOKUP($Z45,ess_bud,Q$6,FALSE)),0,VLOOKUP($Z45,ess_bud,Q$6,FALSE))+IF(ISERROR(VLOOKUP($Y45,ess_bud,Q$6,FALSE)),0,VLOOKUP($Y45,ess_bud,Q$6,FALSE))+IF(ISERROR(VLOOKUP($AA45,ess_bud,Q$6,FALSE)),0,VLOOKUP($AA45,ess_bud,Q$6,FALSE))</f>
        <v>0</v>
      </c>
      <c r="R45" s="114">
        <f>+Q45/'P&amp;L Summary'!P$21</f>
        <v>0</v>
      </c>
      <c r="S45" s="114">
        <f t="shared" si="26"/>
        <v>0</v>
      </c>
      <c r="T45" s="114"/>
      <c r="U45" s="126">
        <f t="shared" si="27"/>
        <v>0</v>
      </c>
      <c r="V45" s="114">
        <f>+U45/'P&amp;L Summary'!T$21</f>
        <v>0</v>
      </c>
      <c r="W45" s="116">
        <f t="shared" si="28"/>
        <v>0</v>
      </c>
      <c r="X45" s="2" t="str">
        <f t="shared" si="29"/>
        <v>45103CW</v>
      </c>
      <c r="Y45" s="2" t="str">
        <f t="shared" si="30"/>
        <v>45103CO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ht="12.75" customHeight="1">
      <c r="A46" s="32">
        <v>46200.0</v>
      </c>
      <c r="B46" s="8" t="s">
        <v>126</v>
      </c>
      <c r="C46" s="125">
        <f t="shared" si="21"/>
        <v>0</v>
      </c>
      <c r="D46" s="114">
        <f>+C46/'P&amp;L Summary'!B$21</f>
        <v>0</v>
      </c>
      <c r="E46" s="114"/>
      <c r="F46" s="118">
        <f>IF(ISERROR(VLOOKUP($X46,ess_bud,F$6,FALSE)),0,VLOOKUP($X46,ess_bud,F$6,FALSE))+IF(ISERROR(VLOOKUP($Z46,ess_bud,F$6,FALSE)),0,VLOOKUP($Z46,ess_bud,F$6,FALSE))+IF(ISERROR(VLOOKUP($Y46,ess_bud,F$6,FALSE)),0,VLOOKUP($Y46,ess_bud,F$6,FALSE))+IF(ISERROR(VLOOKUP($AA46,ess_bud,F$6,FALSE)),0,VLOOKUP($AA46,ess_bud,F$6,FALSE))</f>
        <v>0</v>
      </c>
      <c r="G46" s="114">
        <f>+F46/'P&amp;L Summary'!E$21</f>
        <v>0</v>
      </c>
      <c r="H46" s="114">
        <f t="shared" si="22"/>
        <v>0</v>
      </c>
      <c r="I46" s="114"/>
      <c r="J46" s="118">
        <f t="shared" si="23"/>
        <v>0</v>
      </c>
      <c r="K46" s="114">
        <f>+J46/'P&amp;L Summary'!I$21</f>
        <v>0</v>
      </c>
      <c r="L46" s="116">
        <f t="shared" si="24"/>
        <v>0</v>
      </c>
      <c r="M46" s="115"/>
      <c r="N46" s="125">
        <f t="shared" si="25"/>
        <v>0</v>
      </c>
      <c r="O46" s="114">
        <f>+N46/'P&amp;L Summary'!M$21</f>
        <v>0</v>
      </c>
      <c r="P46" s="114"/>
      <c r="Q46" s="74">
        <f>IF(ISERROR(VLOOKUP($X46,ess_bud,Q$6,FALSE)),0,VLOOKUP($X46,ess_bud,Q$6,FALSE))+IF(ISERROR(VLOOKUP($Z46,ess_bud,Q$6,FALSE)),0,VLOOKUP($Z46,ess_bud,Q$6,FALSE))+IF(ISERROR(VLOOKUP($Y46,ess_bud,Q$6,FALSE)),0,VLOOKUP($Y46,ess_bud,Q$6,FALSE))+IF(ISERROR(VLOOKUP($AA46,ess_bud,Q$6,FALSE)),0,VLOOKUP($AA46,ess_bud,Q$6,FALSE))</f>
        <v>0</v>
      </c>
      <c r="R46" s="114">
        <f>+Q46/'P&amp;L Summary'!P$21</f>
        <v>0</v>
      </c>
      <c r="S46" s="114">
        <f t="shared" si="26"/>
        <v>0</v>
      </c>
      <c r="T46" s="114"/>
      <c r="U46" s="126">
        <f t="shared" si="27"/>
        <v>0</v>
      </c>
      <c r="V46" s="114">
        <f>+U46/'P&amp;L Summary'!T$21</f>
        <v>0</v>
      </c>
      <c r="W46" s="116">
        <f t="shared" si="28"/>
        <v>0</v>
      </c>
      <c r="X46" s="2" t="str">
        <f t="shared" si="29"/>
        <v>46200CW</v>
      </c>
      <c r="Y46" s="2" t="str">
        <f t="shared" si="30"/>
        <v>46200CO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ht="12.75" customHeight="1">
      <c r="A47" s="32">
        <v>46201.0</v>
      </c>
      <c r="B47" s="8" t="s">
        <v>118</v>
      </c>
      <c r="C47" s="125">
        <f t="shared" si="21"/>
        <v>0</v>
      </c>
      <c r="D47" s="114">
        <f>+C47/'P&amp;L Summary'!B$21</f>
        <v>0</v>
      </c>
      <c r="E47" s="114"/>
      <c r="F47" s="118">
        <f>IF(ISERROR(VLOOKUP($X47,ess_bud,F$6,FALSE)),0,VLOOKUP($X47,ess_bud,F$6,FALSE))+IF(ISERROR(VLOOKUP($Z47,ess_bud,F$6,FALSE)),0,VLOOKUP($Z47,ess_bud,F$6,FALSE))+IF(ISERROR(VLOOKUP($Y47,ess_bud,F$6,FALSE)),0,VLOOKUP($Y47,ess_bud,F$6,FALSE))+IF(ISERROR(VLOOKUP($AA47,ess_bud,F$6,FALSE)),0,VLOOKUP($AA47,ess_bud,F$6,FALSE))</f>
        <v>0</v>
      </c>
      <c r="G47" s="114">
        <f>+F47/'P&amp;L Summary'!E$21</f>
        <v>0</v>
      </c>
      <c r="H47" s="114">
        <f t="shared" si="22"/>
        <v>0</v>
      </c>
      <c r="I47" s="114"/>
      <c r="J47" s="118">
        <f t="shared" si="23"/>
        <v>0</v>
      </c>
      <c r="K47" s="114">
        <f>+J47/'P&amp;L Summary'!I$21</f>
        <v>0</v>
      </c>
      <c r="L47" s="116">
        <f t="shared" si="24"/>
        <v>0</v>
      </c>
      <c r="M47" s="115"/>
      <c r="N47" s="125">
        <f t="shared" si="25"/>
        <v>0</v>
      </c>
      <c r="O47" s="114">
        <f>+N47/'P&amp;L Summary'!M$21</f>
        <v>0</v>
      </c>
      <c r="P47" s="114"/>
      <c r="Q47" s="74">
        <f>IF(ISERROR(VLOOKUP($X47,ess_bud,Q$6,FALSE)),0,VLOOKUP($X47,ess_bud,Q$6,FALSE))+IF(ISERROR(VLOOKUP($Z47,ess_bud,Q$6,FALSE)),0,VLOOKUP($Z47,ess_bud,Q$6,FALSE))+IF(ISERROR(VLOOKUP($Y47,ess_bud,Q$6,FALSE)),0,VLOOKUP($Y47,ess_bud,Q$6,FALSE))+IF(ISERROR(VLOOKUP($AA47,ess_bud,Q$6,FALSE)),0,VLOOKUP($AA47,ess_bud,Q$6,FALSE))</f>
        <v>0</v>
      </c>
      <c r="R47" s="114">
        <f>+Q47/'P&amp;L Summary'!P$21</f>
        <v>0</v>
      </c>
      <c r="S47" s="114">
        <f t="shared" si="26"/>
        <v>0</v>
      </c>
      <c r="T47" s="114"/>
      <c r="U47" s="126">
        <f t="shared" si="27"/>
        <v>0</v>
      </c>
      <c r="V47" s="114">
        <f>+U47/'P&amp;L Summary'!T$21</f>
        <v>0</v>
      </c>
      <c r="W47" s="116">
        <f t="shared" si="28"/>
        <v>0</v>
      </c>
      <c r="X47" s="2" t="str">
        <f t="shared" si="29"/>
        <v>46201CW</v>
      </c>
      <c r="Y47" s="2" t="str">
        <f t="shared" si="30"/>
        <v>46201CO</v>
      </c>
      <c r="Z47" s="8" t="str">
        <f>46203&amp;$X$6</f>
        <v>46203CW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ht="12.75" customHeight="1">
      <c r="A48" s="32">
        <v>46202.0</v>
      </c>
      <c r="B48" s="8" t="s">
        <v>115</v>
      </c>
      <c r="C48" s="125">
        <f t="shared" si="21"/>
        <v>0</v>
      </c>
      <c r="D48" s="114">
        <f>+C48/'P&amp;L Summary'!B$21</f>
        <v>0</v>
      </c>
      <c r="E48" s="114"/>
      <c r="F48" s="118">
        <f>IF(ISERROR(VLOOKUP($X48,ess_bud,F$6,FALSE)),0,VLOOKUP($X48,ess_bud,F$6,FALSE))+IF(ISERROR(VLOOKUP($Z48,ess_bud,F$6,FALSE)),0,VLOOKUP($Z48,ess_bud,F$6,FALSE))+IF(ISERROR(VLOOKUP($Y48,ess_bud,F$6,FALSE)),0,VLOOKUP($Y48,ess_bud,F$6,FALSE))+IF(ISERROR(VLOOKUP($AA48,ess_bud,F$6,FALSE)),0,VLOOKUP($AA48,ess_bud,F$6,FALSE))</f>
        <v>0</v>
      </c>
      <c r="G48" s="114">
        <f>+F48/'P&amp;L Summary'!E$21</f>
        <v>0</v>
      </c>
      <c r="H48" s="114">
        <f t="shared" si="22"/>
        <v>0</v>
      </c>
      <c r="I48" s="114"/>
      <c r="J48" s="118">
        <f t="shared" si="23"/>
        <v>0</v>
      </c>
      <c r="K48" s="114">
        <f>+J48/'P&amp;L Summary'!I$21</f>
        <v>0</v>
      </c>
      <c r="L48" s="116">
        <f t="shared" si="24"/>
        <v>0</v>
      </c>
      <c r="M48" s="115"/>
      <c r="N48" s="125">
        <f t="shared" si="25"/>
        <v>0</v>
      </c>
      <c r="O48" s="114">
        <f>+N48/'P&amp;L Summary'!M$21</f>
        <v>0</v>
      </c>
      <c r="P48" s="114"/>
      <c r="Q48" s="74">
        <f>IF(ISERROR(VLOOKUP($X48,ess_bud,Q$6,FALSE)),0,VLOOKUP($X48,ess_bud,Q$6,FALSE))+IF(ISERROR(VLOOKUP($Z48,ess_bud,Q$6,FALSE)),0,VLOOKUP($Z48,ess_bud,Q$6,FALSE))+IF(ISERROR(VLOOKUP($Y48,ess_bud,Q$6,FALSE)),0,VLOOKUP($Y48,ess_bud,Q$6,FALSE))+IF(ISERROR(VLOOKUP($AA48,ess_bud,Q$6,FALSE)),0,VLOOKUP($AA48,ess_bud,Q$6,FALSE))</f>
        <v>0</v>
      </c>
      <c r="R48" s="114">
        <f>+Q48/'P&amp;L Summary'!P$21</f>
        <v>0</v>
      </c>
      <c r="S48" s="114">
        <f t="shared" si="26"/>
        <v>0</v>
      </c>
      <c r="T48" s="114"/>
      <c r="U48" s="126">
        <f t="shared" si="27"/>
        <v>0</v>
      </c>
      <c r="V48" s="114">
        <f>+U48/'P&amp;L Summary'!T$21</f>
        <v>0</v>
      </c>
      <c r="W48" s="116">
        <f t="shared" si="28"/>
        <v>0</v>
      </c>
      <c r="X48" s="2" t="str">
        <f t="shared" si="29"/>
        <v>46202CW</v>
      </c>
      <c r="Y48" s="2" t="str">
        <f t="shared" si="30"/>
        <v>46202CO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ht="12.75" customHeight="1">
      <c r="A49" s="32">
        <v>47304.0</v>
      </c>
      <c r="B49" s="8" t="s">
        <v>155</v>
      </c>
      <c r="C49" s="125">
        <f t="shared" si="21"/>
        <v>0</v>
      </c>
      <c r="D49" s="114">
        <f>+C49/'P&amp;L Summary'!B$21</f>
        <v>0</v>
      </c>
      <c r="E49" s="114"/>
      <c r="F49" s="118">
        <f>IF(ISERROR(VLOOKUP($X49,ess_bud,F$6,FALSE)),0,VLOOKUP($X49,ess_bud,F$6,FALSE))+IF(ISERROR(VLOOKUP($Z49,ess_bud,F$6,FALSE)),0,VLOOKUP($Z49,ess_bud,F$6,FALSE))+IF(ISERROR(VLOOKUP($Y49,ess_bud,F$6,FALSE)),0,VLOOKUP($Y49,ess_bud,F$6,FALSE))+IF(ISERROR(VLOOKUP($AA49,ess_bud,F$6,FALSE)),0,VLOOKUP($AA49,ess_bud,F$6,FALSE))</f>
        <v>0</v>
      </c>
      <c r="G49" s="114">
        <f>+F49/'P&amp;L Summary'!E$21</f>
        <v>0</v>
      </c>
      <c r="H49" s="114">
        <f t="shared" si="22"/>
        <v>0</v>
      </c>
      <c r="I49" s="114"/>
      <c r="J49" s="118">
        <f t="shared" si="23"/>
        <v>0</v>
      </c>
      <c r="K49" s="114">
        <f>+J49/'P&amp;L Summary'!I$21</f>
        <v>0</v>
      </c>
      <c r="L49" s="116">
        <f t="shared" si="24"/>
        <v>0</v>
      </c>
      <c r="M49" s="115"/>
      <c r="N49" s="125">
        <f t="shared" si="25"/>
        <v>0</v>
      </c>
      <c r="O49" s="114">
        <f>+N49/'P&amp;L Summary'!M$21</f>
        <v>0</v>
      </c>
      <c r="P49" s="114"/>
      <c r="Q49" s="74">
        <f>IF(ISERROR(VLOOKUP($X49,ess_bud,Q$6,FALSE)),0,VLOOKUP($X49,ess_bud,Q$6,FALSE))+IF(ISERROR(VLOOKUP($Z49,ess_bud,Q$6,FALSE)),0,VLOOKUP($Z49,ess_bud,Q$6,FALSE))+IF(ISERROR(VLOOKUP($Y49,ess_bud,Q$6,FALSE)),0,VLOOKUP($Y49,ess_bud,Q$6,FALSE))+IF(ISERROR(VLOOKUP($AA49,ess_bud,Q$6,FALSE)),0,VLOOKUP($AA49,ess_bud,Q$6,FALSE))</f>
        <v>0</v>
      </c>
      <c r="R49" s="114">
        <f>+Q49/'P&amp;L Summary'!P$21</f>
        <v>0</v>
      </c>
      <c r="S49" s="114">
        <f t="shared" si="26"/>
        <v>0</v>
      </c>
      <c r="T49" s="114"/>
      <c r="U49" s="126">
        <f t="shared" si="27"/>
        <v>0</v>
      </c>
      <c r="V49" s="114">
        <f>+U49/'P&amp;L Summary'!T$21</f>
        <v>0</v>
      </c>
      <c r="W49" s="116">
        <f t="shared" si="28"/>
        <v>0</v>
      </c>
      <c r="X49" s="2" t="str">
        <f t="shared" si="29"/>
        <v>47304CW</v>
      </c>
      <c r="Y49" s="2" t="str">
        <f t="shared" si="30"/>
        <v>47304CO</v>
      </c>
      <c r="Z49" s="8" t="str">
        <f>47300&amp;$X$6</f>
        <v>47300CW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ht="12.75" customHeight="1">
      <c r="A50" s="32">
        <v>47305.0</v>
      </c>
      <c r="B50" s="8" t="s">
        <v>156</v>
      </c>
      <c r="C50" s="125">
        <f t="shared" si="21"/>
        <v>0</v>
      </c>
      <c r="D50" s="114">
        <f>+C50/'P&amp;L Summary'!B$21</f>
        <v>0</v>
      </c>
      <c r="E50" s="114"/>
      <c r="F50" s="118">
        <f>IF(ISERROR(VLOOKUP($X50,ess_bud,F$6,FALSE)),0,VLOOKUP($X50,ess_bud,F$6,FALSE))+IF(ISERROR(VLOOKUP($Z50,ess_bud,F$6,FALSE)),0,VLOOKUP($Z50,ess_bud,F$6,FALSE))+IF(ISERROR(VLOOKUP($Y50,ess_bud,F$6,FALSE)),0,VLOOKUP($Y50,ess_bud,F$6,FALSE))+IF(ISERROR(VLOOKUP($AA50,ess_bud,F$6,FALSE)),0,VLOOKUP($AA50,ess_bud,F$6,FALSE))</f>
        <v>0</v>
      </c>
      <c r="G50" s="114">
        <f>+F50/'P&amp;L Summary'!E$21</f>
        <v>0</v>
      </c>
      <c r="H50" s="114">
        <f t="shared" si="22"/>
        <v>0</v>
      </c>
      <c r="I50" s="114"/>
      <c r="J50" s="118">
        <f t="shared" si="23"/>
        <v>0</v>
      </c>
      <c r="K50" s="114">
        <f>+J50/'P&amp;L Summary'!I$21</f>
        <v>0</v>
      </c>
      <c r="L50" s="116">
        <f t="shared" si="24"/>
        <v>0</v>
      </c>
      <c r="M50" s="115"/>
      <c r="N50" s="125">
        <f t="shared" si="25"/>
        <v>0</v>
      </c>
      <c r="O50" s="114">
        <f>+N50/'P&amp;L Summary'!M$21</f>
        <v>0</v>
      </c>
      <c r="P50" s="114"/>
      <c r="Q50" s="74">
        <f>IF(ISERROR(VLOOKUP($X50,ess_bud,Q$6,FALSE)),0,VLOOKUP($X50,ess_bud,Q$6,FALSE))+IF(ISERROR(VLOOKUP($Z50,ess_bud,Q$6,FALSE)),0,VLOOKUP($Z50,ess_bud,Q$6,FALSE))+IF(ISERROR(VLOOKUP($Y50,ess_bud,Q$6,FALSE)),0,VLOOKUP($Y50,ess_bud,Q$6,FALSE))+IF(ISERROR(VLOOKUP($AA50,ess_bud,Q$6,FALSE)),0,VLOOKUP($AA50,ess_bud,Q$6,FALSE))</f>
        <v>0</v>
      </c>
      <c r="R50" s="114">
        <f>+Q50/'P&amp;L Summary'!P$21</f>
        <v>0</v>
      </c>
      <c r="S50" s="114">
        <f t="shared" si="26"/>
        <v>0</v>
      </c>
      <c r="T50" s="114"/>
      <c r="U50" s="126">
        <f t="shared" si="27"/>
        <v>0</v>
      </c>
      <c r="V50" s="114">
        <f>+U50/'P&amp;L Summary'!T$21</f>
        <v>0</v>
      </c>
      <c r="W50" s="116">
        <f t="shared" si="28"/>
        <v>0</v>
      </c>
      <c r="X50" s="2" t="str">
        <f t="shared" si="29"/>
        <v>47305CW</v>
      </c>
      <c r="Y50" s="2" t="str">
        <f t="shared" si="30"/>
        <v>47305CO</v>
      </c>
      <c r="Z50" s="8" t="str">
        <f>47301&amp;$X$6</f>
        <v>47301CW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ht="12.75" customHeight="1">
      <c r="A51" s="32">
        <v>47306.0</v>
      </c>
      <c r="B51" s="8" t="s">
        <v>157</v>
      </c>
      <c r="C51" s="125">
        <f t="shared" si="21"/>
        <v>0</v>
      </c>
      <c r="D51" s="114">
        <f>+C51/'P&amp;L Summary'!B$21</f>
        <v>0</v>
      </c>
      <c r="E51" s="114"/>
      <c r="F51" s="118">
        <f>IF(ISERROR(VLOOKUP($X51,ess_bud,F$6,FALSE)),0,VLOOKUP($X51,ess_bud,F$6,FALSE))+IF(ISERROR(VLOOKUP($Z51,ess_bud,F$6,FALSE)),0,VLOOKUP($Z51,ess_bud,F$6,FALSE))+IF(ISERROR(VLOOKUP($Y51,ess_bud,F$6,FALSE)),0,VLOOKUP($Y51,ess_bud,F$6,FALSE))+IF(ISERROR(VLOOKUP($AA51,ess_bud,F$6,FALSE)),0,VLOOKUP($AA51,ess_bud,F$6,FALSE))</f>
        <v>0</v>
      </c>
      <c r="G51" s="114">
        <f>+F51/'P&amp;L Summary'!E$21</f>
        <v>0</v>
      </c>
      <c r="H51" s="114">
        <f t="shared" si="22"/>
        <v>0</v>
      </c>
      <c r="I51" s="114"/>
      <c r="J51" s="118">
        <f t="shared" si="23"/>
        <v>0</v>
      </c>
      <c r="K51" s="114">
        <f>+J51/'P&amp;L Summary'!I$21</f>
        <v>0</v>
      </c>
      <c r="L51" s="116">
        <f t="shared" si="24"/>
        <v>0</v>
      </c>
      <c r="M51" s="115"/>
      <c r="N51" s="125">
        <f t="shared" si="25"/>
        <v>0</v>
      </c>
      <c r="O51" s="114">
        <f>+N51/'P&amp;L Summary'!M$21</f>
        <v>0</v>
      </c>
      <c r="P51" s="114"/>
      <c r="Q51" s="74">
        <f>IF(ISERROR(VLOOKUP($X51,ess_bud,Q$6,FALSE)),0,VLOOKUP($X51,ess_bud,Q$6,FALSE))+IF(ISERROR(VLOOKUP($Z51,ess_bud,Q$6,FALSE)),0,VLOOKUP($Z51,ess_bud,Q$6,FALSE))+IF(ISERROR(VLOOKUP($Y51,ess_bud,Q$6,FALSE)),0,VLOOKUP($Y51,ess_bud,Q$6,FALSE))+IF(ISERROR(VLOOKUP($AA51,ess_bud,Q$6,FALSE)),0,VLOOKUP($AA51,ess_bud,Q$6,FALSE))</f>
        <v>0</v>
      </c>
      <c r="R51" s="114">
        <f>+Q51/'P&amp;L Summary'!P$21</f>
        <v>0</v>
      </c>
      <c r="S51" s="114">
        <f t="shared" si="26"/>
        <v>0</v>
      </c>
      <c r="T51" s="114"/>
      <c r="U51" s="126">
        <f t="shared" si="27"/>
        <v>0</v>
      </c>
      <c r="V51" s="114">
        <f>+U51/'P&amp;L Summary'!T$21</f>
        <v>0</v>
      </c>
      <c r="W51" s="116">
        <f t="shared" si="28"/>
        <v>0</v>
      </c>
      <c r="X51" s="2" t="str">
        <f t="shared" si="29"/>
        <v>47306CW</v>
      </c>
      <c r="Y51" s="2" t="str">
        <f t="shared" si="30"/>
        <v>47306CO</v>
      </c>
      <c r="Z51" s="8" t="str">
        <f>47302&amp;$X$6</f>
        <v>47302CW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ht="12.75" customHeight="1">
      <c r="A52" s="32">
        <v>47307.0</v>
      </c>
      <c r="B52" s="8" t="s">
        <v>158</v>
      </c>
      <c r="C52" s="125">
        <f t="shared" si="21"/>
        <v>0</v>
      </c>
      <c r="D52" s="114">
        <f>+C52/'P&amp;L Summary'!B$21</f>
        <v>0</v>
      </c>
      <c r="E52" s="114"/>
      <c r="F52" s="118">
        <f>IF(ISERROR(VLOOKUP($X52,ess_bud,F$6,FALSE)),0,VLOOKUP($X52,ess_bud,F$6,FALSE))+IF(ISERROR(VLOOKUP($Z52,ess_bud,F$6,FALSE)),0,VLOOKUP($Z52,ess_bud,F$6,FALSE))+IF(ISERROR(VLOOKUP($Y52,ess_bud,F$6,FALSE)),0,VLOOKUP($Y52,ess_bud,F$6,FALSE))+IF(ISERROR(VLOOKUP($AA52,ess_bud,F$6,FALSE)),0,VLOOKUP($AA52,ess_bud,F$6,FALSE))</f>
        <v>0</v>
      </c>
      <c r="G52" s="114">
        <f>+F52/'P&amp;L Summary'!E$21</f>
        <v>0</v>
      </c>
      <c r="H52" s="114">
        <f t="shared" si="22"/>
        <v>0</v>
      </c>
      <c r="I52" s="114"/>
      <c r="J52" s="118">
        <f t="shared" si="23"/>
        <v>0</v>
      </c>
      <c r="K52" s="114">
        <f>+J52/'P&amp;L Summary'!I$21</f>
        <v>0</v>
      </c>
      <c r="L52" s="116">
        <f t="shared" si="24"/>
        <v>0</v>
      </c>
      <c r="M52" s="115"/>
      <c r="N52" s="125">
        <f t="shared" si="25"/>
        <v>0</v>
      </c>
      <c r="O52" s="114">
        <f>+N52/'P&amp;L Summary'!M$21</f>
        <v>0</v>
      </c>
      <c r="P52" s="114"/>
      <c r="Q52" s="74">
        <f>IF(ISERROR(VLOOKUP($X52,ess_bud,Q$6,FALSE)),0,VLOOKUP($X52,ess_bud,Q$6,FALSE))+IF(ISERROR(VLOOKUP($Z52,ess_bud,Q$6,FALSE)),0,VLOOKUP($Z52,ess_bud,Q$6,FALSE))+IF(ISERROR(VLOOKUP($Y52,ess_bud,Q$6,FALSE)),0,VLOOKUP($Y52,ess_bud,Q$6,FALSE))+IF(ISERROR(VLOOKUP($AA52,ess_bud,Q$6,FALSE)),0,VLOOKUP($AA52,ess_bud,Q$6,FALSE))</f>
        <v>0</v>
      </c>
      <c r="R52" s="114">
        <f>+Q52/'P&amp;L Summary'!P$21</f>
        <v>0</v>
      </c>
      <c r="S52" s="114">
        <f t="shared" si="26"/>
        <v>0</v>
      </c>
      <c r="T52" s="114"/>
      <c r="U52" s="126">
        <f t="shared" si="27"/>
        <v>0</v>
      </c>
      <c r="V52" s="114">
        <f>+U52/'P&amp;L Summary'!T$21</f>
        <v>0</v>
      </c>
      <c r="W52" s="116">
        <f t="shared" si="28"/>
        <v>0</v>
      </c>
      <c r="X52" s="2" t="str">
        <f t="shared" si="29"/>
        <v>47307CW</v>
      </c>
      <c r="Y52" s="2" t="str">
        <f t="shared" si="30"/>
        <v>47307CO</v>
      </c>
      <c r="Z52" s="8" t="str">
        <f>47303&amp;$X$6</f>
        <v>47303CW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ht="12.75" customHeight="1">
      <c r="A53" s="32">
        <v>47314.0</v>
      </c>
      <c r="B53" s="8" t="s">
        <v>159</v>
      </c>
      <c r="C53" s="125">
        <f t="shared" si="21"/>
        <v>0</v>
      </c>
      <c r="D53" s="114">
        <f>+C53/'P&amp;L Summary'!B$21</f>
        <v>0</v>
      </c>
      <c r="E53" s="114"/>
      <c r="F53" s="118">
        <f>IF(ISERROR(VLOOKUP($X53,ess_bud,F$6,FALSE)),0,VLOOKUP($X53,ess_bud,F$6,FALSE))+IF(ISERROR(VLOOKUP($Z53,ess_bud,F$6,FALSE)),0,VLOOKUP($Z53,ess_bud,F$6,FALSE))+IF(ISERROR(VLOOKUP($Y53,ess_bud,F$6,FALSE)),0,VLOOKUP($Y53,ess_bud,F$6,FALSE))+IF(ISERROR(VLOOKUP($AA53,ess_bud,F$6,FALSE)),0,VLOOKUP($AA53,ess_bud,F$6,FALSE))</f>
        <v>0</v>
      </c>
      <c r="G53" s="114">
        <f>+F53/'P&amp;L Summary'!E$21</f>
        <v>0</v>
      </c>
      <c r="H53" s="114">
        <f>IF(F54=0,0,+(C54-F54)/F54)</f>
        <v>0</v>
      </c>
      <c r="I53" s="114"/>
      <c r="J53" s="118">
        <f t="shared" si="23"/>
        <v>0</v>
      </c>
      <c r="K53" s="114">
        <f>+J53/'P&amp;L Summary'!I$21</f>
        <v>0</v>
      </c>
      <c r="L53" s="116">
        <f>IF(J54=0,0,+(C54-J54)/J54)</f>
        <v>0</v>
      </c>
      <c r="M53" s="115"/>
      <c r="N53" s="125">
        <f t="shared" si="25"/>
        <v>0</v>
      </c>
      <c r="O53" s="114">
        <f>+N53/'P&amp;L Summary'!M$21</f>
        <v>0</v>
      </c>
      <c r="P53" s="114"/>
      <c r="Q53" s="74">
        <f>IF(ISERROR(VLOOKUP($X53,ess_bud,Q$6,FALSE)),0,VLOOKUP($X53,ess_bud,Q$6,FALSE))+IF(ISERROR(VLOOKUP($Z53,ess_bud,Q$6,FALSE)),0,VLOOKUP($Z53,ess_bud,Q$6,FALSE))+IF(ISERROR(VLOOKUP($Y53,ess_bud,Q$6,FALSE)),0,VLOOKUP($Y53,ess_bud,Q$6,FALSE))+IF(ISERROR(VLOOKUP($AA53,ess_bud,Q$6,FALSE)),0,VLOOKUP($AA53,ess_bud,Q$6,FALSE))</f>
        <v>0</v>
      </c>
      <c r="R53" s="114">
        <f>+Q53/'P&amp;L Summary'!P$21</f>
        <v>0</v>
      </c>
      <c r="S53" s="114">
        <f>+IF(Q54=0,0,(N54-Q54)/Q54)</f>
        <v>0</v>
      </c>
      <c r="T53" s="114"/>
      <c r="U53" s="126">
        <f t="shared" si="27"/>
        <v>0</v>
      </c>
      <c r="V53" s="114">
        <f>+U53/'P&amp;L Summary'!T$21</f>
        <v>0</v>
      </c>
      <c r="W53" s="116">
        <f t="shared" si="28"/>
        <v>0</v>
      </c>
      <c r="X53" s="2" t="str">
        <f t="shared" si="29"/>
        <v>47314CW</v>
      </c>
      <c r="Y53" s="2" t="str">
        <f t="shared" si="30"/>
        <v>47314CO</v>
      </c>
      <c r="Z53" s="8" t="str">
        <f>47310&amp;$X$6</f>
        <v>47310CW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ht="12.75" customHeight="1">
      <c r="A54" s="32">
        <v>47315.0</v>
      </c>
      <c r="B54" s="8" t="s">
        <v>160</v>
      </c>
      <c r="C54" s="125">
        <f t="shared" si="21"/>
        <v>0</v>
      </c>
      <c r="D54" s="114">
        <f>+C54/'P&amp;L Summary'!B$21</f>
        <v>0</v>
      </c>
      <c r="E54" s="114"/>
      <c r="F54" s="118">
        <f>IF(ISERROR(VLOOKUP($X54,ess_bud,F$6,FALSE)),0,VLOOKUP($X54,ess_bud,F$6,FALSE))+IF(ISERROR(VLOOKUP($Z54,ess_bud,F$6,FALSE)),0,VLOOKUP($Z54,ess_bud,F$6,FALSE))+IF(ISERROR(VLOOKUP($Y54,ess_bud,F$6,FALSE)),0,VLOOKUP($Y54,ess_bud,F$6,FALSE))+IF(ISERROR(VLOOKUP($AA54,ess_bud,F$6,FALSE)),0,VLOOKUP($AA54,ess_bud,F$6,FALSE))</f>
        <v>0</v>
      </c>
      <c r="G54" s="114">
        <f>+F54/'P&amp;L Summary'!E$21</f>
        <v>0</v>
      </c>
      <c r="H54" s="114">
        <f t="shared" ref="H54:H57" si="31">IF(F54=0,0,+(C54-F54)/F54)</f>
        <v>0</v>
      </c>
      <c r="I54" s="114"/>
      <c r="J54" s="118">
        <f t="shared" si="23"/>
        <v>0</v>
      </c>
      <c r="K54" s="114">
        <f>+J54/'P&amp;L Summary'!I$21</f>
        <v>0</v>
      </c>
      <c r="L54" s="116">
        <f t="shared" ref="L54:L57" si="32">IF(J54=0,0,+(C54-J54)/J54)</f>
        <v>0</v>
      </c>
      <c r="M54" s="115"/>
      <c r="N54" s="125">
        <f t="shared" si="25"/>
        <v>0</v>
      </c>
      <c r="O54" s="114">
        <f>+N54/'P&amp;L Summary'!M$21</f>
        <v>0</v>
      </c>
      <c r="P54" s="114"/>
      <c r="Q54" s="74">
        <f>IF(ISERROR(VLOOKUP($X54,ess_bud,Q$6,FALSE)),0,VLOOKUP($X54,ess_bud,Q$6,FALSE))+IF(ISERROR(VLOOKUP($Z54,ess_bud,Q$6,FALSE)),0,VLOOKUP($Z54,ess_bud,Q$6,FALSE))+IF(ISERROR(VLOOKUP($Y54,ess_bud,Q$6,FALSE)),0,VLOOKUP($Y54,ess_bud,Q$6,FALSE))+IF(ISERROR(VLOOKUP($AA54,ess_bud,Q$6,FALSE)),0,VLOOKUP($AA54,ess_bud,Q$6,FALSE))</f>
        <v>0</v>
      </c>
      <c r="R54" s="114">
        <f>+Q54/'P&amp;L Summary'!P$21</f>
        <v>0</v>
      </c>
      <c r="S54" s="114">
        <f t="shared" ref="S54:S57" si="33">+IF(Q54=0,0,(N54-Q54)/Q54)</f>
        <v>0</v>
      </c>
      <c r="T54" s="114"/>
      <c r="U54" s="126">
        <f t="shared" si="27"/>
        <v>0</v>
      </c>
      <c r="V54" s="114">
        <f>+U54/'P&amp;L Summary'!T$21</f>
        <v>0</v>
      </c>
      <c r="W54" s="116">
        <f t="shared" si="28"/>
        <v>0</v>
      </c>
      <c r="X54" s="2" t="str">
        <f t="shared" si="29"/>
        <v>47315CW</v>
      </c>
      <c r="Y54" s="2" t="str">
        <f t="shared" si="30"/>
        <v>47315CO</v>
      </c>
      <c r="Z54" s="8" t="str">
        <f>47311&amp;$X$6</f>
        <v>47311CW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ht="12.75" customHeight="1">
      <c r="A55" s="32">
        <v>47316.0</v>
      </c>
      <c r="B55" s="8" t="s">
        <v>161</v>
      </c>
      <c r="C55" s="125">
        <f t="shared" si="21"/>
        <v>0</v>
      </c>
      <c r="D55" s="114">
        <f>+C55/'P&amp;L Summary'!B$21</f>
        <v>0</v>
      </c>
      <c r="E55" s="114"/>
      <c r="F55" s="118">
        <f>IF(ISERROR(VLOOKUP($X55,ess_bud,F$6,FALSE)),0,VLOOKUP($X55,ess_bud,F$6,FALSE))+IF(ISERROR(VLOOKUP($Z55,ess_bud,F$6,FALSE)),0,VLOOKUP($Z55,ess_bud,F$6,FALSE))+IF(ISERROR(VLOOKUP($Y55,ess_bud,F$6,FALSE)),0,VLOOKUP($Y55,ess_bud,F$6,FALSE))+IF(ISERROR(VLOOKUP($AA55,ess_bud,F$6,FALSE)),0,VLOOKUP($AA55,ess_bud,F$6,FALSE))</f>
        <v>0</v>
      </c>
      <c r="G55" s="114">
        <f>+F55/'P&amp;L Summary'!E$21</f>
        <v>0</v>
      </c>
      <c r="H55" s="114">
        <f t="shared" si="31"/>
        <v>0</v>
      </c>
      <c r="I55" s="114"/>
      <c r="J55" s="118">
        <f t="shared" si="23"/>
        <v>0</v>
      </c>
      <c r="K55" s="114">
        <f>+J55/'P&amp;L Summary'!I$21</f>
        <v>0</v>
      </c>
      <c r="L55" s="116">
        <f t="shared" si="32"/>
        <v>0</v>
      </c>
      <c r="M55" s="115"/>
      <c r="N55" s="125">
        <f t="shared" si="25"/>
        <v>0</v>
      </c>
      <c r="O55" s="114">
        <f>+N55/'P&amp;L Summary'!M$21</f>
        <v>0</v>
      </c>
      <c r="P55" s="114"/>
      <c r="Q55" s="74">
        <f>IF(ISERROR(VLOOKUP($X55,ess_bud,Q$6,FALSE)),0,VLOOKUP($X55,ess_bud,Q$6,FALSE))+IF(ISERROR(VLOOKUP($Z55,ess_bud,Q$6,FALSE)),0,VLOOKUP($Z55,ess_bud,Q$6,FALSE))+IF(ISERROR(VLOOKUP($Y55,ess_bud,Q$6,FALSE)),0,VLOOKUP($Y55,ess_bud,Q$6,FALSE))+IF(ISERROR(VLOOKUP($AA55,ess_bud,Q$6,FALSE)),0,VLOOKUP($AA55,ess_bud,Q$6,FALSE))</f>
        <v>0</v>
      </c>
      <c r="R55" s="114">
        <f>+Q55/'P&amp;L Summary'!P$21</f>
        <v>0</v>
      </c>
      <c r="S55" s="114">
        <f t="shared" si="33"/>
        <v>0</v>
      </c>
      <c r="T55" s="114"/>
      <c r="U55" s="126">
        <f t="shared" si="27"/>
        <v>0</v>
      </c>
      <c r="V55" s="114">
        <f>+U55/'P&amp;L Summary'!T$21</f>
        <v>0</v>
      </c>
      <c r="W55" s="116">
        <f t="shared" si="28"/>
        <v>0</v>
      </c>
      <c r="X55" s="2" t="str">
        <f t="shared" si="29"/>
        <v>47316CW</v>
      </c>
      <c r="Y55" s="2" t="str">
        <f t="shared" si="30"/>
        <v>47316CO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ht="12.75" customHeight="1">
      <c r="A56" s="32">
        <v>47354.0</v>
      </c>
      <c r="B56" s="8" t="s">
        <v>162</v>
      </c>
      <c r="C56" s="125">
        <f t="shared" si="21"/>
        <v>0</v>
      </c>
      <c r="D56" s="114">
        <f>+C56/'P&amp;L Summary'!B$21</f>
        <v>0</v>
      </c>
      <c r="E56" s="114"/>
      <c r="F56" s="118">
        <f>IF(ISERROR(VLOOKUP($X56,ess_bud,F$6,FALSE)),0,VLOOKUP($X56,ess_bud,F$6,FALSE))+IF(ISERROR(VLOOKUP($Z56,ess_bud,F$6,FALSE)),0,VLOOKUP($Z56,ess_bud,F$6,FALSE))+IF(ISERROR(VLOOKUP($Y56,ess_bud,F$6,FALSE)),0,VLOOKUP($Y56,ess_bud,F$6,FALSE))+IF(ISERROR(VLOOKUP($AA56,ess_bud,F$6,FALSE)),0,VLOOKUP($AA56,ess_bud,F$6,FALSE))</f>
        <v>0</v>
      </c>
      <c r="G56" s="114">
        <f>+F56/'P&amp;L Summary'!E$21</f>
        <v>0</v>
      </c>
      <c r="H56" s="114">
        <f t="shared" si="31"/>
        <v>0</v>
      </c>
      <c r="I56" s="114"/>
      <c r="J56" s="118">
        <f t="shared" si="23"/>
        <v>0</v>
      </c>
      <c r="K56" s="114">
        <f>+J56/'P&amp;L Summary'!I$21</f>
        <v>0</v>
      </c>
      <c r="L56" s="116">
        <f t="shared" si="32"/>
        <v>0</v>
      </c>
      <c r="M56" s="115"/>
      <c r="N56" s="125">
        <f t="shared" si="25"/>
        <v>0</v>
      </c>
      <c r="O56" s="114">
        <f>+N56/'P&amp;L Summary'!M$21</f>
        <v>0</v>
      </c>
      <c r="P56" s="114"/>
      <c r="Q56" s="74">
        <f>IF(ISERROR(VLOOKUP($X56,ess_bud,Q$6,FALSE)),0,VLOOKUP($X56,ess_bud,Q$6,FALSE))+IF(ISERROR(VLOOKUP($Z56,ess_bud,Q$6,FALSE)),0,VLOOKUP($Z56,ess_bud,Q$6,FALSE))+IF(ISERROR(VLOOKUP($Y56,ess_bud,Q$6,FALSE)),0,VLOOKUP($Y56,ess_bud,Q$6,FALSE))+IF(ISERROR(VLOOKUP($AA56,ess_bud,Q$6,FALSE)),0,VLOOKUP($AA56,ess_bud,Q$6,FALSE))</f>
        <v>0</v>
      </c>
      <c r="R56" s="114">
        <f>+Q56/'P&amp;L Summary'!P$21</f>
        <v>0</v>
      </c>
      <c r="S56" s="114">
        <f t="shared" si="33"/>
        <v>0</v>
      </c>
      <c r="T56" s="114"/>
      <c r="U56" s="126">
        <f t="shared" si="27"/>
        <v>0</v>
      </c>
      <c r="V56" s="114">
        <f>+U56/'P&amp;L Summary'!T$21</f>
        <v>0</v>
      </c>
      <c r="W56" s="116">
        <f t="shared" si="28"/>
        <v>0</v>
      </c>
      <c r="X56" s="2" t="str">
        <f t="shared" si="29"/>
        <v>47354CW</v>
      </c>
      <c r="Y56" s="2" t="str">
        <f t="shared" si="30"/>
        <v>47354CO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ht="12.75" customHeight="1">
      <c r="A57" s="32">
        <v>47400.0</v>
      </c>
      <c r="B57" s="8" t="s">
        <v>148</v>
      </c>
      <c r="C57" s="125">
        <f t="shared" si="21"/>
        <v>0</v>
      </c>
      <c r="D57" s="114">
        <f>+C57/'P&amp;L Summary'!B$21</f>
        <v>0</v>
      </c>
      <c r="E57" s="114"/>
      <c r="F57" s="118">
        <f>IF(ISERROR(VLOOKUP($X57,ess_bud,F$6,FALSE)),0,VLOOKUP($X57,ess_bud,F$6,FALSE))+IF(ISERROR(VLOOKUP($Z57,ess_bud,F$6,FALSE)),0,VLOOKUP($Z57,ess_bud,F$6,FALSE))+IF(ISERROR(VLOOKUP($Y57,ess_bud,F$6,FALSE)),0,VLOOKUP($Y57,ess_bud,F$6,FALSE))+IF(ISERROR(VLOOKUP($AA57,ess_bud,F$6,FALSE)),0,VLOOKUP($AA57,ess_bud,F$6,FALSE))</f>
        <v>0</v>
      </c>
      <c r="G57" s="114">
        <f>+F57/'P&amp;L Summary'!E$21</f>
        <v>0</v>
      </c>
      <c r="H57" s="114">
        <f t="shared" si="31"/>
        <v>0</v>
      </c>
      <c r="I57" s="114"/>
      <c r="J57" s="118">
        <f t="shared" si="23"/>
        <v>0</v>
      </c>
      <c r="K57" s="114">
        <f>+J57/'P&amp;L Summary'!I$21</f>
        <v>0</v>
      </c>
      <c r="L57" s="116">
        <f t="shared" si="32"/>
        <v>0</v>
      </c>
      <c r="M57" s="115"/>
      <c r="N57" s="125">
        <f t="shared" si="25"/>
        <v>0</v>
      </c>
      <c r="O57" s="114">
        <f>+N57/'P&amp;L Summary'!M$21</f>
        <v>0</v>
      </c>
      <c r="P57" s="114"/>
      <c r="Q57" s="74">
        <f>IF(ISERROR(VLOOKUP($X57,ess_bud,Q$6,FALSE)),0,VLOOKUP($X57,ess_bud,Q$6,FALSE))+IF(ISERROR(VLOOKUP($Z57,ess_bud,Q$6,FALSE)),0,VLOOKUP($Z57,ess_bud,Q$6,FALSE))+IF(ISERROR(VLOOKUP($Y57,ess_bud,Q$6,FALSE)),0,VLOOKUP($Y57,ess_bud,Q$6,FALSE))+IF(ISERROR(VLOOKUP($AA57,ess_bud,Q$6,FALSE)),0,VLOOKUP($AA57,ess_bud,Q$6,FALSE))</f>
        <v>0</v>
      </c>
      <c r="R57" s="114">
        <f>+Q57/'P&amp;L Summary'!P$21</f>
        <v>0</v>
      </c>
      <c r="S57" s="114">
        <f t="shared" si="33"/>
        <v>0</v>
      </c>
      <c r="T57" s="114"/>
      <c r="U57" s="126">
        <f t="shared" si="27"/>
        <v>0</v>
      </c>
      <c r="V57" s="114">
        <f>+U57/'P&amp;L Summary'!T$21</f>
        <v>0</v>
      </c>
      <c r="W57" s="116">
        <f t="shared" si="28"/>
        <v>0</v>
      </c>
      <c r="X57" s="2" t="str">
        <f t="shared" si="29"/>
        <v>47400CW</v>
      </c>
      <c r="Y57" s="2" t="str">
        <f t="shared" si="30"/>
        <v>47400CO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ht="12.75" customHeight="1">
      <c r="A58" s="32">
        <v>47401.0</v>
      </c>
      <c r="B58" s="8" t="s">
        <v>149</v>
      </c>
      <c r="C58" s="125">
        <f t="shared" si="21"/>
        <v>0</v>
      </c>
      <c r="D58" s="114">
        <f>+C58/'P&amp;L Summary'!B$21</f>
        <v>0</v>
      </c>
      <c r="E58" s="114"/>
      <c r="F58" s="118">
        <f>IF(ISERROR(VLOOKUP($X58,ess_bud,F$6,FALSE)),0,VLOOKUP($X58,ess_bud,F$6,FALSE))+IF(ISERROR(VLOOKUP($Z58,ess_bud,F$6,FALSE)),0,VLOOKUP($Z58,ess_bud,F$6,FALSE))+IF(ISERROR(VLOOKUP($Y58,ess_bud,F$6,FALSE)),0,VLOOKUP($Y58,ess_bud,F$6,FALSE))+IF(ISERROR(VLOOKUP($AA58,ess_bud,F$6,FALSE)),0,VLOOKUP($AA58,ess_bud,F$6,FALSE))</f>
        <v>0</v>
      </c>
      <c r="G58" s="114">
        <f>+F58/'P&amp;L Summary'!E$21</f>
        <v>0</v>
      </c>
      <c r="H58" s="114">
        <f t="shared" ref="H58:H59" si="34">IF(F70=0,0,+(C70-F70)/F70)</f>
        <v>0</v>
      </c>
      <c r="I58" s="114"/>
      <c r="J58" s="118">
        <f t="shared" si="23"/>
        <v>0</v>
      </c>
      <c r="K58" s="114">
        <f>+J58/'P&amp;L Summary'!I$21</f>
        <v>0</v>
      </c>
      <c r="L58" s="116">
        <f t="shared" ref="L58:L59" si="35">IF(J70=0,0,+(C70-J70)/J70)</f>
        <v>0</v>
      </c>
      <c r="M58" s="115"/>
      <c r="N58" s="125">
        <f t="shared" si="25"/>
        <v>0</v>
      </c>
      <c r="O58" s="114">
        <f>+N58/'P&amp;L Summary'!M$21</f>
        <v>0</v>
      </c>
      <c r="P58" s="114"/>
      <c r="Q58" s="74">
        <f>IF(ISERROR(VLOOKUP($X58,ess_bud,Q$6,FALSE)),0,VLOOKUP($X58,ess_bud,Q$6,FALSE))+IF(ISERROR(VLOOKUP($Z58,ess_bud,Q$6,FALSE)),0,VLOOKUP($Z58,ess_bud,Q$6,FALSE))+IF(ISERROR(VLOOKUP($Y58,ess_bud,Q$6,FALSE)),0,VLOOKUP($Y58,ess_bud,Q$6,FALSE))+IF(ISERROR(VLOOKUP($AA58,ess_bud,Q$6,FALSE)),0,VLOOKUP($AA58,ess_bud,Q$6,FALSE))</f>
        <v>0</v>
      </c>
      <c r="R58" s="114">
        <f>+Q58/'P&amp;L Summary'!P$21</f>
        <v>0</v>
      </c>
      <c r="S58" s="114">
        <f t="shared" ref="S58:S59" si="36">+IF(Q70=0,0,(N70-Q70)/Q70)</f>
        <v>0</v>
      </c>
      <c r="T58" s="114"/>
      <c r="U58" s="126">
        <f t="shared" si="27"/>
        <v>0</v>
      </c>
      <c r="V58" s="114">
        <f>+U58/'P&amp;L Summary'!T$21</f>
        <v>0</v>
      </c>
      <c r="W58" s="116">
        <f t="shared" si="28"/>
        <v>0</v>
      </c>
      <c r="X58" s="2" t="str">
        <f t="shared" si="29"/>
        <v>47401CW</v>
      </c>
      <c r="Y58" s="2" t="str">
        <f t="shared" si="30"/>
        <v>47401CO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ht="12.75" customHeight="1">
      <c r="A59" s="32">
        <v>47402.0</v>
      </c>
      <c r="B59" s="8" t="s">
        <v>151</v>
      </c>
      <c r="C59" s="125">
        <f t="shared" si="21"/>
        <v>0</v>
      </c>
      <c r="D59" s="114">
        <f>+C59/'P&amp;L Summary'!B$21</f>
        <v>0</v>
      </c>
      <c r="E59" s="114"/>
      <c r="F59" s="118">
        <f>IF(ISERROR(VLOOKUP($X59,ess_bud,F$6,FALSE)),0,VLOOKUP($X59,ess_bud,F$6,FALSE))+IF(ISERROR(VLOOKUP($Z59,ess_bud,F$6,FALSE)),0,VLOOKUP($Z59,ess_bud,F$6,FALSE))+IF(ISERROR(VLOOKUP($Y59,ess_bud,F$6,FALSE)),0,VLOOKUP($Y59,ess_bud,F$6,FALSE))+IF(ISERROR(VLOOKUP($AA59,ess_bud,F$6,FALSE)),0,VLOOKUP($AA59,ess_bud,F$6,FALSE))</f>
        <v>0</v>
      </c>
      <c r="G59" s="114">
        <f>+F59/'P&amp;L Summary'!E$21</f>
        <v>0</v>
      </c>
      <c r="H59" s="114">
        <f t="shared" si="34"/>
        <v>0</v>
      </c>
      <c r="I59" s="114"/>
      <c r="J59" s="118">
        <f t="shared" si="23"/>
        <v>0</v>
      </c>
      <c r="K59" s="114">
        <f>+J59/'P&amp;L Summary'!I$21</f>
        <v>0</v>
      </c>
      <c r="L59" s="116">
        <f t="shared" si="35"/>
        <v>0</v>
      </c>
      <c r="M59" s="115"/>
      <c r="N59" s="125">
        <f t="shared" si="25"/>
        <v>0</v>
      </c>
      <c r="O59" s="114">
        <f>+N59/'P&amp;L Summary'!M$21</f>
        <v>0</v>
      </c>
      <c r="P59" s="114"/>
      <c r="Q59" s="74">
        <f>IF(ISERROR(VLOOKUP($X59,ess_bud,Q$6,FALSE)),0,VLOOKUP($X59,ess_bud,Q$6,FALSE))+IF(ISERROR(VLOOKUP($Z59,ess_bud,Q$6,FALSE)),0,VLOOKUP($Z59,ess_bud,Q$6,FALSE))+IF(ISERROR(VLOOKUP($Y59,ess_bud,Q$6,FALSE)),0,VLOOKUP($Y59,ess_bud,Q$6,FALSE))+IF(ISERROR(VLOOKUP($AA59,ess_bud,Q$6,FALSE)),0,VLOOKUP($AA59,ess_bud,Q$6,FALSE))</f>
        <v>0</v>
      </c>
      <c r="R59" s="114">
        <f>+Q59/'P&amp;L Summary'!P$21</f>
        <v>0</v>
      </c>
      <c r="S59" s="114">
        <f t="shared" si="36"/>
        <v>0</v>
      </c>
      <c r="T59" s="114"/>
      <c r="U59" s="126">
        <f t="shared" si="27"/>
        <v>0</v>
      </c>
      <c r="V59" s="114">
        <f>+U59/'P&amp;L Summary'!T$21</f>
        <v>0</v>
      </c>
      <c r="W59" s="116">
        <f t="shared" si="28"/>
        <v>0</v>
      </c>
      <c r="X59" s="2" t="str">
        <f t="shared" si="29"/>
        <v>47402CW</v>
      </c>
      <c r="Y59" s="2" t="str">
        <f t="shared" si="30"/>
        <v>47402CO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ht="12.75" customHeight="1">
      <c r="A60" s="32">
        <v>47403.0</v>
      </c>
      <c r="B60" s="8" t="s">
        <v>163</v>
      </c>
      <c r="C60" s="125">
        <f t="shared" si="21"/>
        <v>0</v>
      </c>
      <c r="D60" s="114">
        <f>+C60/'P&amp;L Summary'!B$21</f>
        <v>0</v>
      </c>
      <c r="E60" s="114"/>
      <c r="F60" s="118">
        <f>IF(ISERROR(VLOOKUP($X60,ess_bud,F$6,FALSE)),0,VLOOKUP($X60,ess_bud,F$6,FALSE))+IF(ISERROR(VLOOKUP($Z60,ess_bud,F$6,FALSE)),0,VLOOKUP($Z60,ess_bud,F$6,FALSE))+IF(ISERROR(VLOOKUP($Y60,ess_bud,F$6,FALSE)),0,VLOOKUP($Y60,ess_bud,F$6,FALSE))+IF(ISERROR(VLOOKUP($AA60,ess_bud,F$6,FALSE)),0,VLOOKUP($AA60,ess_bud,F$6,FALSE))</f>
        <v>0</v>
      </c>
      <c r="G60" s="114">
        <f>+F60/'P&amp;L Summary'!E$21</f>
        <v>0</v>
      </c>
      <c r="H60" s="114">
        <f>IF(F74=0,0,+(C74-F74)/F74)</f>
        <v>0</v>
      </c>
      <c r="I60" s="114"/>
      <c r="J60" s="118">
        <f t="shared" si="23"/>
        <v>0</v>
      </c>
      <c r="K60" s="114">
        <f>+J60/'P&amp;L Summary'!I$21</f>
        <v>0</v>
      </c>
      <c r="L60" s="116">
        <f>IF(J74=0,0,+(C74-J74)/J74)</f>
        <v>0</v>
      </c>
      <c r="M60" s="115"/>
      <c r="N60" s="125">
        <f t="shared" si="25"/>
        <v>0</v>
      </c>
      <c r="O60" s="114">
        <f>+N60/'P&amp;L Summary'!M$21</f>
        <v>0</v>
      </c>
      <c r="P60" s="114"/>
      <c r="Q60" s="74">
        <f>IF(ISERROR(VLOOKUP($X60,ess_bud,Q$6,FALSE)),0,VLOOKUP($X60,ess_bud,Q$6,FALSE))+IF(ISERROR(VLOOKUP($Z60,ess_bud,Q$6,FALSE)),0,VLOOKUP($Z60,ess_bud,Q$6,FALSE))+IF(ISERROR(VLOOKUP($Y60,ess_bud,Q$6,FALSE)),0,VLOOKUP($Y60,ess_bud,Q$6,FALSE))+IF(ISERROR(VLOOKUP($AA60,ess_bud,Q$6,FALSE)),0,VLOOKUP($AA60,ess_bud,Q$6,FALSE))</f>
        <v>0</v>
      </c>
      <c r="R60" s="114">
        <f>+Q60/'P&amp;L Summary'!P$21</f>
        <v>0</v>
      </c>
      <c r="S60" s="114">
        <f>+IF(Q74=0,0,(N74-Q74)/Q74)</f>
        <v>0</v>
      </c>
      <c r="T60" s="114"/>
      <c r="U60" s="126">
        <f t="shared" si="27"/>
        <v>0</v>
      </c>
      <c r="V60" s="114">
        <f>+U60/'P&amp;L Summary'!T$21</f>
        <v>0</v>
      </c>
      <c r="W60" s="116">
        <f t="shared" si="28"/>
        <v>0</v>
      </c>
      <c r="X60" s="2" t="str">
        <f t="shared" si="29"/>
        <v>47403CW</v>
      </c>
      <c r="Y60" s="2" t="str">
        <f t="shared" si="30"/>
        <v>47403CO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ht="12.75" customHeight="1">
      <c r="A61" s="32">
        <v>47500.0</v>
      </c>
      <c r="B61" s="8" t="s">
        <v>164</v>
      </c>
      <c r="C61" s="125">
        <f t="shared" si="21"/>
        <v>0</v>
      </c>
      <c r="D61" s="114">
        <f>+C61/'P&amp;L Summary'!B$21</f>
        <v>0</v>
      </c>
      <c r="E61" s="114"/>
      <c r="F61" s="118">
        <f>IF(ISERROR(VLOOKUP($X61,ess_bud,F$6,FALSE)),0,VLOOKUP($X61,ess_bud,F$6,FALSE))+IF(ISERROR(VLOOKUP($Z61,ess_bud,F$6,FALSE)),0,VLOOKUP($Z61,ess_bud,F$6,FALSE))+IF(ISERROR(VLOOKUP($Y61,ess_bud,F$6,FALSE)),0,VLOOKUP($Y61,ess_bud,F$6,FALSE))+IF(ISERROR(VLOOKUP($AA61,ess_bud,F$6,FALSE)),0,VLOOKUP($AA61,ess_bud,F$6,FALSE))</f>
        <v>0</v>
      </c>
      <c r="G61" s="114">
        <f>+F61/'P&amp;L Summary'!E$21</f>
        <v>0</v>
      </c>
      <c r="H61" s="114">
        <f t="shared" ref="H61:H63" si="37">IF(F74=0,0,+(C74-F74)/F74)</f>
        <v>0</v>
      </c>
      <c r="I61" s="114"/>
      <c r="J61" s="118">
        <f t="shared" si="23"/>
        <v>0</v>
      </c>
      <c r="K61" s="114">
        <f>+J61/'P&amp;L Summary'!I$21</f>
        <v>0</v>
      </c>
      <c r="L61" s="116">
        <f t="shared" ref="L61:L63" si="38">IF(J74=0,0,+(C74-J74)/J74)</f>
        <v>0</v>
      </c>
      <c r="M61" s="115"/>
      <c r="N61" s="125">
        <f t="shared" si="25"/>
        <v>0</v>
      </c>
      <c r="O61" s="114">
        <f>+N61/'P&amp;L Summary'!M$21</f>
        <v>0</v>
      </c>
      <c r="P61" s="114"/>
      <c r="Q61" s="74">
        <f>IF(ISERROR(VLOOKUP($X61,ess_bud,Q$6,FALSE)),0,VLOOKUP($X61,ess_bud,Q$6,FALSE))+IF(ISERROR(VLOOKUP($Z61,ess_bud,Q$6,FALSE)),0,VLOOKUP($Z61,ess_bud,Q$6,FALSE))+IF(ISERROR(VLOOKUP($Y61,ess_bud,Q$6,FALSE)),0,VLOOKUP($Y61,ess_bud,Q$6,FALSE))+IF(ISERROR(VLOOKUP($AA61,ess_bud,Q$6,FALSE)),0,VLOOKUP($AA61,ess_bud,Q$6,FALSE))</f>
        <v>0</v>
      </c>
      <c r="R61" s="114">
        <f>+Q61/'P&amp;L Summary'!P$21</f>
        <v>0</v>
      </c>
      <c r="S61" s="114">
        <f t="shared" ref="S61:S62" si="39">+IF(Q74=0,0,(N74-Q74)/Q74)</f>
        <v>0</v>
      </c>
      <c r="T61" s="114"/>
      <c r="U61" s="126">
        <f t="shared" si="27"/>
        <v>0</v>
      </c>
      <c r="V61" s="114">
        <f>+U61/'P&amp;L Summary'!T$21</f>
        <v>0</v>
      </c>
      <c r="W61" s="116">
        <f t="shared" si="28"/>
        <v>0</v>
      </c>
      <c r="X61" s="2" t="str">
        <f t="shared" si="29"/>
        <v>47500CW</v>
      </c>
      <c r="Y61" s="2" t="str">
        <f t="shared" si="30"/>
        <v>47500CO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ht="12.75" customHeight="1">
      <c r="A62" s="32">
        <v>47501.0</v>
      </c>
      <c r="B62" s="8" t="s">
        <v>165</v>
      </c>
      <c r="C62" s="125">
        <f t="shared" si="21"/>
        <v>0</v>
      </c>
      <c r="D62" s="114">
        <f>+C62/'P&amp;L Summary'!B$21</f>
        <v>0</v>
      </c>
      <c r="E62" s="114"/>
      <c r="F62" s="118">
        <f>IF(ISERROR(VLOOKUP($X62,ess_bud,F$6,FALSE)),0,VLOOKUP($X62,ess_bud,F$6,FALSE))+IF(ISERROR(VLOOKUP($Z62,ess_bud,F$6,FALSE)),0,VLOOKUP($Z62,ess_bud,F$6,FALSE))+IF(ISERROR(VLOOKUP($Y62,ess_bud,F$6,FALSE)),0,VLOOKUP($Y62,ess_bud,F$6,FALSE))+IF(ISERROR(VLOOKUP($AA62,ess_bud,F$6,FALSE)),0,VLOOKUP($AA62,ess_bud,F$6,FALSE))</f>
        <v>0</v>
      </c>
      <c r="G62" s="114">
        <f>+F62/'P&amp;L Summary'!E$21</f>
        <v>0</v>
      </c>
      <c r="H62" s="114">
        <f t="shared" si="37"/>
        <v>0</v>
      </c>
      <c r="I62" s="114"/>
      <c r="J62" s="118">
        <f t="shared" si="23"/>
        <v>0</v>
      </c>
      <c r="K62" s="114">
        <f>+J62/'P&amp;L Summary'!I$21</f>
        <v>0</v>
      </c>
      <c r="L62" s="116">
        <f t="shared" si="38"/>
        <v>0</v>
      </c>
      <c r="M62" s="115"/>
      <c r="N62" s="125">
        <f t="shared" si="25"/>
        <v>0</v>
      </c>
      <c r="O62" s="114">
        <f>+N62/'P&amp;L Summary'!M$21</f>
        <v>0</v>
      </c>
      <c r="P62" s="114"/>
      <c r="Q62" s="74">
        <f>IF(ISERROR(VLOOKUP($X62,ess_bud,Q$6,FALSE)),0,VLOOKUP($X62,ess_bud,Q$6,FALSE))+IF(ISERROR(VLOOKUP($Z62,ess_bud,Q$6,FALSE)),0,VLOOKUP($Z62,ess_bud,Q$6,FALSE))+IF(ISERROR(VLOOKUP($Y62,ess_bud,Q$6,FALSE)),0,VLOOKUP($Y62,ess_bud,Q$6,FALSE))+IF(ISERROR(VLOOKUP($AA62,ess_bud,Q$6,FALSE)),0,VLOOKUP($AA62,ess_bud,Q$6,FALSE))</f>
        <v>0</v>
      </c>
      <c r="R62" s="114">
        <f>+Q62/'P&amp;L Summary'!P$21</f>
        <v>0</v>
      </c>
      <c r="S62" s="114">
        <f t="shared" si="39"/>
        <v>-1</v>
      </c>
      <c r="T62" s="114"/>
      <c r="U62" s="126">
        <f t="shared" si="27"/>
        <v>0</v>
      </c>
      <c r="V62" s="114">
        <f>+U62/'P&amp;L Summary'!T$21</f>
        <v>0</v>
      </c>
      <c r="W62" s="116">
        <f t="shared" si="28"/>
        <v>0</v>
      </c>
      <c r="X62" s="2" t="str">
        <f t="shared" si="29"/>
        <v>47501CW</v>
      </c>
      <c r="Y62" s="2" t="str">
        <f t="shared" si="30"/>
        <v>47501CO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ht="12.75" customHeight="1">
      <c r="A63" s="32">
        <v>47502.0</v>
      </c>
      <c r="B63" s="8" t="s">
        <v>166</v>
      </c>
      <c r="C63" s="125">
        <f t="shared" si="21"/>
        <v>0</v>
      </c>
      <c r="D63" s="114">
        <f>+C63/'P&amp;L Summary'!B$21</f>
        <v>0</v>
      </c>
      <c r="E63" s="114"/>
      <c r="F63" s="118">
        <f>IF(ISERROR(VLOOKUP($X63,ess_bud,F$6,FALSE)),0,VLOOKUP($X63,ess_bud,F$6,FALSE))+IF(ISERROR(VLOOKUP($Z63,ess_bud,F$6,FALSE)),0,VLOOKUP($Z63,ess_bud,F$6,FALSE))+IF(ISERROR(VLOOKUP($Y63,ess_bud,F$6,FALSE)),0,VLOOKUP($Y63,ess_bud,F$6,FALSE))+IF(ISERROR(VLOOKUP($AA63,ess_bud,F$6,FALSE)),0,VLOOKUP($AA63,ess_bud,F$6,FALSE))</f>
        <v>0</v>
      </c>
      <c r="G63" s="114">
        <f>+F63/'P&amp;L Summary'!E$21</f>
        <v>0</v>
      </c>
      <c r="H63" s="114">
        <f t="shared" si="37"/>
        <v>0</v>
      </c>
      <c r="I63" s="114"/>
      <c r="J63" s="118">
        <f t="shared" si="23"/>
        <v>0</v>
      </c>
      <c r="K63" s="114">
        <f>+J63/'P&amp;L Summary'!I$21</f>
        <v>0</v>
      </c>
      <c r="L63" s="116">
        <f t="shared" si="38"/>
        <v>0</v>
      </c>
      <c r="M63" s="115"/>
      <c r="N63" s="125">
        <f t="shared" si="25"/>
        <v>0</v>
      </c>
      <c r="O63" s="114">
        <f>+N63/'P&amp;L Summary'!M$21</f>
        <v>0</v>
      </c>
      <c r="P63" s="114"/>
      <c r="Q63" s="74">
        <f>IF(ISERROR(VLOOKUP($X63,ess_bud,Q$6,FALSE)),0,VLOOKUP($X63,ess_bud,Q$6,FALSE))+IF(ISERROR(VLOOKUP($Z63,ess_bud,Q$6,FALSE)),0,VLOOKUP($Z63,ess_bud,Q$6,FALSE))+IF(ISERROR(VLOOKUP($Y63,ess_bud,Q$6,FALSE)),0,VLOOKUP($Y63,ess_bud,Q$6,FALSE))+IF(ISERROR(VLOOKUP($AA63,ess_bud,Q$6,FALSE)),0,VLOOKUP($AA63,ess_bud,Q$6,FALSE))</f>
        <v>0</v>
      </c>
      <c r="R63" s="114">
        <f>+Q63/'P&amp;L Summary'!P$21</f>
        <v>0</v>
      </c>
      <c r="S63" s="114"/>
      <c r="T63" s="114"/>
      <c r="U63" s="126">
        <f t="shared" si="27"/>
        <v>0</v>
      </c>
      <c r="V63" s="114">
        <f>+U63/'P&amp;L Summary'!T$21</f>
        <v>0</v>
      </c>
      <c r="W63" s="116">
        <f t="shared" si="28"/>
        <v>0</v>
      </c>
      <c r="X63" s="2" t="str">
        <f t="shared" si="29"/>
        <v>47502CW</v>
      </c>
      <c r="Y63" s="2" t="str">
        <f t="shared" si="30"/>
        <v>47502CO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ht="12.75" customHeight="1">
      <c r="A64" s="32">
        <v>45800.0</v>
      </c>
      <c r="B64" s="8" t="s">
        <v>167</v>
      </c>
      <c r="C64" s="125">
        <f t="shared" si="21"/>
        <v>0</v>
      </c>
      <c r="D64" s="114">
        <f>+C64/'P&amp;L Summary'!B$21</f>
        <v>0</v>
      </c>
      <c r="E64" s="114"/>
      <c r="F64" s="118">
        <f>IF(ISERROR(VLOOKUP($X64,ess_bud,F$6,FALSE)),0,VLOOKUP($X64,ess_bud,F$6,FALSE))+IF(ISERROR(VLOOKUP($Z64,ess_bud,F$6,FALSE)),0,VLOOKUP($Z64,ess_bud,F$6,FALSE))+IF(ISERROR(VLOOKUP($Y64,ess_bud,F$6,FALSE)),0,VLOOKUP($Y64,ess_bud,F$6,FALSE))+IF(ISERROR(VLOOKUP($AA64,ess_bud,F$6,FALSE)),0,VLOOKUP($AA64,ess_bud,F$6,FALSE))</f>
        <v>0</v>
      </c>
      <c r="G64" s="114">
        <f>+F64/'P&amp;L Summary'!E$21</f>
        <v>0</v>
      </c>
      <c r="H64" s="114">
        <f>IF(F73=0,0,+(C73-F73)/F73)</f>
        <v>0</v>
      </c>
      <c r="I64" s="114"/>
      <c r="J64" s="118">
        <f t="shared" si="23"/>
        <v>0</v>
      </c>
      <c r="K64" s="114">
        <f>+J64/'P&amp;L Summary'!I$21</f>
        <v>0</v>
      </c>
      <c r="L64" s="116">
        <f>IF(J73=0,0,+(C73-J73)/J73)</f>
        <v>0</v>
      </c>
      <c r="M64" s="115"/>
      <c r="N64" s="125">
        <f t="shared" si="25"/>
        <v>0</v>
      </c>
      <c r="O64" s="114">
        <f>+N64/'P&amp;L Summary'!M$21</f>
        <v>0</v>
      </c>
      <c r="P64" s="114"/>
      <c r="Q64" s="74">
        <f>IF(ISERROR(VLOOKUP($X64,ess_bud,Q$6,FALSE)),0,VLOOKUP($X64,ess_bud,Q$6,FALSE))+IF(ISERROR(VLOOKUP($Z64,ess_bud,Q$6,FALSE)),0,VLOOKUP($Z64,ess_bud,Q$6,FALSE))+IF(ISERROR(VLOOKUP($Y64,ess_bud,Q$6,FALSE)),0,VLOOKUP($Y64,ess_bud,Q$6,FALSE))+IF(ISERROR(VLOOKUP($AA64,ess_bud,Q$6,FALSE)),0,VLOOKUP($AA64,ess_bud,Q$6,FALSE))</f>
        <v>0</v>
      </c>
      <c r="R64" s="114">
        <f>+Q64/'P&amp;L Summary'!P$21</f>
        <v>0</v>
      </c>
      <c r="S64" s="114">
        <f>+IF(Q73=0,0,(N73-Q73)/Q73)</f>
        <v>0</v>
      </c>
      <c r="T64" s="114"/>
      <c r="U64" s="126">
        <f t="shared" si="27"/>
        <v>0</v>
      </c>
      <c r="V64" s="114">
        <f>+U64/'P&amp;L Summary'!T$21</f>
        <v>0</v>
      </c>
      <c r="W64" s="116">
        <f t="shared" si="28"/>
        <v>0</v>
      </c>
      <c r="X64" s="2" t="str">
        <f t="shared" si="29"/>
        <v>45800CW</v>
      </c>
      <c r="Y64" s="2" t="str">
        <f t="shared" si="30"/>
        <v>45800CO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ht="12.75" customHeight="1">
      <c r="A65" s="32">
        <v>47405.0</v>
      </c>
      <c r="B65" s="8" t="s">
        <v>168</v>
      </c>
      <c r="C65" s="125">
        <f t="shared" si="21"/>
        <v>0</v>
      </c>
      <c r="D65" s="114">
        <f>+C65/'P&amp;L Summary'!B$21</f>
        <v>0</v>
      </c>
      <c r="E65" s="114"/>
      <c r="F65" s="118">
        <f>IF(ISERROR(VLOOKUP($X65,ess_bud,F$6,FALSE)),0,VLOOKUP($X65,ess_bud,F$6,FALSE))+IF(ISERROR(VLOOKUP($Z65,ess_bud,F$6,FALSE)),0,VLOOKUP($Z65,ess_bud,F$6,FALSE))+IF(ISERROR(VLOOKUP($Y65,ess_bud,F$6,FALSE)),0,VLOOKUP($Y65,ess_bud,F$6,FALSE))+IF(ISERROR(VLOOKUP($AA65,ess_bud,F$6,FALSE)),0,VLOOKUP($AA65,ess_bud,F$6,FALSE))</f>
        <v>0</v>
      </c>
      <c r="G65" s="114">
        <f>+F65/'P&amp;L Summary'!E$21</f>
        <v>0</v>
      </c>
      <c r="H65" s="114">
        <f>IF(F72=0,0,+(C72-F72)/F72)</f>
        <v>0</v>
      </c>
      <c r="I65" s="114"/>
      <c r="J65" s="35">
        <f t="shared" si="23"/>
        <v>0</v>
      </c>
      <c r="K65" s="114">
        <f>+J65/'P&amp;L Summary'!I$21</f>
        <v>0</v>
      </c>
      <c r="L65" s="116">
        <f>IF(J72=0,0,+(C72-J72)/J72)</f>
        <v>0</v>
      </c>
      <c r="M65" s="115"/>
      <c r="N65" s="125">
        <f t="shared" si="25"/>
        <v>0</v>
      </c>
      <c r="O65" s="114">
        <f>+N65/'P&amp;L Summary'!M$21</f>
        <v>0</v>
      </c>
      <c r="P65" s="114"/>
      <c r="Q65" s="35">
        <f>IF(ISERROR(VLOOKUP($X65,ess_bud,Q$6,FALSE)),0,VLOOKUP($X65,ess_bud,Q$6,FALSE))+IF(ISERROR(VLOOKUP($Z65,ess_bud,Q$6,FALSE)),0,VLOOKUP($Z65,ess_bud,Q$6,FALSE))+IF(ISERROR(VLOOKUP($Y65,ess_bud,Q$6,FALSE)),0,VLOOKUP($Y65,ess_bud,Q$6,FALSE))+IF(ISERROR(VLOOKUP($AA65,ess_bud,Q$6,FALSE)),0,VLOOKUP($AA65,ess_bud,Q$6,FALSE))</f>
        <v>0</v>
      </c>
      <c r="R65" s="114">
        <f>+Q65/'P&amp;L Summary'!P$21</f>
        <v>0</v>
      </c>
      <c r="S65" s="114">
        <f>+IF(Q72=0,0,(N72-Q72)/Q72)</f>
        <v>0</v>
      </c>
      <c r="T65" s="114"/>
      <c r="U65" s="35">
        <f t="shared" si="27"/>
        <v>0</v>
      </c>
      <c r="V65" s="114">
        <f>+U65/'P&amp;L Summary'!T$21</f>
        <v>0</v>
      </c>
      <c r="W65" s="116">
        <f t="shared" si="28"/>
        <v>0</v>
      </c>
      <c r="X65" s="2" t="str">
        <f t="shared" si="29"/>
        <v>47405CW</v>
      </c>
      <c r="Y65" s="2" t="str">
        <f t="shared" si="30"/>
        <v>47405CO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ht="12.75" customHeight="1">
      <c r="A66" s="32"/>
      <c r="B66" s="8" t="s">
        <v>169</v>
      </c>
      <c r="C66" s="125"/>
      <c r="D66" s="114"/>
      <c r="E66" s="114"/>
      <c r="F66" s="118"/>
      <c r="G66" s="114"/>
      <c r="H66" s="114"/>
      <c r="I66" s="114"/>
      <c r="J66" s="118"/>
      <c r="K66" s="114"/>
      <c r="L66" s="116"/>
      <c r="M66" s="115"/>
      <c r="N66" s="125"/>
      <c r="O66" s="114"/>
      <c r="P66" s="114"/>
      <c r="Q66" s="74"/>
      <c r="R66" s="114"/>
      <c r="S66" s="114"/>
      <c r="T66" s="114"/>
      <c r="U66" s="118"/>
      <c r="V66" s="114"/>
      <c r="W66" s="116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ht="12.75" customHeight="1">
      <c r="A67" s="2"/>
      <c r="B67" s="24" t="s">
        <v>40</v>
      </c>
      <c r="C67" s="179">
        <f>SUM(C44:C66)</f>
        <v>0</v>
      </c>
      <c r="D67" s="145">
        <f>+C67/'P&amp;L Summary'!B$21</f>
        <v>0</v>
      </c>
      <c r="E67" s="145"/>
      <c r="F67" s="147">
        <f>SUM(F44:F66)</f>
        <v>0</v>
      </c>
      <c r="G67" s="145">
        <f>+F67/'P&amp;L Summary'!E$21</f>
        <v>0</v>
      </c>
      <c r="H67" s="145">
        <f>IF(F67=0,0,+(C67-F67)/F67)</f>
        <v>0</v>
      </c>
      <c r="I67" s="145"/>
      <c r="J67" s="147">
        <f>SUM(J44:J66)</f>
        <v>0</v>
      </c>
      <c r="K67" s="145">
        <f>+J67/'P&amp;L Summary'!I$21</f>
        <v>0</v>
      </c>
      <c r="L67" s="148">
        <f>IF(J67=0,0,+(C67-J67)/J67)</f>
        <v>0</v>
      </c>
      <c r="M67" s="149"/>
      <c r="N67" s="179">
        <f>SUM(N44:N66)</f>
        <v>0</v>
      </c>
      <c r="O67" s="145">
        <f>+N67/'P&amp;L Summary'!M$21</f>
        <v>0</v>
      </c>
      <c r="P67" s="145"/>
      <c r="Q67" s="147">
        <f>SUM(Q44:Q66)</f>
        <v>0</v>
      </c>
      <c r="R67" s="145">
        <f>+Q67/'P&amp;L Summary'!P$21</f>
        <v>0</v>
      </c>
      <c r="S67" s="145">
        <f>+IF(Q67=0,0,(N67-Q67)/Q67)</f>
        <v>0</v>
      </c>
      <c r="T67" s="145"/>
      <c r="U67" s="147">
        <f>SUM(U44:U66)</f>
        <v>0</v>
      </c>
      <c r="V67" s="145">
        <f>+U67/'P&amp;L Summary'!T$21</f>
        <v>0</v>
      </c>
      <c r="W67" s="148">
        <f>+IF(U67=0,0,(N67-U67)/U67)</f>
        <v>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ht="12.75" customHeight="1">
      <c r="A69" s="2"/>
      <c r="B69" s="2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>
        <v>145705.0</v>
      </c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</row>
    <row r="70" ht="12.75" customHeight="1">
      <c r="A70" s="2"/>
      <c r="B70" s="2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>
        <f>+C67+N69</f>
        <v>145705</v>
      </c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</row>
    <row r="71" ht="12.75" customHeight="1">
      <c r="A71" s="2"/>
      <c r="B71" s="2"/>
      <c r="C71" s="2"/>
      <c r="D71" s="2"/>
      <c r="E71" s="2"/>
      <c r="F71" s="74"/>
      <c r="G71" s="2"/>
      <c r="H71" s="2"/>
      <c r="I71" s="2"/>
      <c r="J71" s="74"/>
      <c r="K71" s="2"/>
      <c r="L71" s="2"/>
      <c r="M71" s="2"/>
      <c r="N71" s="74">
        <f>+N70-N67</f>
        <v>145705</v>
      </c>
      <c r="O71" s="2"/>
      <c r="P71" s="2"/>
      <c r="Q71" s="74"/>
      <c r="R71" s="2"/>
      <c r="S71" s="2"/>
      <c r="T71" s="2"/>
      <c r="U71" s="74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ht="12.75" customHeight="1">
      <c r="A74" s="8">
        <v>45100.0</v>
      </c>
      <c r="B74" s="8" t="s">
        <v>170</v>
      </c>
      <c r="C74" s="35">
        <f t="shared" ref="C74:C80" si="40">IF(ISERROR(VLOOKUP($X74,ess_act,C$6,FALSE)),0,VLOOKUP($X74,ess_act,C$6,FALSE))+IF(ISERROR(VLOOKUP($Z74,ess_act,C$6,FALSE)),0,VLOOKUP($Z74,ess_act,C$6,FALSE))+IF(ISERROR(VLOOKUP($Y74,ess_act,C$6,FALSE)),0,VLOOKUP($Y74,ess_act,C$6,FALSE))+IF(ISERROR(VLOOKUP($AA74,ess_act,C$6,FALSE)),0,VLOOKUP($AA74,ess_act,C$6,FALSE))</f>
        <v>0</v>
      </c>
      <c r="D74" s="2"/>
      <c r="E74" s="29"/>
      <c r="F74" s="35">
        <f>IF(ISERROR(VLOOKUP($X74,ess_bud,F$6,FALSE)),0,VLOOKUP($X74,ess_bud,F$6,FALSE))+IF(ISERROR(VLOOKUP($Z74,ess_bud,F$6,FALSE)),0,VLOOKUP($Z74,ess_bud,F$6,FALSE))+IF(ISERROR(VLOOKUP($Y74,ess_bud,F$6,FALSE)),0,VLOOKUP($Y74,ess_bud,F$6,FALSE))+IF(ISERROR(VLOOKUP($AA74,ess_bud,F$6,FALSE)),0,VLOOKUP($AA74,ess_bud,F$6,FALSE))</f>
        <v>0</v>
      </c>
      <c r="G74" s="2"/>
      <c r="H74" s="2"/>
      <c r="I74" s="37"/>
      <c r="J74" s="35">
        <f t="shared" ref="J74:J80" si="41">IF(ISERROR(VLOOKUP($X74,ess_act,J$6,FALSE)),0,VLOOKUP($X74,ess_act,J$6,FALSE))+IF(ISERROR(VLOOKUP($Z74,ess_act,J$6,FALSE)),0,VLOOKUP($Z74,ess_act,J$6,FALSE))+IF(ISERROR(VLOOKUP($Y74,ess_act,J$6,FALSE)),0,VLOOKUP($Y74,ess_act,J$6,FALSE))+IF(ISERROR(VLOOKUP($AA74,ess_act,J$6,FALSE)),0,VLOOKUP($AA74,ess_act,J$6,FALSE))</f>
        <v>0</v>
      </c>
      <c r="K74" s="2"/>
      <c r="L74" s="2"/>
      <c r="M74" s="2"/>
      <c r="N74" s="35">
        <f t="shared" ref="N74:N80" si="42">IF(ISERROR(VLOOKUP($X74,ess_act,N$6,FALSE)),0,VLOOKUP($X74,ess_act,N$6,FALSE))+IF(ISERROR(VLOOKUP($Z74,ess_act,N$6,FALSE)),0,VLOOKUP($Z74,ess_act,N$6,FALSE))+IF(ISERROR(VLOOKUP($Y74,ess_act,N$6,FALSE)),0,VLOOKUP($Y74,ess_act,N$6,FALSE))+IF(ISERROR(VLOOKUP($AA74,ess_act,N$6,FALSE)),0,VLOOKUP($AA74,ess_act,N$6,FALSE))</f>
        <v>0</v>
      </c>
      <c r="P74" s="29"/>
      <c r="Q74" s="35">
        <f>IF(ISERROR(VLOOKUP($X74,ess_bud,Q$6,FALSE)),0,VLOOKUP($X74,ess_bud,Q$6,FALSE))+IF(ISERROR(VLOOKUP($Z74,ess_bud,Q$6,FALSE)),0,VLOOKUP($Z74,ess_bud,Q$6,FALSE))+IF(ISERROR(VLOOKUP($Y74,ess_bud,Q$6,FALSE)),0,VLOOKUP($Y74,ess_bud,Q$6,FALSE))+IF(ISERROR(VLOOKUP($AA74,ess_bud,Q$6,FALSE)),0,VLOOKUP($AA74,ess_bud,Q$6,FALSE))</f>
        <v>0</v>
      </c>
      <c r="T74" s="37"/>
      <c r="U74" s="35">
        <f t="shared" ref="U74:U80" si="43">IF(ISERROR(VLOOKUP($X74,ess_act,U$6,FALSE)),0,VLOOKUP($X74,ess_act,U$6,FALSE))+IF(ISERROR(VLOOKUP($Z74,ess_act,U$6,FALSE)),0,VLOOKUP($Z74,ess_act,U$6,FALSE))+IF(ISERROR(VLOOKUP($Y74,ess_act,U$6,FALSE)),0,VLOOKUP($Y74,ess_act,U$6,FALSE))+IF(ISERROR(VLOOKUP($AA74,ess_act,U$6,FALSE)),0,VLOOKUP($AA74,ess_act,U$6,FALSE))</f>
        <v>0</v>
      </c>
      <c r="X74" s="8" t="str">
        <f t="shared" ref="X74:X75" si="44">A74&amp;$X$6</f>
        <v>45100CW</v>
      </c>
      <c r="Y74" s="8"/>
      <c r="Z74" s="8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ht="12.75" customHeight="1">
      <c r="A75" s="8">
        <v>45301.0</v>
      </c>
      <c r="B75" s="8" t="s">
        <v>22</v>
      </c>
      <c r="C75" s="35">
        <f t="shared" si="40"/>
        <v>0</v>
      </c>
      <c r="D75" s="2"/>
      <c r="E75" s="29"/>
      <c r="F75" s="35">
        <f>IF(ISERROR(VLOOKUP($X75,ess_bud,F$6,FALSE)),0,VLOOKUP($X75,ess_bud,F$6,FALSE))+IF(ISERROR(VLOOKUP($Z75,ess_bud,F$6,FALSE)),0,VLOOKUP($Z75,ess_bud,F$6,FALSE))+IF(ISERROR(VLOOKUP($Y75,ess_bud,F$6,FALSE)),0,VLOOKUP($Y75,ess_bud,F$6,FALSE))+IF(ISERROR(VLOOKUP($AA75,ess_bud,F$6,FALSE)),0,VLOOKUP($AA75,ess_bud,F$6,FALSE))</f>
        <v>0</v>
      </c>
      <c r="G75" s="2"/>
      <c r="H75" s="2"/>
      <c r="I75" s="37"/>
      <c r="J75" s="35">
        <f t="shared" si="41"/>
        <v>0</v>
      </c>
      <c r="K75" s="2"/>
      <c r="L75" s="2"/>
      <c r="M75" s="2"/>
      <c r="N75" s="35">
        <f t="shared" si="42"/>
        <v>0</v>
      </c>
      <c r="P75" s="29"/>
      <c r="Q75" s="35">
        <f>IF(ISERROR(VLOOKUP($X75,ess_bud,Q$6,FALSE)),0,VLOOKUP($X75,ess_bud,Q$6,FALSE))+IF(ISERROR(VLOOKUP($Z75,ess_bud,Q$6,FALSE)),0,VLOOKUP($Z75,ess_bud,Q$6,FALSE))+IF(ISERROR(VLOOKUP($Y75,ess_bud,Q$6,FALSE)),0,VLOOKUP($Y75,ess_bud,Q$6,FALSE))+IF(ISERROR(VLOOKUP($AA75,ess_bud,Q$6,FALSE)),0,VLOOKUP($AA75,ess_bud,Q$6,FALSE))</f>
        <v>9360</v>
      </c>
      <c r="T75" s="37"/>
      <c r="U75" s="35">
        <f t="shared" si="43"/>
        <v>0</v>
      </c>
      <c r="X75" s="8" t="str">
        <f t="shared" si="44"/>
        <v>45301CW</v>
      </c>
      <c r="Y75" s="8"/>
      <c r="Z75" s="8" t="str">
        <f>45300&amp;$X$6</f>
        <v>45300CW</v>
      </c>
      <c r="AA75" s="8" t="str">
        <f>45302&amp;$X$6</f>
        <v>45302CW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ht="12.75" customHeight="1">
      <c r="A76" s="8"/>
      <c r="B76" s="8" t="s">
        <v>171</v>
      </c>
      <c r="C76" s="35">
        <f t="shared" si="40"/>
        <v>0</v>
      </c>
      <c r="D76" s="2"/>
      <c r="E76" s="29"/>
      <c r="F76" s="35">
        <f>IF(ISERROR(VLOOKUP($X76,ess_bud,F$6,FALSE)),0,VLOOKUP($X76,ess_bud,F$6,FALSE))+IF(ISERROR(VLOOKUP($Z76,ess_bud,F$6,FALSE)),0,VLOOKUP($Z76,ess_bud,F$6,FALSE))+IF(ISERROR(VLOOKUP($Y76,ess_bud,F$6,FALSE)),0,VLOOKUP($Y76,ess_bud,F$6,FALSE))+IF(ISERROR(VLOOKUP($AA76,ess_bud,F$6,FALSE)),0,VLOOKUP($AA76,ess_bud,F$6,FALSE))</f>
        <v>0</v>
      </c>
      <c r="G76" s="2"/>
      <c r="H76" s="2"/>
      <c r="I76" s="37"/>
      <c r="J76" s="35">
        <f t="shared" si="41"/>
        <v>0</v>
      </c>
      <c r="K76" s="2"/>
      <c r="L76" s="2"/>
      <c r="M76" s="2"/>
      <c r="N76" s="35">
        <f t="shared" si="42"/>
        <v>0</v>
      </c>
      <c r="P76" s="29"/>
      <c r="Q76" s="35">
        <f>IF(ISERROR(VLOOKUP($X76,ess_bud,Q$6,FALSE)),0,VLOOKUP($X76,ess_bud,Q$6,FALSE))+IF(ISERROR(VLOOKUP($Z76,ess_bud,Q$6,FALSE)),0,VLOOKUP($Z76,ess_bud,Q$6,FALSE))+IF(ISERROR(VLOOKUP($Y76,ess_bud,Q$6,FALSE)),0,VLOOKUP($Y76,ess_bud,Q$6,FALSE))+IF(ISERROR(VLOOKUP($AA76,ess_bud,Q$6,FALSE)),0,VLOOKUP($AA76,ess_bud,Q$6,FALSE))</f>
        <v>0</v>
      </c>
      <c r="T76" s="37"/>
      <c r="U76" s="35">
        <f t="shared" si="43"/>
        <v>0</v>
      </c>
      <c r="X76" s="8"/>
      <c r="Y76" s="8"/>
      <c r="Z76" s="8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ht="12.75" customHeight="1">
      <c r="A77" s="8">
        <v>45401.0</v>
      </c>
      <c r="B77" s="8" t="s">
        <v>24</v>
      </c>
      <c r="C77" s="35">
        <f t="shared" si="40"/>
        <v>0</v>
      </c>
      <c r="D77" s="2"/>
      <c r="E77" s="29"/>
      <c r="F77" s="35">
        <f>IF(ISERROR(VLOOKUP($X77,ess_bud,F$6,FALSE)),0,VLOOKUP($X77,ess_bud,F$6,FALSE))+IF(ISERROR(VLOOKUP($Z77,ess_bud,F$6,FALSE)),0,VLOOKUP($Z77,ess_bud,F$6,FALSE))+IF(ISERROR(VLOOKUP($Y77,ess_bud,F$6,FALSE)),0,VLOOKUP($Y77,ess_bud,F$6,FALSE))+IF(ISERROR(VLOOKUP($AA77,ess_bud,F$6,FALSE)),0,VLOOKUP($AA77,ess_bud,F$6,FALSE))</f>
        <v>0</v>
      </c>
      <c r="G77" s="2"/>
      <c r="H77" s="2"/>
      <c r="I77" s="37"/>
      <c r="J77" s="35">
        <f t="shared" si="41"/>
        <v>0</v>
      </c>
      <c r="K77" s="2"/>
      <c r="L77" s="2"/>
      <c r="M77" s="2"/>
      <c r="N77" s="35">
        <f t="shared" si="42"/>
        <v>0</v>
      </c>
      <c r="P77" s="29"/>
      <c r="Q77" s="35">
        <f>IF(ISERROR(VLOOKUP($X77,ess_bud,Q$6,FALSE)),0,VLOOKUP($X77,ess_bud,Q$6,FALSE))+IF(ISERROR(VLOOKUP($Z77,ess_bud,Q$6,FALSE)),0,VLOOKUP($Z77,ess_bud,Q$6,FALSE))+IF(ISERROR(VLOOKUP($Y77,ess_bud,Q$6,FALSE)),0,VLOOKUP($Y77,ess_bud,Q$6,FALSE))+IF(ISERROR(VLOOKUP($AA77,ess_bud,Q$6,FALSE)),0,VLOOKUP($AA77,ess_bud,Q$6,FALSE))</f>
        <v>0</v>
      </c>
      <c r="T77" s="37"/>
      <c r="U77" s="35">
        <f t="shared" si="43"/>
        <v>0</v>
      </c>
      <c r="X77" s="8" t="str">
        <f t="shared" ref="X77:X80" si="45">A77&amp;$X$6</f>
        <v>45401CW</v>
      </c>
      <c r="Y77" s="8" t="s">
        <v>201</v>
      </c>
      <c r="Z77" s="8" t="str">
        <f>45400&amp;$X$6</f>
        <v>45400CW</v>
      </c>
      <c r="AA77" s="8" t="str">
        <f>45404&amp;$X$6</f>
        <v>45404CW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ht="12.75" customHeight="1">
      <c r="A78" s="8">
        <v>45500.0</v>
      </c>
      <c r="B78" s="8" t="s">
        <v>26</v>
      </c>
      <c r="C78" s="35">
        <f t="shared" si="40"/>
        <v>0</v>
      </c>
      <c r="D78" s="2"/>
      <c r="E78" s="29"/>
      <c r="F78" s="35">
        <f>IF(ISERROR(VLOOKUP($X78,ess_bud,F$6,FALSE)),0,VLOOKUP($X78,ess_bud,F$6,FALSE))+IF(ISERROR(VLOOKUP($Z78,ess_bud,F$6,FALSE)),0,VLOOKUP($Z78,ess_bud,F$6,FALSE))+IF(ISERROR(VLOOKUP($Y78,ess_bud,F$6,FALSE)),0,VLOOKUP($Y78,ess_bud,F$6,FALSE))+IF(ISERROR(VLOOKUP($AA78,ess_bud,F$6,FALSE)),0,VLOOKUP($AA78,ess_bud,F$6,FALSE))</f>
        <v>0</v>
      </c>
      <c r="G78" s="2"/>
      <c r="H78" s="2"/>
      <c r="I78" s="37"/>
      <c r="J78" s="35">
        <f t="shared" si="41"/>
        <v>0</v>
      </c>
      <c r="K78" s="2"/>
      <c r="L78" s="2"/>
      <c r="M78" s="2"/>
      <c r="N78" s="35">
        <f t="shared" si="42"/>
        <v>0</v>
      </c>
      <c r="P78" s="29"/>
      <c r="Q78" s="35">
        <f>IF(ISERROR(VLOOKUP($X78,ess_bud,Q$6,FALSE)),0,VLOOKUP($X78,ess_bud,Q$6,FALSE))+IF(ISERROR(VLOOKUP($Z78,ess_bud,Q$6,FALSE)),0,VLOOKUP($Z78,ess_bud,Q$6,FALSE))+IF(ISERROR(VLOOKUP($Y78,ess_bud,Q$6,FALSE)),0,VLOOKUP($Y78,ess_bud,Q$6,FALSE))+IF(ISERROR(VLOOKUP($AA78,ess_bud,Q$6,FALSE)),0,VLOOKUP($AA78,ess_bud,Q$6,FALSE))</f>
        <v>0</v>
      </c>
      <c r="T78" s="37"/>
      <c r="U78" s="35">
        <f t="shared" si="43"/>
        <v>0</v>
      </c>
      <c r="X78" s="8" t="str">
        <f t="shared" si="45"/>
        <v>45500CW</v>
      </c>
      <c r="Y78" s="8" t="s">
        <v>202</v>
      </c>
      <c r="Z78" s="8" t="str">
        <f>45501&amp;$X$6</f>
        <v>45501CW</v>
      </c>
      <c r="AA78" s="2" t="s">
        <v>203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ht="12.75" customHeight="1">
      <c r="A79" s="8">
        <v>45600.0</v>
      </c>
      <c r="B79" s="8" t="s">
        <v>110</v>
      </c>
      <c r="C79" s="35">
        <f t="shared" si="40"/>
        <v>0</v>
      </c>
      <c r="D79" s="2"/>
      <c r="E79" s="29"/>
      <c r="F79" s="35">
        <f>IF(ISERROR(VLOOKUP($X79,ess_bud,F$6,FALSE)),0,VLOOKUP($X79,ess_bud,F$6,FALSE))+IF(ISERROR(VLOOKUP($Z79,ess_bud,F$6,FALSE)),0,VLOOKUP($Z79,ess_bud,F$6,FALSE))+IF(ISERROR(VLOOKUP($Y79,ess_bud,F$6,FALSE)),0,VLOOKUP($Y79,ess_bud,F$6,FALSE))+IF(ISERROR(VLOOKUP($AA79,ess_bud,F$6,FALSE)),0,VLOOKUP($AA79,ess_bud,F$6,FALSE))</f>
        <v>0</v>
      </c>
      <c r="G79" s="2"/>
      <c r="H79" s="2"/>
      <c r="I79" s="37"/>
      <c r="J79" s="35">
        <f t="shared" si="41"/>
        <v>0</v>
      </c>
      <c r="K79" s="2"/>
      <c r="L79" s="2"/>
      <c r="M79" s="2"/>
      <c r="N79" s="35">
        <f t="shared" si="42"/>
        <v>0</v>
      </c>
      <c r="P79" s="29"/>
      <c r="Q79" s="35">
        <f>IF(ISERROR(VLOOKUP($X79,ess_bud,Q$6,FALSE)),0,VLOOKUP($X79,ess_bud,Q$6,FALSE))+IF(ISERROR(VLOOKUP($Z79,ess_bud,Q$6,FALSE)),0,VLOOKUP($Z79,ess_bud,Q$6,FALSE))+IF(ISERROR(VLOOKUP($Y79,ess_bud,Q$6,FALSE)),0,VLOOKUP($Y79,ess_bud,Q$6,FALSE))+IF(ISERROR(VLOOKUP($AA79,ess_bud,Q$6,FALSE)),0,VLOOKUP($AA79,ess_bud,Q$6,FALSE))</f>
        <v>0</v>
      </c>
      <c r="T79" s="37"/>
      <c r="U79" s="35">
        <f t="shared" si="43"/>
        <v>0</v>
      </c>
      <c r="X79" s="8" t="str">
        <f t="shared" si="45"/>
        <v>45600CW</v>
      </c>
      <c r="Y79" s="8"/>
      <c r="Z79" s="8" t="str">
        <f>45601&amp;$X$6</f>
        <v>45601CW</v>
      </c>
      <c r="AA79" s="2" t="s">
        <v>204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ht="12.75" customHeight="1">
      <c r="A80" s="8">
        <v>47600.0</v>
      </c>
      <c r="B80" s="8" t="s">
        <v>173</v>
      </c>
      <c r="C80" s="35">
        <f t="shared" si="40"/>
        <v>0</v>
      </c>
      <c r="D80" s="2"/>
      <c r="E80" s="29"/>
      <c r="F80" s="35">
        <f>IF(ISERROR(VLOOKUP($X80,ess_bud,F$6,FALSE)),0,VLOOKUP($X80,ess_bud,F$6,FALSE))+IF(ISERROR(VLOOKUP($Z80,ess_bud,F$6,FALSE)),0,VLOOKUP($Z80,ess_bud,F$6,FALSE))+IF(ISERROR(VLOOKUP($Y80,ess_bud,F$6,FALSE)),0,VLOOKUP($Y80,ess_bud,F$6,FALSE))+IF(ISERROR(VLOOKUP($AA80,ess_bud,F$6,FALSE)),0,VLOOKUP($AA80,ess_bud,F$6,FALSE))</f>
        <v>0</v>
      </c>
      <c r="G80" s="2"/>
      <c r="H80" s="2"/>
      <c r="I80" s="37"/>
      <c r="J80" s="35">
        <f t="shared" si="41"/>
        <v>0</v>
      </c>
      <c r="K80" s="2"/>
      <c r="L80" s="2"/>
      <c r="M80" s="2"/>
      <c r="N80" s="35">
        <f t="shared" si="42"/>
        <v>0</v>
      </c>
      <c r="P80" s="29"/>
      <c r="Q80" s="35">
        <f>IF(ISERROR(VLOOKUP($X80,ess_bud,Q$6,FALSE)),0,VLOOKUP($X80,ess_bud,Q$6,FALSE))+IF(ISERROR(VLOOKUP($Z80,ess_bud,Q$6,FALSE)),0,VLOOKUP($Z80,ess_bud,Q$6,FALSE))+IF(ISERROR(VLOOKUP($Y80,ess_bud,Q$6,FALSE)),0,VLOOKUP($Y80,ess_bud,Q$6,FALSE))+IF(ISERROR(VLOOKUP($AA80,ess_bud,Q$6,FALSE)),0,VLOOKUP($AA80,ess_bud,Q$6,FALSE))</f>
        <v>0</v>
      </c>
      <c r="T80" s="37"/>
      <c r="U80" s="35">
        <f t="shared" si="43"/>
        <v>0</v>
      </c>
      <c r="X80" s="8" t="str">
        <f t="shared" si="45"/>
        <v>47600CW</v>
      </c>
      <c r="Y80" s="8"/>
      <c r="Z80" s="8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ht="12.75" customHeight="1">
      <c r="A81" s="8"/>
      <c r="B81" s="8"/>
      <c r="C81" s="126"/>
      <c r="D81" s="2"/>
      <c r="E81" s="29"/>
      <c r="F81" s="126"/>
      <c r="G81" s="2"/>
      <c r="H81" s="2"/>
      <c r="I81" s="37"/>
      <c r="J81" s="126"/>
      <c r="K81" s="2"/>
      <c r="L81" s="2"/>
      <c r="M81" s="2"/>
      <c r="N81" s="126"/>
      <c r="P81" s="29"/>
      <c r="Q81" s="126"/>
      <c r="T81" s="37"/>
      <c r="U81" s="126"/>
      <c r="X81" s="8"/>
      <c r="Y81" s="8"/>
      <c r="Z81" s="8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ht="12.75" customHeight="1">
      <c r="A82" s="8">
        <v>49101.0</v>
      </c>
      <c r="B82" s="8" t="s">
        <v>109</v>
      </c>
      <c r="C82" s="35">
        <f>IF(ISERROR(VLOOKUP($X82,ess_act,C$6,FALSE)),0,VLOOKUP($X82,ess_act,C$6,FALSE))+IF(ISERROR(VLOOKUP($Z82,ess_act,C$6,FALSE)),0,VLOOKUP($Z82,ess_act,C$6,FALSE))+IF(ISERROR(VLOOKUP($Y82,ess_act,C$6,FALSE)),0,VLOOKUP($Y82,ess_act,C$6,FALSE))+IF(ISERROR(VLOOKUP($AA82,ess_act,C$6,FALSE)),0,VLOOKUP($AA82,ess_act,C$6,FALSE))</f>
        <v>0</v>
      </c>
      <c r="D82" s="2"/>
      <c r="E82" s="29"/>
      <c r="F82" s="35">
        <f>IF(ISERROR(VLOOKUP($X82,ess_bud,F$6,FALSE)),0,VLOOKUP($X82,ess_bud,F$6,FALSE))+IF(ISERROR(VLOOKUP($Z82,ess_bud,F$6,FALSE)),0,VLOOKUP($Z82,ess_bud,F$6,FALSE))+IF(ISERROR(VLOOKUP($Y82,ess_bud,F$6,FALSE)),0,VLOOKUP($Y82,ess_bud,F$6,FALSE))+IF(ISERROR(VLOOKUP($AA82,ess_bud,F$6,FALSE)),0,VLOOKUP($AA82,ess_bud,F$6,FALSE))</f>
        <v>0</v>
      </c>
      <c r="G82" s="2"/>
      <c r="H82" s="2"/>
      <c r="I82" s="37"/>
      <c r="J82" s="35">
        <f>IF(ISERROR(VLOOKUP($X82,ess_act,J$6,FALSE)),0,VLOOKUP($X82,ess_act,J$6,FALSE))+IF(ISERROR(VLOOKUP($Z82,ess_act,J$6,FALSE)),0,VLOOKUP($Z82,ess_act,J$6,FALSE))+IF(ISERROR(VLOOKUP($Y82,ess_act,J$6,FALSE)),0,VLOOKUP($Y82,ess_act,J$6,FALSE))+IF(ISERROR(VLOOKUP($AA82,ess_act,J$6,FALSE)),0,VLOOKUP($AA82,ess_act,J$6,FALSE))</f>
        <v>0</v>
      </c>
      <c r="K82" s="2"/>
      <c r="L82" s="2"/>
      <c r="M82" s="2"/>
      <c r="N82" s="35">
        <f>IF(ISERROR(VLOOKUP($X82,ess_act,N$6,FALSE)),0,VLOOKUP($X82,ess_act,N$6,FALSE))+IF(ISERROR(VLOOKUP($Z82,ess_act,N$6,FALSE)),0,VLOOKUP($Z82,ess_act,N$6,FALSE))+IF(ISERROR(VLOOKUP($Y82,ess_act,N$6,FALSE)),0,VLOOKUP($Y82,ess_act,N$6,FALSE))+IF(ISERROR(VLOOKUP($AA82,ess_act,N$6,FALSE)),0,VLOOKUP($AA82,ess_act,N$6,FALSE))</f>
        <v>0</v>
      </c>
      <c r="P82" s="29"/>
      <c r="Q82" s="35">
        <f>IF(ISERROR(VLOOKUP($X82,ess_bud,Q$6,FALSE)),0,VLOOKUP($X82,ess_bud,Q$6,FALSE))+IF(ISERROR(VLOOKUP($Z82,ess_bud,Q$6,FALSE)),0,VLOOKUP($Z82,ess_bud,Q$6,FALSE))+IF(ISERROR(VLOOKUP($Y82,ess_bud,Q$6,FALSE)),0,VLOOKUP($Y82,ess_bud,Q$6,FALSE))+IF(ISERROR(VLOOKUP($AA82,ess_bud,Q$6,FALSE)),0,VLOOKUP($AA82,ess_bud,Q$6,FALSE))</f>
        <v>0</v>
      </c>
      <c r="T82" s="37"/>
      <c r="U82" s="35">
        <f>IF(ISERROR(VLOOKUP($X82,ess_act,U$6,FALSE)),0,VLOOKUP($X82,ess_act,U$6,FALSE))+IF(ISERROR(VLOOKUP($Z82,ess_act,U$6,FALSE)),0,VLOOKUP($Z82,ess_act,U$6,FALSE))+IF(ISERROR(VLOOKUP($Y82,ess_act,U$6,FALSE)),0,VLOOKUP($Y82,ess_act,U$6,FALSE))+IF(ISERROR(VLOOKUP($AA82,ess_act,U$6,FALSE)),0,VLOOKUP($AA82,ess_act,U$6,FALSE))</f>
        <v>0</v>
      </c>
      <c r="X82" s="8" t="str">
        <f>A82&amp;$X$6</f>
        <v>49101CW</v>
      </c>
      <c r="Y82" s="8"/>
      <c r="Z82" s="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ht="12.75" customHeight="1">
      <c r="A83" s="8"/>
      <c r="B83" s="8"/>
      <c r="C83" s="35"/>
      <c r="D83" s="2"/>
      <c r="E83" s="29"/>
      <c r="F83" s="35"/>
      <c r="G83" s="2"/>
      <c r="H83" s="2"/>
      <c r="I83" s="37"/>
      <c r="J83" s="35"/>
      <c r="K83" s="2"/>
      <c r="L83" s="2"/>
      <c r="M83" s="2"/>
      <c r="N83" s="35"/>
      <c r="P83" s="29"/>
      <c r="Q83" s="35"/>
      <c r="T83" s="37"/>
      <c r="U83" s="35"/>
      <c r="X83" s="8"/>
      <c r="Y83" s="8"/>
      <c r="Z83" s="8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ht="12.75" customHeight="1">
      <c r="A84" s="8"/>
      <c r="B84" s="8"/>
      <c r="C84" s="126"/>
      <c r="D84" s="2"/>
      <c r="E84" s="29"/>
      <c r="F84" s="126"/>
      <c r="G84" s="2"/>
      <c r="H84" s="2"/>
      <c r="I84" s="37"/>
      <c r="J84" s="126"/>
      <c r="K84" s="2"/>
      <c r="L84" s="2"/>
      <c r="M84" s="2"/>
      <c r="N84" s="126"/>
      <c r="P84" s="29"/>
      <c r="Q84" s="126"/>
      <c r="T84" s="37"/>
      <c r="U84" s="126"/>
      <c r="X84" s="8"/>
      <c r="Y84" s="8"/>
      <c r="Z84" s="8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ht="12.75" customHeight="1">
      <c r="A85" s="8">
        <v>49100.0</v>
      </c>
      <c r="B85" s="8" t="s">
        <v>175</v>
      </c>
      <c r="C85" s="35">
        <f t="shared" ref="C85:C89" si="46">IF(ISERROR(VLOOKUP($X85,ess_act,C$6,FALSE)),0,VLOOKUP($X85,ess_act,C$6,FALSE))+IF(ISERROR(VLOOKUP($Z85,ess_act,C$6,FALSE)),0,VLOOKUP($Z85,ess_act,C$6,FALSE))+IF(ISERROR(VLOOKUP($Y85,ess_act,C$6,FALSE)),0,VLOOKUP($Y85,ess_act,C$6,FALSE))+IF(ISERROR(VLOOKUP($AA85,ess_act,C$6,FALSE)),0,VLOOKUP($AA85,ess_act,C$6,FALSE))</f>
        <v>0</v>
      </c>
      <c r="D85" s="2"/>
      <c r="E85" s="29"/>
      <c r="F85" s="35">
        <f>IF(ISERROR(VLOOKUP($X85,ess_bud,F$6,FALSE)),0,VLOOKUP($X85,ess_bud,F$6,FALSE))+IF(ISERROR(VLOOKUP($Z85,ess_bud,F$6,FALSE)),0,VLOOKUP($Z85,ess_bud,F$6,FALSE))+IF(ISERROR(VLOOKUP($Y85,ess_bud,F$6,FALSE)),0,VLOOKUP($Y85,ess_bud,F$6,FALSE))+IF(ISERROR(VLOOKUP($AA85,ess_bud,F$6,FALSE)),0,VLOOKUP($AA85,ess_bud,F$6,FALSE))</f>
        <v>0</v>
      </c>
      <c r="G85" s="2"/>
      <c r="H85" s="2"/>
      <c r="I85" s="37"/>
      <c r="J85" s="35">
        <f t="shared" ref="J85:J89" si="47">IF(ISERROR(VLOOKUP($X85,ess_act,J$6,FALSE)),0,VLOOKUP($X85,ess_act,J$6,FALSE))+IF(ISERROR(VLOOKUP($Z85,ess_act,J$6,FALSE)),0,VLOOKUP($Z85,ess_act,J$6,FALSE))+IF(ISERROR(VLOOKUP($Y85,ess_act,J$6,FALSE)),0,VLOOKUP($Y85,ess_act,J$6,FALSE))+IF(ISERROR(VLOOKUP($AA85,ess_act,J$6,FALSE)),0,VLOOKUP($AA85,ess_act,J$6,FALSE))</f>
        <v>0</v>
      </c>
      <c r="K85" s="2"/>
      <c r="L85" s="2"/>
      <c r="M85" s="2"/>
      <c r="N85" s="35">
        <f t="shared" ref="N85:N89" si="48">IF(ISERROR(VLOOKUP($X85,ess_act,N$6,FALSE)),0,VLOOKUP($X85,ess_act,N$6,FALSE))+IF(ISERROR(VLOOKUP($Z85,ess_act,N$6,FALSE)),0,VLOOKUP($Z85,ess_act,N$6,FALSE))+IF(ISERROR(VLOOKUP($Y85,ess_act,N$6,FALSE)),0,VLOOKUP($Y85,ess_act,N$6,FALSE))+IF(ISERROR(VLOOKUP($AA85,ess_act,N$6,FALSE)),0,VLOOKUP($AA85,ess_act,N$6,FALSE))</f>
        <v>0</v>
      </c>
      <c r="P85" s="29"/>
      <c r="Q85" s="35">
        <f>IF(ISERROR(VLOOKUP($X85,ess_bud,Q$6,FALSE)),0,VLOOKUP($X85,ess_bud,Q$6,FALSE))+IF(ISERROR(VLOOKUP($Z85,ess_bud,Q$6,FALSE)),0,VLOOKUP($Z85,ess_bud,Q$6,FALSE))+IF(ISERROR(VLOOKUP($Y85,ess_bud,Q$6,FALSE)),0,VLOOKUP($Y85,ess_bud,Q$6,FALSE))+IF(ISERROR(VLOOKUP($AA85,ess_bud,Q$6,FALSE)),0,VLOOKUP($AA85,ess_bud,Q$6,FALSE))</f>
        <v>0</v>
      </c>
      <c r="T85" s="37"/>
      <c r="U85" s="35">
        <f t="shared" ref="U85:U89" si="49">IF(ISERROR(VLOOKUP($X85,ess_act,U$6,FALSE)),0,VLOOKUP($X85,ess_act,U$6,FALSE))+IF(ISERROR(VLOOKUP($Z85,ess_act,U$6,FALSE)),0,VLOOKUP($Z85,ess_act,U$6,FALSE))+IF(ISERROR(VLOOKUP($Y85,ess_act,U$6,FALSE)),0,VLOOKUP($Y85,ess_act,U$6,FALSE))+IF(ISERROR(VLOOKUP($AA85,ess_act,U$6,FALSE)),0,VLOOKUP($AA85,ess_act,U$6,FALSE))</f>
        <v>0</v>
      </c>
      <c r="X85" s="8" t="str">
        <f t="shared" ref="X85:X86" si="50">A85&amp;$X$6</f>
        <v>49100CW</v>
      </c>
      <c r="Y85" s="8"/>
      <c r="Z85" s="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ht="12.75" customHeight="1">
      <c r="A86" s="8">
        <v>48101.0</v>
      </c>
      <c r="B86" s="8" t="s">
        <v>34</v>
      </c>
      <c r="C86" s="35">
        <f t="shared" si="46"/>
        <v>0</v>
      </c>
      <c r="D86" s="2"/>
      <c r="E86" s="29"/>
      <c r="F86" s="35">
        <f>IF(ISERROR(VLOOKUP($X86,ess_bud,F$6,FALSE)),0,VLOOKUP($X86,ess_bud,F$6,FALSE))+IF(ISERROR(VLOOKUP($Z86,ess_bud,F$6,FALSE)),0,VLOOKUP($Z86,ess_bud,F$6,FALSE))+IF(ISERROR(VLOOKUP($Y86,ess_bud,F$6,FALSE)),0,VLOOKUP($Y86,ess_bud,F$6,FALSE))+IF(ISERROR(VLOOKUP($AA86,ess_bud,F$6,FALSE)),0,VLOOKUP($AA86,ess_bud,F$6,FALSE))</f>
        <v>0</v>
      </c>
      <c r="G86" s="2"/>
      <c r="H86" s="2"/>
      <c r="I86" s="37"/>
      <c r="J86" s="35">
        <f t="shared" si="47"/>
        <v>0</v>
      </c>
      <c r="K86" s="2"/>
      <c r="L86" s="2"/>
      <c r="M86" s="2"/>
      <c r="N86" s="35">
        <f t="shared" si="48"/>
        <v>0</v>
      </c>
      <c r="P86" s="29"/>
      <c r="Q86" s="35">
        <f>IF(ISERROR(VLOOKUP($X86,ess_bud,Q$6,FALSE)),0,VLOOKUP($X86,ess_bud,Q$6,FALSE))+IF(ISERROR(VLOOKUP($Z86,ess_bud,Q$6,FALSE)),0,VLOOKUP($Z86,ess_bud,Q$6,FALSE))+IF(ISERROR(VLOOKUP($Y86,ess_bud,Q$6,FALSE)),0,VLOOKUP($Y86,ess_bud,Q$6,FALSE))+IF(ISERROR(VLOOKUP($AA86,ess_bud,Q$6,FALSE)),0,VLOOKUP($AA86,ess_bud,Q$6,FALSE))</f>
        <v>0</v>
      </c>
      <c r="T86" s="37"/>
      <c r="U86" s="35">
        <f t="shared" si="49"/>
        <v>0</v>
      </c>
      <c r="X86" s="8" t="str">
        <f t="shared" si="50"/>
        <v>48101CW</v>
      </c>
      <c r="Y86" s="8"/>
      <c r="Z86" s="8" t="str">
        <f>48100&amp;$X$6</f>
        <v>48100CW</v>
      </c>
      <c r="AA86" s="8" t="str">
        <f>48102&amp;$X$6</f>
        <v>48102CW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ht="12.75" customHeight="1">
      <c r="A87" s="8"/>
      <c r="B87" s="8" t="s">
        <v>180</v>
      </c>
      <c r="C87" s="35">
        <f t="shared" si="46"/>
        <v>0</v>
      </c>
      <c r="D87" s="2"/>
      <c r="E87" s="29"/>
      <c r="F87" s="35">
        <f>IF(ISERROR(VLOOKUP($X87,ess_bud,F$6,FALSE)),0,VLOOKUP($X87,ess_bud,F$6,FALSE))+IF(ISERROR(VLOOKUP($Z87,ess_bud,F$6,FALSE)),0,VLOOKUP($Z87,ess_bud,F$6,FALSE))+IF(ISERROR(VLOOKUP($Y87,ess_bud,F$6,FALSE)),0,VLOOKUP($Y87,ess_bud,F$6,FALSE))+IF(ISERROR(VLOOKUP($AA87,ess_bud,F$6,FALSE)),0,VLOOKUP($AA87,ess_bud,F$6,FALSE))</f>
        <v>0</v>
      </c>
      <c r="G87" s="2"/>
      <c r="H87" s="2"/>
      <c r="I87" s="37"/>
      <c r="J87" s="35">
        <f t="shared" si="47"/>
        <v>0</v>
      </c>
      <c r="K87" s="2"/>
      <c r="L87" s="2"/>
      <c r="M87" s="2"/>
      <c r="N87" s="35">
        <f t="shared" si="48"/>
        <v>0</v>
      </c>
      <c r="P87" s="29"/>
      <c r="Q87" s="35">
        <f>IF(ISERROR(VLOOKUP($X87,ess_bud,Q$6,FALSE)),0,VLOOKUP($X87,ess_bud,Q$6,FALSE))+IF(ISERROR(VLOOKUP($Z87,ess_bud,Q$6,FALSE)),0,VLOOKUP($Z87,ess_bud,Q$6,FALSE))+IF(ISERROR(VLOOKUP($Y87,ess_bud,Q$6,FALSE)),0,VLOOKUP($Y87,ess_bud,Q$6,FALSE))+IF(ISERROR(VLOOKUP($AA87,ess_bud,Q$6,FALSE)),0,VLOOKUP($AA87,ess_bud,Q$6,FALSE))</f>
        <v>0</v>
      </c>
      <c r="T87" s="37"/>
      <c r="U87" s="35">
        <f t="shared" si="49"/>
        <v>0</v>
      </c>
      <c r="X87" s="8"/>
      <c r="Y87" s="8"/>
      <c r="Z87" s="8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ht="12.75" customHeight="1">
      <c r="A88" s="8">
        <v>48200.0</v>
      </c>
      <c r="B88" s="8" t="s">
        <v>37</v>
      </c>
      <c r="C88" s="35">
        <f t="shared" si="46"/>
        <v>0</v>
      </c>
      <c r="D88" s="2"/>
      <c r="E88" s="29"/>
      <c r="F88" s="35">
        <f>IF(ISERROR(VLOOKUP($X88,ess_bud,F$6,FALSE)),0,VLOOKUP($X88,ess_bud,F$6,FALSE))+IF(ISERROR(VLOOKUP($Z88,ess_bud,F$6,FALSE)),0,VLOOKUP($Z88,ess_bud,F$6,FALSE))+IF(ISERROR(VLOOKUP($Y88,ess_bud,F$6,FALSE)),0,VLOOKUP($Y88,ess_bud,F$6,FALSE))+IF(ISERROR(VLOOKUP($AA88,ess_bud,F$6,FALSE)),0,VLOOKUP($AA88,ess_bud,F$6,FALSE))</f>
        <v>0</v>
      </c>
      <c r="G88" s="2"/>
      <c r="H88" s="2"/>
      <c r="I88" s="37"/>
      <c r="J88" s="35">
        <f t="shared" si="47"/>
        <v>0</v>
      </c>
      <c r="K88" s="2"/>
      <c r="L88" s="2"/>
      <c r="M88" s="2"/>
      <c r="N88" s="35">
        <f t="shared" si="48"/>
        <v>0</v>
      </c>
      <c r="P88" s="29"/>
      <c r="Q88" s="35">
        <f>IF(ISERROR(VLOOKUP($X88,ess_bud,Q$6,FALSE)),0,VLOOKUP($X88,ess_bud,Q$6,FALSE))+IF(ISERROR(VLOOKUP($Z88,ess_bud,Q$6,FALSE)),0,VLOOKUP($Z88,ess_bud,Q$6,FALSE))+IF(ISERROR(VLOOKUP($Y88,ess_bud,Q$6,FALSE)),0,VLOOKUP($Y88,ess_bud,Q$6,FALSE))+IF(ISERROR(VLOOKUP($AA88,ess_bud,Q$6,FALSE)),0,VLOOKUP($AA88,ess_bud,Q$6,FALSE))</f>
        <v>0</v>
      </c>
      <c r="T88" s="37"/>
      <c r="U88" s="35">
        <f t="shared" si="49"/>
        <v>0</v>
      </c>
      <c r="X88" s="8" t="str">
        <f t="shared" ref="X88:X89" si="51">A88&amp;$X$6</f>
        <v>48200CW</v>
      </c>
      <c r="Y88" s="8"/>
      <c r="Z88" s="8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ht="12.75" customHeight="1">
      <c r="A89" s="8">
        <v>35100.0</v>
      </c>
      <c r="B89" s="8" t="s">
        <v>182</v>
      </c>
      <c r="C89" s="35">
        <f t="shared" si="46"/>
        <v>0</v>
      </c>
      <c r="D89" s="2"/>
      <c r="E89" s="29"/>
      <c r="F89" s="35">
        <f>IF(ISERROR(VLOOKUP($X89,ess_bud,F$6,FALSE)),0,VLOOKUP($X89,ess_bud,F$6,FALSE))+IF(ISERROR(VLOOKUP($Z89,ess_bud,F$6,FALSE)),0,VLOOKUP($Z89,ess_bud,F$6,FALSE))+IF(ISERROR(VLOOKUP($Y89,ess_bud,F$6,FALSE)),0,VLOOKUP($Y89,ess_bud,F$6,FALSE))+IF(ISERROR(VLOOKUP($AA89,ess_bud,F$6,FALSE)),0,VLOOKUP($AA89,ess_bud,F$6,FALSE))</f>
        <v>0</v>
      </c>
      <c r="G89" s="2"/>
      <c r="H89" s="2"/>
      <c r="I89" s="37"/>
      <c r="J89" s="35">
        <f t="shared" si="47"/>
        <v>0</v>
      </c>
      <c r="K89" s="2"/>
      <c r="L89" s="2"/>
      <c r="M89" s="2"/>
      <c r="N89" s="35">
        <f t="shared" si="48"/>
        <v>0</v>
      </c>
      <c r="P89" s="29"/>
      <c r="Q89" s="35">
        <f>IF(ISERROR(VLOOKUP($X89,ess_bud,Q$6,FALSE)),0,VLOOKUP($X89,ess_bud,Q$6,FALSE))+IF(ISERROR(VLOOKUP($Z89,ess_bud,Q$6,FALSE)),0,VLOOKUP($Z89,ess_bud,Q$6,FALSE))+IF(ISERROR(VLOOKUP($Y89,ess_bud,Q$6,FALSE)),0,VLOOKUP($Y89,ess_bud,Q$6,FALSE))+IF(ISERROR(VLOOKUP($AA89,ess_bud,Q$6,FALSE)),0,VLOOKUP($AA89,ess_bud,Q$6,FALSE))</f>
        <v>0</v>
      </c>
      <c r="T89" s="37"/>
      <c r="U89" s="35">
        <f t="shared" si="49"/>
        <v>0</v>
      </c>
      <c r="X89" s="8" t="str">
        <f t="shared" si="51"/>
        <v>35100CW</v>
      </c>
      <c r="Y89" s="8"/>
      <c r="Z89" s="8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ht="12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Q90" s="2"/>
      <c r="U90" s="2"/>
      <c r="Y90" s="8"/>
    </row>
    <row r="91" ht="12.75" customHeight="1">
      <c r="A91" s="8"/>
      <c r="B91" s="8"/>
      <c r="C91" s="8"/>
      <c r="D91" s="2"/>
      <c r="E91" s="29"/>
      <c r="F91" s="8"/>
      <c r="G91" s="2"/>
      <c r="H91" s="2"/>
      <c r="I91" s="28"/>
      <c r="J91" s="8"/>
      <c r="K91" s="2"/>
      <c r="L91" s="2"/>
      <c r="M91" s="2"/>
      <c r="N91" s="8"/>
      <c r="P91" s="29"/>
      <c r="Q91" s="8"/>
      <c r="T91" s="28"/>
      <c r="U91" s="8"/>
      <c r="X91" s="8"/>
      <c r="Y91" s="8"/>
      <c r="Z91" s="8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ht="12.75" customHeight="1">
      <c r="A92" s="8"/>
      <c r="B92" s="24" t="s">
        <v>44</v>
      </c>
      <c r="C92" s="8"/>
      <c r="D92" s="2"/>
      <c r="E92" s="28"/>
      <c r="F92" s="8"/>
      <c r="G92" s="2"/>
      <c r="H92" s="2"/>
      <c r="I92" s="28"/>
      <c r="J92" s="8"/>
      <c r="K92" s="2"/>
      <c r="L92" s="2"/>
      <c r="M92" s="2"/>
      <c r="N92" s="8"/>
      <c r="P92" s="28"/>
      <c r="Q92" s="8"/>
      <c r="T92" s="28"/>
      <c r="U92" s="8"/>
      <c r="X92" s="8"/>
      <c r="Y92" s="8"/>
      <c r="Z92" s="8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ht="12.75" customHeight="1">
      <c r="A93" s="8">
        <v>61100.0</v>
      </c>
      <c r="B93" s="8" t="s">
        <v>45</v>
      </c>
      <c r="C93" s="35">
        <f t="shared" ref="C93:C96" si="52">IF(ISERROR(VLOOKUP($X93,ess_act,C$6,FALSE)),0,VLOOKUP($X93,ess_act,C$6,FALSE))+IF(ISERROR(VLOOKUP($Z93,ess_act,C$6,FALSE)),0,VLOOKUP($Z93,ess_act,C$6,FALSE))+IF(ISERROR(VLOOKUP($Y93,ess_act,C$6,FALSE)),0,VLOOKUP($Y93,ess_act,C$6,FALSE))+IF(ISERROR(VLOOKUP($AA93,ess_act,C$6,FALSE)),0,VLOOKUP($AA93,ess_act,C$6,FALSE))</f>
        <v>0</v>
      </c>
      <c r="D93" s="2"/>
      <c r="E93" s="29"/>
      <c r="F93" s="35">
        <f>IF(ISERROR(VLOOKUP($X93,ess_bud,F$6,FALSE)),0,VLOOKUP($X93,ess_bud,F$6,FALSE))+IF(ISERROR(VLOOKUP($Z93,ess_bud,F$6,FALSE)),0,VLOOKUP($Z93,ess_bud,F$6,FALSE))+IF(ISERROR(VLOOKUP($Y93,ess_bud,F$6,FALSE)),0,VLOOKUP($Y93,ess_bud,F$6,FALSE))+IF(ISERROR(VLOOKUP($AA93,ess_bud,F$6,FALSE)),0,VLOOKUP($AA93,ess_bud,F$6,FALSE))</f>
        <v>0</v>
      </c>
      <c r="G93" s="2"/>
      <c r="H93" s="2"/>
      <c r="I93" s="37"/>
      <c r="J93" s="35">
        <f t="shared" ref="J93:J96" si="53">IF(ISERROR(VLOOKUP($X93,ess_act,J$6,FALSE)),0,VLOOKUP($X93,ess_act,J$6,FALSE))+IF(ISERROR(VLOOKUP($Z93,ess_act,J$6,FALSE)),0,VLOOKUP($Z93,ess_act,J$6,FALSE))+IF(ISERROR(VLOOKUP($Y93,ess_act,J$6,FALSE)),0,VLOOKUP($Y93,ess_act,J$6,FALSE))+IF(ISERROR(VLOOKUP($AA93,ess_act,J$6,FALSE)),0,VLOOKUP($AA93,ess_act,J$6,FALSE))</f>
        <v>0</v>
      </c>
      <c r="K93" s="2"/>
      <c r="L93" s="2"/>
      <c r="M93" s="2"/>
      <c r="N93" s="35">
        <f t="shared" ref="N93:N96" si="54">IF(ISERROR(VLOOKUP($X93,ess_act,N$6,FALSE)),0,VLOOKUP($X93,ess_act,N$6,FALSE))+IF(ISERROR(VLOOKUP($Z93,ess_act,N$6,FALSE)),0,VLOOKUP($Z93,ess_act,N$6,FALSE))+IF(ISERROR(VLOOKUP($Y93,ess_act,N$6,FALSE)),0,VLOOKUP($Y93,ess_act,N$6,FALSE))+IF(ISERROR(VLOOKUP($AA93,ess_act,N$6,FALSE)),0,VLOOKUP($AA93,ess_act,N$6,FALSE))</f>
        <v>0</v>
      </c>
      <c r="P93" s="29"/>
      <c r="Q93" s="35">
        <f>IF(ISERROR(VLOOKUP($X93,ess_bud,Q$6,FALSE)),0,VLOOKUP($X93,ess_bud,Q$6,FALSE))+IF(ISERROR(VLOOKUP($Z93,ess_bud,Q$6,FALSE)),0,VLOOKUP($Z93,ess_bud,Q$6,FALSE))+IF(ISERROR(VLOOKUP($Y93,ess_bud,Q$6,FALSE)),0,VLOOKUP($Y93,ess_bud,Q$6,FALSE))+IF(ISERROR(VLOOKUP($AA93,ess_bud,Q$6,FALSE)),0,VLOOKUP($AA93,ess_bud,Q$6,FALSE))</f>
        <v>0</v>
      </c>
      <c r="T93" s="37"/>
      <c r="U93" s="35">
        <f t="shared" ref="U93:U96" si="55">IF(ISERROR(VLOOKUP($X93,ess_act,U$6,FALSE)),0,VLOOKUP($X93,ess_act,U$6,FALSE))+IF(ISERROR(VLOOKUP($Z93,ess_act,U$6,FALSE)),0,VLOOKUP($Z93,ess_act,U$6,FALSE))+IF(ISERROR(VLOOKUP($Y93,ess_act,U$6,FALSE)),0,VLOOKUP($Y93,ess_act,U$6,FALSE))+IF(ISERROR(VLOOKUP($AA93,ess_act,U$6,FALSE)),0,VLOOKUP($AA93,ess_act,U$6,FALSE))</f>
        <v>0</v>
      </c>
      <c r="X93" s="8" t="str">
        <f t="shared" ref="X93:X96" si="56">A93&amp;$X$6</f>
        <v>61100CW</v>
      </c>
      <c r="Y93" s="8"/>
      <c r="Z93" s="8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ht="12.75" customHeight="1">
      <c r="A94" s="8">
        <v>61101.0</v>
      </c>
      <c r="B94" s="8" t="s">
        <v>39</v>
      </c>
      <c r="C94" s="35">
        <f t="shared" si="52"/>
        <v>0</v>
      </c>
      <c r="D94" s="2"/>
      <c r="E94" s="29"/>
      <c r="F94" s="35">
        <f>IF(ISERROR(VLOOKUP($X94,ess_bud,F$6,FALSE)),0,VLOOKUP($X94,ess_bud,F$6,FALSE))+IF(ISERROR(VLOOKUP($Z94,ess_bud,F$6,FALSE)),0,VLOOKUP($Z94,ess_bud,F$6,FALSE))+IF(ISERROR(VLOOKUP($Y94,ess_bud,F$6,FALSE)),0,VLOOKUP($Y94,ess_bud,F$6,FALSE))+IF(ISERROR(VLOOKUP($AA94,ess_bud,F$6,FALSE)),0,VLOOKUP($AA94,ess_bud,F$6,FALSE))</f>
        <v>0</v>
      </c>
      <c r="G94" s="2"/>
      <c r="H94" s="2"/>
      <c r="I94" s="37"/>
      <c r="J94" s="35">
        <f t="shared" si="53"/>
        <v>0</v>
      </c>
      <c r="K94" s="2"/>
      <c r="L94" s="2"/>
      <c r="M94" s="2"/>
      <c r="N94" s="35">
        <f t="shared" si="54"/>
        <v>0</v>
      </c>
      <c r="P94" s="29"/>
      <c r="Q94" s="35">
        <f>IF(ISERROR(VLOOKUP($X94,ess_bud,Q$6,FALSE)),0,VLOOKUP($X94,ess_bud,Q$6,FALSE))+IF(ISERROR(VLOOKUP($Z94,ess_bud,Q$6,FALSE)),0,VLOOKUP($Z94,ess_bud,Q$6,FALSE))+IF(ISERROR(VLOOKUP($Y94,ess_bud,Q$6,FALSE)),0,VLOOKUP($Y94,ess_bud,Q$6,FALSE))+IF(ISERROR(VLOOKUP($AA94,ess_bud,Q$6,FALSE)),0,VLOOKUP($AA94,ess_bud,Q$6,FALSE))</f>
        <v>0</v>
      </c>
      <c r="T94" s="37"/>
      <c r="U94" s="35">
        <f t="shared" si="55"/>
        <v>0</v>
      </c>
      <c r="X94" s="8" t="str">
        <f t="shared" si="56"/>
        <v>61101CW</v>
      </c>
      <c r="Y94" s="8"/>
      <c r="Z94" s="8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ht="12.75" customHeight="1">
      <c r="A95" s="8">
        <v>51100.0</v>
      </c>
      <c r="B95" s="8" t="s">
        <v>47</v>
      </c>
      <c r="C95" s="35">
        <f t="shared" si="52"/>
        <v>0</v>
      </c>
      <c r="D95" s="2"/>
      <c r="E95" s="29"/>
      <c r="F95" s="35">
        <f>IF(ISERROR(VLOOKUP($X95,ess_bud,F$6,FALSE)),0,VLOOKUP($X95,ess_bud,F$6,FALSE))+IF(ISERROR(VLOOKUP($Z95,ess_bud,F$6,FALSE)),0,VLOOKUP($Z95,ess_bud,F$6,FALSE))+IF(ISERROR(VLOOKUP($Y95,ess_bud,F$6,FALSE)),0,VLOOKUP($Y95,ess_bud,F$6,FALSE))+IF(ISERROR(VLOOKUP($AA95,ess_bud,F$6,FALSE)),0,VLOOKUP($AA95,ess_bud,F$6,FALSE))</f>
        <v>0</v>
      </c>
      <c r="G95" s="2"/>
      <c r="H95" s="2"/>
      <c r="I95" s="37"/>
      <c r="J95" s="35">
        <f t="shared" si="53"/>
        <v>0</v>
      </c>
      <c r="K95" s="2"/>
      <c r="L95" s="2"/>
      <c r="M95" s="2"/>
      <c r="N95" s="35">
        <f t="shared" si="54"/>
        <v>0</v>
      </c>
      <c r="P95" s="29"/>
      <c r="Q95" s="35">
        <f>IF(ISERROR(VLOOKUP($X95,ess_bud,Q$6,FALSE)),0,VLOOKUP($X95,ess_bud,Q$6,FALSE))+IF(ISERROR(VLOOKUP($Z95,ess_bud,Q$6,FALSE)),0,VLOOKUP($Z95,ess_bud,Q$6,FALSE))+IF(ISERROR(VLOOKUP($Y95,ess_bud,Q$6,FALSE)),0,VLOOKUP($Y95,ess_bud,Q$6,FALSE))+IF(ISERROR(VLOOKUP($AA95,ess_bud,Q$6,FALSE)),0,VLOOKUP($AA95,ess_bud,Q$6,FALSE))</f>
        <v>0</v>
      </c>
      <c r="T95" s="37"/>
      <c r="U95" s="35">
        <f t="shared" si="55"/>
        <v>0</v>
      </c>
      <c r="X95" s="8" t="str">
        <f t="shared" si="56"/>
        <v>51100CW</v>
      </c>
      <c r="Y95" s="8" t="str">
        <f>55000&amp;$X$6</f>
        <v>55000CW</v>
      </c>
      <c r="Z95" s="8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ht="12.75" customHeight="1">
      <c r="A96" s="8">
        <v>61200.0</v>
      </c>
      <c r="B96" s="8" t="s">
        <v>183</v>
      </c>
      <c r="C96" s="35">
        <f t="shared" si="52"/>
        <v>0</v>
      </c>
      <c r="D96" s="2"/>
      <c r="E96" s="29"/>
      <c r="F96" s="35">
        <f>IF(ISERROR(VLOOKUP($X96,ess_bud,F$6,FALSE)),0,VLOOKUP($X96,ess_bud,F$6,FALSE))+IF(ISERROR(VLOOKUP($Z96,ess_bud,F$6,FALSE)),0,VLOOKUP($Z96,ess_bud,F$6,FALSE))+IF(ISERROR(VLOOKUP($Y96,ess_bud,F$6,FALSE)),0,VLOOKUP($Y96,ess_bud,F$6,FALSE))+IF(ISERROR(VLOOKUP($AA96,ess_bud,F$6,FALSE)),0,VLOOKUP($AA96,ess_bud,F$6,FALSE))</f>
        <v>0</v>
      </c>
      <c r="G96" s="2"/>
      <c r="H96" s="2"/>
      <c r="I96" s="37"/>
      <c r="J96" s="35">
        <f t="shared" si="53"/>
        <v>0</v>
      </c>
      <c r="K96" s="2"/>
      <c r="L96" s="2"/>
      <c r="M96" s="2"/>
      <c r="N96" s="35">
        <f t="shared" si="54"/>
        <v>0</v>
      </c>
      <c r="P96" s="29"/>
      <c r="Q96" s="35">
        <f>IF(ISERROR(VLOOKUP($X96,ess_bud,Q$6,FALSE)),0,VLOOKUP($X96,ess_bud,Q$6,FALSE))+IF(ISERROR(VLOOKUP($Z96,ess_bud,Q$6,FALSE)),0,VLOOKUP($Z96,ess_bud,Q$6,FALSE))+IF(ISERROR(VLOOKUP($Y96,ess_bud,Q$6,FALSE)),0,VLOOKUP($Y96,ess_bud,Q$6,FALSE))+IF(ISERROR(VLOOKUP($AA96,ess_bud,Q$6,FALSE)),0,VLOOKUP($AA96,ess_bud,Q$6,FALSE))</f>
        <v>0</v>
      </c>
      <c r="T96" s="37"/>
      <c r="U96" s="35">
        <f t="shared" si="55"/>
        <v>0</v>
      </c>
      <c r="X96" s="8" t="str">
        <f t="shared" si="56"/>
        <v>61200CW</v>
      </c>
      <c r="Y96" s="8" t="str">
        <f>61201&amp;$X$6</f>
        <v>61201CW</v>
      </c>
      <c r="Z96" s="8" t="str">
        <f>51200&amp;$X$6</f>
        <v>51200CW</v>
      </c>
      <c r="AA96" s="8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ht="12.75" customHeight="1">
      <c r="A99" s="2"/>
      <c r="B99" s="8" t="s">
        <v>185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8"/>
      <c r="Z99" s="8" t="s">
        <v>185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ht="12.75" customHeight="1">
      <c r="A100" s="2">
        <v>33102.0</v>
      </c>
      <c r="B100" s="152" t="s">
        <v>186</v>
      </c>
      <c r="C100" s="35">
        <f t="shared" ref="C100:C103" si="57">IF(ISERROR(VLOOKUP($X100,ess_act,C$6,FALSE)),0,VLOOKUP($X100,ess_act,C$6,FALSE))+IF(ISERROR(VLOOKUP($Z100,ess_act,C$6,FALSE)),0,VLOOKUP($Z100,ess_act,C$6,FALSE))+IF(ISERROR(VLOOKUP($Y100,ess_act,C$6,FALSE)),0,VLOOKUP($Y100,ess_act,C$6,FALSE))+IF(ISERROR(VLOOKUP($AA100,ess_act,C$6,FALSE)),0,VLOOKUP($AA100,ess_act,C$6,FALSE))</f>
        <v>0</v>
      </c>
      <c r="D100" s="2"/>
      <c r="E100" s="29"/>
      <c r="F100" s="35">
        <f>IF(ISERROR(VLOOKUP($X100,ess_bud,F$6,FALSE)),0,VLOOKUP($X100,ess_bud,F$6,FALSE))+IF(ISERROR(VLOOKUP($Z100,ess_bud,F$6,FALSE)),0,VLOOKUP($Z100,ess_bud,F$6,FALSE))+IF(ISERROR(VLOOKUP($Y100,ess_bud,F$6,FALSE)),0,VLOOKUP($Y100,ess_bud,F$6,FALSE))+IF(ISERROR(VLOOKUP($AA100,ess_bud,F$6,FALSE)),0,VLOOKUP($AA100,ess_bud,F$6,FALSE))</f>
        <v>0</v>
      </c>
      <c r="G100" s="2"/>
      <c r="H100" s="2"/>
      <c r="I100" s="37"/>
      <c r="J100" s="35">
        <f t="shared" ref="J100:J103" si="58">IF(ISERROR(VLOOKUP($X100,ess_act,J$6,FALSE)),0,VLOOKUP($X100,ess_act,J$6,FALSE))+IF(ISERROR(VLOOKUP($Z100,ess_act,J$6,FALSE)),0,VLOOKUP($Z100,ess_act,J$6,FALSE))+IF(ISERROR(VLOOKUP($Y100,ess_act,J$6,FALSE)),0,VLOOKUP($Y100,ess_act,J$6,FALSE))+IF(ISERROR(VLOOKUP($AA100,ess_act,J$6,FALSE)),0,VLOOKUP($AA100,ess_act,J$6,FALSE))</f>
        <v>0</v>
      </c>
      <c r="K100" s="2"/>
      <c r="L100" s="2"/>
      <c r="M100" s="2"/>
      <c r="N100" s="35">
        <f t="shared" ref="N100:N103" si="59">IF(ISERROR(VLOOKUP($X100,ess_act,N$6,FALSE)),0,VLOOKUP($X100,ess_act,N$6,FALSE))+IF(ISERROR(VLOOKUP($Z100,ess_act,N$6,FALSE)),0,VLOOKUP($Z100,ess_act,N$6,FALSE))+IF(ISERROR(VLOOKUP($Y100,ess_act,N$6,FALSE)),0,VLOOKUP($Y100,ess_act,N$6,FALSE))+IF(ISERROR(VLOOKUP($AA100,ess_act,N$6,FALSE)),0,VLOOKUP($AA100,ess_act,N$6,FALSE))</f>
        <v>0</v>
      </c>
      <c r="P100" s="29"/>
      <c r="Q100" s="35">
        <f>IF(ISERROR(VLOOKUP($X100,ess_bud,Q$6,FALSE)),0,VLOOKUP($X100,ess_bud,Q$6,FALSE))+IF(ISERROR(VLOOKUP($Z100,ess_bud,Q$6,FALSE)),0,VLOOKUP($Z100,ess_bud,Q$6,FALSE))+IF(ISERROR(VLOOKUP($Y100,ess_bud,Q$6,FALSE)),0,VLOOKUP($Y100,ess_bud,Q$6,FALSE))+IF(ISERROR(VLOOKUP($AA100,ess_bud,Q$6,FALSE)),0,VLOOKUP($AA100,ess_bud,Q$6,FALSE))</f>
        <v>0</v>
      </c>
      <c r="T100" s="37"/>
      <c r="U100" s="35">
        <f t="shared" ref="U100:U103" si="60">IF(ISERROR(VLOOKUP($X100,ess_act,U$6,FALSE)),0,VLOOKUP($X100,ess_act,U$6,FALSE))+IF(ISERROR(VLOOKUP($Z100,ess_act,U$6,FALSE)),0,VLOOKUP($Z100,ess_act,U$6,FALSE))+IF(ISERROR(VLOOKUP($Y100,ess_act,U$6,FALSE)),0,VLOOKUP($Y100,ess_act,U$6,FALSE))+IF(ISERROR(VLOOKUP($AA100,ess_act,U$6,FALSE)),0,VLOOKUP($AA100,ess_act,U$6,FALSE))</f>
        <v>0</v>
      </c>
      <c r="V100" s="2"/>
      <c r="W100" s="2"/>
      <c r="X100" s="8" t="str">
        <f>A100&amp;$X$6</f>
        <v>33102CW</v>
      </c>
      <c r="Y100" s="8"/>
      <c r="Z100" s="152" t="s">
        <v>186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ht="12.75" customHeight="1">
      <c r="A101" s="2"/>
      <c r="B101" s="152" t="s">
        <v>187</v>
      </c>
      <c r="C101" s="35">
        <f t="shared" si="57"/>
        <v>0</v>
      </c>
      <c r="D101" s="2"/>
      <c r="E101" s="29"/>
      <c r="F101" s="35">
        <f>IF(ISERROR(VLOOKUP($X101,ess_bud,F$6,FALSE)),0,VLOOKUP($X101,ess_bud,F$6,FALSE))+IF(ISERROR(VLOOKUP($Z101,ess_bud,F$6,FALSE)),0,VLOOKUP($Z101,ess_bud,F$6,FALSE))+IF(ISERROR(VLOOKUP($Y101,ess_bud,F$6,FALSE)),0,VLOOKUP($Y101,ess_bud,F$6,FALSE))+IF(ISERROR(VLOOKUP($AA101,ess_bud,F$6,FALSE)),0,VLOOKUP($AA101,ess_bud,F$6,FALSE))</f>
        <v>0</v>
      </c>
      <c r="G101" s="2"/>
      <c r="H101" s="2"/>
      <c r="I101" s="37"/>
      <c r="J101" s="35">
        <f t="shared" si="58"/>
        <v>0</v>
      </c>
      <c r="K101" s="2"/>
      <c r="L101" s="2"/>
      <c r="M101" s="2"/>
      <c r="N101" s="35">
        <f t="shared" si="59"/>
        <v>0</v>
      </c>
      <c r="P101" s="29"/>
      <c r="Q101" s="35">
        <f>IF(ISERROR(VLOOKUP($X101,ess_bud,Q$6,FALSE)),0,VLOOKUP($X101,ess_bud,Q$6,FALSE))+IF(ISERROR(VLOOKUP($Z101,ess_bud,Q$6,FALSE)),0,VLOOKUP($Z101,ess_bud,Q$6,FALSE))+IF(ISERROR(VLOOKUP($Y101,ess_bud,Q$6,FALSE)),0,VLOOKUP($Y101,ess_bud,Q$6,FALSE))+IF(ISERROR(VLOOKUP($AA101,ess_bud,Q$6,FALSE)),0,VLOOKUP($AA101,ess_bud,Q$6,FALSE))</f>
        <v>0</v>
      </c>
      <c r="T101" s="37"/>
      <c r="U101" s="35">
        <f t="shared" si="60"/>
        <v>0</v>
      </c>
      <c r="V101" s="2"/>
      <c r="W101" s="2"/>
      <c r="X101" s="2"/>
      <c r="Y101" s="8"/>
      <c r="Z101" s="152" t="s">
        <v>187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ht="12.75" customHeight="1">
      <c r="A102" s="2">
        <v>31100.0</v>
      </c>
      <c r="B102" s="152" t="s">
        <v>188</v>
      </c>
      <c r="C102" s="35">
        <f t="shared" si="57"/>
        <v>0</v>
      </c>
      <c r="D102" s="2"/>
      <c r="E102" s="29"/>
      <c r="F102" s="35">
        <f>IF(ISERROR(VLOOKUP($X102,ess_bud,F$6,FALSE)),0,VLOOKUP($X102,ess_bud,F$6,FALSE))+IF(ISERROR(VLOOKUP($Z102,ess_bud,F$6,FALSE)),0,VLOOKUP($Z102,ess_bud,F$6,FALSE))+IF(ISERROR(VLOOKUP($Y102,ess_bud,F$6,FALSE)),0,VLOOKUP($Y102,ess_bud,F$6,FALSE))+IF(ISERROR(VLOOKUP($AA102,ess_bud,F$6,FALSE)),0,VLOOKUP($AA102,ess_bud,F$6,FALSE))</f>
        <v>0</v>
      </c>
      <c r="G102" s="2"/>
      <c r="H102" s="2"/>
      <c r="I102" s="37"/>
      <c r="J102" s="35">
        <f t="shared" si="58"/>
        <v>0</v>
      </c>
      <c r="K102" s="2"/>
      <c r="L102" s="2"/>
      <c r="M102" s="2"/>
      <c r="N102" s="35">
        <f t="shared" si="59"/>
        <v>0</v>
      </c>
      <c r="P102" s="29"/>
      <c r="Q102" s="35">
        <f>IF(ISERROR(VLOOKUP($X102,ess_bud,Q$6,FALSE)),0,VLOOKUP($X102,ess_bud,Q$6,FALSE))+IF(ISERROR(VLOOKUP($Z102,ess_bud,Q$6,FALSE)),0,VLOOKUP($Z102,ess_bud,Q$6,FALSE))+IF(ISERROR(VLOOKUP($Y102,ess_bud,Q$6,FALSE)),0,VLOOKUP($Y102,ess_bud,Q$6,FALSE))+IF(ISERROR(VLOOKUP($AA102,ess_bud,Q$6,FALSE)),0,VLOOKUP($AA102,ess_bud,Q$6,FALSE))</f>
        <v>0</v>
      </c>
      <c r="T102" s="37"/>
      <c r="U102" s="35">
        <f t="shared" si="60"/>
        <v>0</v>
      </c>
      <c r="V102" s="2"/>
      <c r="W102" s="2"/>
      <c r="X102" s="8" t="str">
        <f t="shared" ref="X102:X103" si="61">A102&amp;$X$6</f>
        <v>31100CW</v>
      </c>
      <c r="Y102" s="152" t="s">
        <v>188</v>
      </c>
      <c r="Z102" s="8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ht="12.75" customHeight="1">
      <c r="A103" s="2">
        <v>32400.0</v>
      </c>
      <c r="B103" s="152" t="s">
        <v>189</v>
      </c>
      <c r="C103" s="35">
        <f t="shared" si="57"/>
        <v>0</v>
      </c>
      <c r="D103" s="2"/>
      <c r="E103" s="29"/>
      <c r="F103" s="35">
        <f>IF(ISERROR(VLOOKUP($X103,ess_bud,F$6,FALSE)),0,VLOOKUP($X103,ess_bud,F$6,FALSE))+IF(ISERROR(VLOOKUP($Z103,ess_bud,F$6,FALSE)),0,VLOOKUP($Z103,ess_bud,F$6,FALSE))+IF(ISERROR(VLOOKUP($Y103,ess_bud,F$6,FALSE)),0,VLOOKUP($Y103,ess_bud,F$6,FALSE))+IF(ISERROR(VLOOKUP($AA103,ess_bud,F$6,FALSE)),0,VLOOKUP($AA103,ess_bud,F$6,FALSE))</f>
        <v>0</v>
      </c>
      <c r="G103" s="2"/>
      <c r="H103" s="2"/>
      <c r="I103" s="37"/>
      <c r="J103" s="35">
        <f t="shared" si="58"/>
        <v>0</v>
      </c>
      <c r="K103" s="2"/>
      <c r="L103" s="2"/>
      <c r="M103" s="2"/>
      <c r="N103" s="35">
        <f t="shared" si="59"/>
        <v>0</v>
      </c>
      <c r="P103" s="29"/>
      <c r="Q103" s="35">
        <f>IF(ISERROR(VLOOKUP($X103,ess_bud,Q$6,FALSE)),0,VLOOKUP($X103,ess_bud,Q$6,FALSE))+IF(ISERROR(VLOOKUP($Z103,ess_bud,Q$6,FALSE)),0,VLOOKUP($Z103,ess_bud,Q$6,FALSE))+IF(ISERROR(VLOOKUP($Y103,ess_bud,Q$6,FALSE)),0,VLOOKUP($Y103,ess_bud,Q$6,FALSE))+IF(ISERROR(VLOOKUP($AA103,ess_bud,Q$6,FALSE)),0,VLOOKUP($AA103,ess_bud,Q$6,FALSE))</f>
        <v>0</v>
      </c>
      <c r="T103" s="37"/>
      <c r="U103" s="35">
        <f t="shared" si="60"/>
        <v>0</v>
      </c>
      <c r="V103" s="2"/>
      <c r="W103" s="2"/>
      <c r="X103" s="8" t="str">
        <f t="shared" si="61"/>
        <v>32400CW</v>
      </c>
      <c r="Y103" s="152" t="s">
        <v>189</v>
      </c>
      <c r="Z103" s="8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ht="13.5" customHeight="1">
      <c r="A104" s="2"/>
      <c r="B104" s="152" t="s">
        <v>190</v>
      </c>
      <c r="C104" s="35"/>
      <c r="D104" s="2"/>
      <c r="E104" s="2"/>
      <c r="F104" s="35"/>
      <c r="G104" s="2"/>
      <c r="H104" s="2"/>
      <c r="I104" s="2"/>
      <c r="J104" s="35"/>
      <c r="K104" s="2"/>
      <c r="L104" s="2"/>
      <c r="M104" s="2"/>
      <c r="N104" s="35"/>
      <c r="O104" s="2"/>
      <c r="P104" s="2"/>
      <c r="Q104" s="35"/>
      <c r="R104" s="2"/>
      <c r="S104" s="2"/>
      <c r="T104" s="2"/>
      <c r="U104" s="35"/>
      <c r="V104" s="2"/>
      <c r="W104" s="2"/>
      <c r="X104" s="8"/>
      <c r="Y104" s="152" t="s">
        <v>190</v>
      </c>
      <c r="Z104" s="8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ht="12.75" customHeight="1">
      <c r="A105" s="2">
        <v>33101.0</v>
      </c>
      <c r="B105" s="8" t="s">
        <v>191</v>
      </c>
      <c r="C105" s="35">
        <f t="shared" ref="C105:C106" si="62">IF(ISERROR(VLOOKUP($X105,ess_act,C$6,FALSE)),0,VLOOKUP($X105,ess_act,C$6,FALSE))+IF(ISERROR(VLOOKUP($Z105,ess_act,C$6,FALSE)),0,VLOOKUP($Z105,ess_act,C$6,FALSE))+IF(ISERROR(VLOOKUP($Y105,ess_act,C$6,FALSE)),0,VLOOKUP($Y105,ess_act,C$6,FALSE))+IF(ISERROR(VLOOKUP($AA105,ess_act,C$6,FALSE)),0,VLOOKUP($AA105,ess_act,C$6,FALSE))</f>
        <v>0</v>
      </c>
      <c r="D105" s="2"/>
      <c r="E105" s="29"/>
      <c r="F105" s="35">
        <f>IF(ISERROR(VLOOKUP($X105,ess_bud,F$6,FALSE)),0,VLOOKUP($X105,ess_bud,F$6,FALSE))+IF(ISERROR(VLOOKUP($Z105,ess_bud,F$6,FALSE)),0,VLOOKUP($Z105,ess_bud,F$6,FALSE))+IF(ISERROR(VLOOKUP($Y105,ess_bud,F$6,FALSE)),0,VLOOKUP($Y105,ess_bud,F$6,FALSE))+IF(ISERROR(VLOOKUP($AA105,ess_bud,F$6,FALSE)),0,VLOOKUP($AA105,ess_bud,F$6,FALSE))</f>
        <v>0</v>
      </c>
      <c r="G105" s="2"/>
      <c r="H105" s="2"/>
      <c r="I105" s="37"/>
      <c r="J105" s="35">
        <f t="shared" ref="J105:J106" si="63">IF(ISERROR(VLOOKUP($X105,ess_act,J$6,FALSE)),0,VLOOKUP($X105,ess_act,J$6,FALSE))+IF(ISERROR(VLOOKUP($Z105,ess_act,J$6,FALSE)),0,VLOOKUP($Z105,ess_act,J$6,FALSE))+IF(ISERROR(VLOOKUP($Y105,ess_act,J$6,FALSE)),0,VLOOKUP($Y105,ess_act,J$6,FALSE))+IF(ISERROR(VLOOKUP($AA105,ess_act,J$6,FALSE)),0,VLOOKUP($AA105,ess_act,J$6,FALSE))</f>
        <v>0</v>
      </c>
      <c r="K105" s="2"/>
      <c r="L105" s="2"/>
      <c r="M105" s="2"/>
      <c r="N105" s="35">
        <f t="shared" ref="N105:N106" si="64">IF(ISERROR(VLOOKUP($X105,ess_act,N$6,FALSE)),0,VLOOKUP($X105,ess_act,N$6,FALSE))+IF(ISERROR(VLOOKUP($Z105,ess_act,N$6,FALSE)),0,VLOOKUP($Z105,ess_act,N$6,FALSE))+IF(ISERROR(VLOOKUP($Y105,ess_act,N$6,FALSE)),0,VLOOKUP($Y105,ess_act,N$6,FALSE))+IF(ISERROR(VLOOKUP($AA105,ess_act,N$6,FALSE)),0,VLOOKUP($AA105,ess_act,N$6,FALSE))</f>
        <v>0</v>
      </c>
      <c r="P105" s="29"/>
      <c r="Q105" s="35">
        <f>IF(ISERROR(VLOOKUP($X105,ess_bud,Q$6,FALSE)),0,VLOOKUP($X105,ess_bud,Q$6,FALSE))+IF(ISERROR(VLOOKUP($Z105,ess_bud,Q$6,FALSE)),0,VLOOKUP($Z105,ess_bud,Q$6,FALSE))+IF(ISERROR(VLOOKUP($Y105,ess_bud,Q$6,FALSE)),0,VLOOKUP($Y105,ess_bud,Q$6,FALSE))+IF(ISERROR(VLOOKUP($AA105,ess_bud,Q$6,FALSE)),0,VLOOKUP($AA105,ess_bud,Q$6,FALSE))</f>
        <v>0</v>
      </c>
      <c r="T105" s="37"/>
      <c r="U105" s="35">
        <f t="shared" ref="U105:U106" si="65">IF(ISERROR(VLOOKUP($X105,ess_act,U$6,FALSE)),0,VLOOKUP($X105,ess_act,U$6,FALSE))+IF(ISERROR(VLOOKUP($Z105,ess_act,U$6,FALSE)),0,VLOOKUP($Z105,ess_act,U$6,FALSE))+IF(ISERROR(VLOOKUP($Y105,ess_act,U$6,FALSE)),0,VLOOKUP($Y105,ess_act,U$6,FALSE))+IF(ISERROR(VLOOKUP($AA105,ess_act,U$6,FALSE)),0,VLOOKUP($AA105,ess_act,U$6,FALSE))</f>
        <v>0</v>
      </c>
      <c r="V105" s="2"/>
      <c r="W105" s="2"/>
      <c r="X105" s="8" t="str">
        <f t="shared" ref="X105:X108" si="66">A105&amp;$X$6</f>
        <v>33101CW</v>
      </c>
      <c r="Y105" s="8" t="str">
        <f>33100&amp;$A$9</f>
        <v>33100CW</v>
      </c>
      <c r="Z105" s="8" t="str">
        <f>33200&amp;$A$9</f>
        <v>33200CW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ht="12.75" customHeight="1">
      <c r="A106" s="2" t="s">
        <v>192</v>
      </c>
      <c r="B106" s="8" t="s">
        <v>38</v>
      </c>
      <c r="C106" s="153">
        <f t="shared" si="62"/>
        <v>0</v>
      </c>
      <c r="D106" s="2"/>
      <c r="E106" s="29"/>
      <c r="F106" s="35">
        <f>IF(ISERROR(VLOOKUP($X106,ess_bud,F$6,FALSE)),0,VLOOKUP($X106,ess_bud,F$6,FALSE))+IF(ISERROR(VLOOKUP($Z106,ess_bud,F$6,FALSE)),0,VLOOKUP($Z106,ess_bud,F$6,FALSE))+IF(ISERROR(VLOOKUP($Y106,ess_bud,F$6,FALSE)),0,VLOOKUP($Y106,ess_bud,F$6,FALSE))+IF(ISERROR(VLOOKUP($AA106,ess_bud,F$6,FALSE)),0,VLOOKUP($AA106,ess_bud,F$6,FALSE))</f>
        <v>0</v>
      </c>
      <c r="G106" s="2"/>
      <c r="H106" s="2"/>
      <c r="I106" s="37"/>
      <c r="J106" s="35">
        <f t="shared" si="63"/>
        <v>0</v>
      </c>
      <c r="K106" s="2"/>
      <c r="L106" s="2"/>
      <c r="M106" s="2"/>
      <c r="N106" s="154">
        <f t="shared" si="64"/>
        <v>0</v>
      </c>
      <c r="P106" s="29"/>
      <c r="Q106" s="35">
        <f>IF(ISERROR(VLOOKUP($X106,ess_bud,Q$6,FALSE)),0,VLOOKUP($X106,ess_bud,Q$6,FALSE))+IF(ISERROR(VLOOKUP($Z106,ess_bud,Q$6,FALSE)),0,VLOOKUP($Z106,ess_bud,Q$6,FALSE))+IF(ISERROR(VLOOKUP($Y106,ess_bud,Q$6,FALSE)),0,VLOOKUP($Y106,ess_bud,Q$6,FALSE))+IF(ISERROR(VLOOKUP($AA106,ess_bud,Q$6,FALSE)),0,VLOOKUP($AA106,ess_bud,Q$6,FALSE))</f>
        <v>0</v>
      </c>
      <c r="T106" s="37"/>
      <c r="U106" s="35">
        <f t="shared" si="65"/>
        <v>0</v>
      </c>
      <c r="V106" s="2"/>
      <c r="W106" s="2"/>
      <c r="X106" s="8" t="str">
        <f t="shared" si="66"/>
        <v>XXXXXCW</v>
      </c>
      <c r="Y106" s="8" t="s">
        <v>38</v>
      </c>
      <c r="Z106" s="8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ht="12.75" customHeight="1">
      <c r="A107" s="2">
        <v>41100.0</v>
      </c>
      <c r="B107" s="8" t="s">
        <v>194</v>
      </c>
      <c r="C107" s="35">
        <f>IF(ISERROR(VLOOKUP($X107,ess_act,C$6,FALSE)),0,VLOOKUP($X107,ess_act,C$6,FALSE))+IF(ISERROR(VLOOKUP($Z107,ess_act,C$6,FALSE)),0,VLOOKUP($Z107,ess_act,C$6,FALSE))+IF(ISERROR(VLOOKUP($Y107,ess_act,C$6,FALSE)),0,VLOOKUP($Y107,ess_act,C$6,FALSE))+IF(ISERROR(VLOOKUP($AA107,ess_act,C$6,FALSE)),0,VLOOKUP($AA107,ess_act,C$6,FALSE))+SUM(C131:C137)</f>
        <v>0</v>
      </c>
      <c r="D107" s="2"/>
      <c r="E107" s="29"/>
      <c r="F107" s="35">
        <f>IF(ISERROR(VLOOKUP($X107,ess_bud,F$6,FALSE)),0,VLOOKUP($X107,ess_bud,F$6,FALSE))+IF(ISERROR(VLOOKUP($Z107,ess_bud,F$6,FALSE)),0,VLOOKUP($Z107,ess_bud,F$6,FALSE))+IF(ISERROR(VLOOKUP($Y107,ess_bud,F$6,FALSE)),0,VLOOKUP($Y107,ess_bud,F$6,FALSE))+IF(ISERROR(VLOOKUP($AA107,ess_bud,F$6,FALSE)),0,VLOOKUP($AA107,ess_bud,F$6,FALSE))+SUM(F131:F137)</f>
        <v>0</v>
      </c>
      <c r="G107" s="2"/>
      <c r="H107" s="2"/>
      <c r="I107" s="37"/>
      <c r="J107" s="35">
        <f>IF(ISERROR(VLOOKUP($X107,ess_act,J$6,FALSE)),0,VLOOKUP($X107,ess_act,J$6,FALSE))+IF(ISERROR(VLOOKUP($Z107,ess_act,J$6,FALSE)),0,VLOOKUP($Z107,ess_act,J$6,FALSE))+IF(ISERROR(VLOOKUP($Y107,ess_act,J$6,FALSE)),0,VLOOKUP($Y107,ess_act,J$6,FALSE))+IF(ISERROR(VLOOKUP($AA107,ess_act,J$6,FALSE)),0,VLOOKUP($AA107,ess_act,J$6,FALSE))+SUM(J131:J137)</f>
        <v>0</v>
      </c>
      <c r="K107" s="2"/>
      <c r="L107" s="2"/>
      <c r="M107" s="2"/>
      <c r="N107" s="35">
        <f>IF(ISERROR(VLOOKUP($X107,ess_act,N$6,FALSE)),0,VLOOKUP($X107,ess_act,N$6,FALSE))+IF(ISERROR(VLOOKUP($Z107,ess_act,N$6,FALSE)),0,VLOOKUP($Z107,ess_act,N$6,FALSE))+IF(ISERROR(VLOOKUP($Y107,ess_act,N$6,FALSE)),0,VLOOKUP($Y107,ess_act,N$6,FALSE))+IF(ISERROR(VLOOKUP($AA107,ess_act,N$6,FALSE)),0,VLOOKUP($AA107,ess_act,N$6,FALSE))+SUM(N131:N137)</f>
        <v>0</v>
      </c>
      <c r="P107" s="29"/>
      <c r="Q107" s="35">
        <f>IF(ISERROR(VLOOKUP($X107,ess_bud,Q$6,FALSE)),0,VLOOKUP($X107,ess_bud,Q$6,FALSE))+IF(ISERROR(VLOOKUP($Z107,ess_bud,Q$6,FALSE)),0,VLOOKUP($Z107,ess_bud,Q$6,FALSE))+IF(ISERROR(VLOOKUP($Y107,ess_bud,Q$6,FALSE)),0,VLOOKUP($Y107,ess_bud,Q$6,FALSE))+IF(ISERROR(VLOOKUP($AA107,ess_bud,Q$6,FALSE)),0,VLOOKUP($AA107,ess_bud,Q$6,FALSE))+SUM(Q131:Q137)</f>
        <v>0</v>
      </c>
      <c r="R107" s="35"/>
      <c r="T107" s="37"/>
      <c r="U107" s="35">
        <f>IF(ISERROR(VLOOKUP($X107,ess_act,U$6,FALSE)),0,VLOOKUP($X107,ess_act,U$6,FALSE))+IF(ISERROR(VLOOKUP($Z107,ess_act,U$6,FALSE)),0,VLOOKUP($Z107,ess_act,U$6,FALSE))+IF(ISERROR(VLOOKUP($Y107,ess_act,U$6,FALSE)),0,VLOOKUP($Y107,ess_act,U$6,FALSE))+IF(ISERROR(VLOOKUP($AA107,ess_act,U$6,FALSE)),0,VLOOKUP($AA107,ess_act,U$6,FALSE))+SUM(U131:U137)</f>
        <v>0</v>
      </c>
      <c r="V107" s="2"/>
      <c r="W107" s="2"/>
      <c r="X107" s="8" t="str">
        <f t="shared" si="66"/>
        <v>41100CW</v>
      </c>
      <c r="Y107" s="8" t="str">
        <f>41101&amp;$X$6</f>
        <v>41101CW</v>
      </c>
      <c r="Z107" s="8" t="str">
        <f>44100&amp;$X$6</f>
        <v>44100CW</v>
      </c>
      <c r="AA107" s="8"/>
      <c r="AB107" s="8"/>
      <c r="AC107" s="8"/>
      <c r="AD107" s="8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ht="12.75" customHeight="1">
      <c r="A108" s="2">
        <v>48300.0</v>
      </c>
      <c r="B108" s="8" t="s">
        <v>195</v>
      </c>
      <c r="C108" s="35">
        <f>IF(ISERROR(VLOOKUP($X108,ess_act,C$6,FALSE)),0,VLOOKUP($X108,ess_act,C$6,FALSE))+IF(ISERROR(VLOOKUP($Z108,ess_act,C$6,FALSE)),0,VLOOKUP($Z108,ess_act,C$6,FALSE))+IF(ISERROR(VLOOKUP($Y108,ess_act,C$6,FALSE)),0,VLOOKUP($Y108,ess_act,C$6,FALSE))+IF(ISERROR(VLOOKUP($AA108,ess_act,C$6,FALSE)),0,VLOOKUP($AA108,ess_act,C$6,FALSE))</f>
        <v>0</v>
      </c>
      <c r="D108" s="2"/>
      <c r="E108" s="29"/>
      <c r="F108" s="35">
        <f>IF(ISERROR(VLOOKUP($X108,ess_bud,F$6,FALSE)),0,VLOOKUP($X108,ess_bud,F$6,FALSE))+IF(ISERROR(VLOOKUP($Z108,ess_bud,F$6,FALSE)),0,VLOOKUP($Z108,ess_bud,F$6,FALSE))+IF(ISERROR(VLOOKUP($Y108,ess_bud,F$6,FALSE)),0,VLOOKUP($Y108,ess_bud,F$6,FALSE))+IF(ISERROR(VLOOKUP($AA108,ess_bud,F$6,FALSE)),0,VLOOKUP($AA108,ess_bud,F$6,FALSE))</f>
        <v>0</v>
      </c>
      <c r="G108" s="2"/>
      <c r="H108" s="2"/>
      <c r="I108" s="37"/>
      <c r="J108" s="35">
        <f>IF(ISERROR(VLOOKUP($X108,ess_act,J$6,FALSE)),0,VLOOKUP($X108,ess_act,J$6,FALSE))+IF(ISERROR(VLOOKUP($Z108,ess_act,J$6,FALSE)),0,VLOOKUP($Z108,ess_act,J$6,FALSE))+IF(ISERROR(VLOOKUP($Y108,ess_act,J$6,FALSE)),0,VLOOKUP($Y108,ess_act,J$6,FALSE))+IF(ISERROR(VLOOKUP($AA108,ess_act,J$6,FALSE)),0,VLOOKUP($AA108,ess_act,J$6,FALSE))</f>
        <v>0</v>
      </c>
      <c r="K108" s="2"/>
      <c r="L108" s="2"/>
      <c r="M108" s="2"/>
      <c r="N108" s="35">
        <f>IF(ISERROR(VLOOKUP($X108,ess_act,N$6,FALSE)),0,VLOOKUP($X108,ess_act,N$6,FALSE))+IF(ISERROR(VLOOKUP($Z108,ess_act,N$6,FALSE)),0,VLOOKUP($Z108,ess_act,N$6,FALSE))+IF(ISERROR(VLOOKUP($Y108,ess_act,N$6,FALSE)),0,VLOOKUP($Y108,ess_act,N$6,FALSE))+IF(ISERROR(VLOOKUP($AA108,ess_act,N$6,FALSE)),0,VLOOKUP($AA108,ess_act,N$6,FALSE))</f>
        <v>0</v>
      </c>
      <c r="P108" s="29"/>
      <c r="Q108" s="35">
        <f>IF(ISERROR(VLOOKUP($X108,ess_bud,Q$6,FALSE)),0,VLOOKUP($X108,ess_bud,Q$6,FALSE))+IF(ISERROR(VLOOKUP($Z108,ess_bud,Q$6,FALSE)),0,VLOOKUP($Z108,ess_bud,Q$6,FALSE))+IF(ISERROR(VLOOKUP($Y108,ess_bud,Q$6,FALSE)),0,VLOOKUP($Y108,ess_bud,Q$6,FALSE))+IF(ISERROR(VLOOKUP($AA108,ess_bud,Q$6,FALSE)),0,VLOOKUP($AA108,ess_bud,Q$6,FALSE))</f>
        <v>0</v>
      </c>
      <c r="T108" s="37"/>
      <c r="U108" s="35">
        <f>IF(ISERROR(VLOOKUP($X108,ess_act,U$6,FALSE)),0,VLOOKUP($X108,ess_act,U$6,FALSE))+IF(ISERROR(VLOOKUP($Z108,ess_act,U$6,FALSE)),0,VLOOKUP($Z108,ess_act,U$6,FALSE))+IF(ISERROR(VLOOKUP($Y108,ess_act,U$6,FALSE)),0,VLOOKUP($Y108,ess_act,U$6,FALSE))+IF(ISERROR(VLOOKUP($AA108,ess_act,U$6,FALSE)),0,VLOOKUP($AA108,ess_act,U$6,FALSE))</f>
        <v>0</v>
      </c>
      <c r="V108" s="2"/>
      <c r="W108" s="2"/>
      <c r="X108" s="8" t="str">
        <f t="shared" si="66"/>
        <v>48300CW</v>
      </c>
      <c r="Y108" s="8"/>
      <c r="Z108" s="8" t="s">
        <v>195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ht="12.75" customHeight="1">
      <c r="A109" s="2"/>
      <c r="B109" s="2"/>
      <c r="C109" s="35"/>
      <c r="D109" s="2"/>
      <c r="E109" s="2"/>
      <c r="F109" s="35"/>
      <c r="G109" s="2"/>
      <c r="H109" s="2"/>
      <c r="I109" s="2"/>
      <c r="J109" s="35"/>
      <c r="K109" s="2"/>
      <c r="L109" s="2"/>
      <c r="M109" s="2"/>
      <c r="N109" s="35"/>
      <c r="O109" s="2"/>
      <c r="P109" s="2"/>
      <c r="Q109" s="35"/>
      <c r="R109" s="2"/>
      <c r="S109" s="2"/>
      <c r="T109" s="2"/>
      <c r="U109" s="35"/>
      <c r="V109" s="2"/>
      <c r="W109" s="2"/>
      <c r="X109" s="2"/>
      <c r="Y109" s="8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ht="12.75" customHeight="1">
      <c r="A110" s="8">
        <v>47404.0</v>
      </c>
      <c r="B110" s="8" t="s">
        <v>103</v>
      </c>
      <c r="C110" s="35">
        <f>IF(ISERROR(VLOOKUP($X110,ess_act,C$6,FALSE)),0,VLOOKUP($X110,ess_act,C$6,FALSE))+IF(ISERROR(VLOOKUP($Z110,ess_act,C$6,FALSE)),0,VLOOKUP($Z110,ess_act,C$6,FALSE))+IF(ISERROR(VLOOKUP($Y110,ess_act,C$6,FALSE)),0,VLOOKUP($Y110,ess_act,C$6,FALSE))+IF(ISERROR(VLOOKUP($AA110,ess_act,C$6,FALSE)),0,VLOOKUP($AA110,ess_act,C$6,FALSE))</f>
        <v>0</v>
      </c>
      <c r="D110" s="2"/>
      <c r="E110" s="29"/>
      <c r="F110" s="35">
        <f>IF(ISERROR(VLOOKUP($X110,ess_bud,F$6,FALSE)),0,VLOOKUP($X110,ess_bud,F$6,FALSE))+IF(ISERROR(VLOOKUP($Z110,ess_bud,F$6,FALSE)),0,VLOOKUP($Z110,ess_bud,F$6,FALSE))+IF(ISERROR(VLOOKUP($Y110,ess_bud,F$6,FALSE)),0,VLOOKUP($Y110,ess_bud,F$6,FALSE))+IF(ISERROR(VLOOKUP($AA110,ess_bud,F$6,FALSE)),0,VLOOKUP($AA110,ess_bud,F$6,FALSE))</f>
        <v>0</v>
      </c>
      <c r="G110" s="2"/>
      <c r="H110" s="2"/>
      <c r="I110" s="37"/>
      <c r="J110" s="35">
        <f>IF(ISERROR(VLOOKUP($X110,ess_act,J$6,FALSE)),0,VLOOKUP($X110,ess_act,J$6,FALSE))+IF(ISERROR(VLOOKUP($Z110,ess_act,J$6,FALSE)),0,VLOOKUP($Z110,ess_act,J$6,FALSE))+IF(ISERROR(VLOOKUP($Y110,ess_act,J$6,FALSE)),0,VLOOKUP($Y110,ess_act,J$6,FALSE))+IF(ISERROR(VLOOKUP($AA110,ess_act,J$6,FALSE)),0,VLOOKUP($AA110,ess_act,J$6,FALSE))</f>
        <v>0</v>
      </c>
      <c r="K110" s="2"/>
      <c r="L110" s="2"/>
      <c r="M110" s="2"/>
      <c r="N110" s="35">
        <f>IF(ISERROR(VLOOKUP($X110,ess_act,N$6,FALSE)),0,VLOOKUP($X110,ess_act,N$6,FALSE))+IF(ISERROR(VLOOKUP($Z110,ess_act,N$6,FALSE)),0,VLOOKUP($Z110,ess_act,N$6,FALSE))+IF(ISERROR(VLOOKUP($Y110,ess_act,N$6,FALSE)),0,VLOOKUP($Y110,ess_act,N$6,FALSE))+IF(ISERROR(VLOOKUP($AA110,ess_act,N$6,FALSE)),0,VLOOKUP($AA110,ess_act,N$6,FALSE))</f>
        <v>0</v>
      </c>
      <c r="P110" s="29"/>
      <c r="Q110" s="35">
        <f>IF(ISERROR(VLOOKUP($X110,ess_bud,Q$6,FALSE)),0,VLOOKUP($X110,ess_bud,Q$6,FALSE))+IF(ISERROR(VLOOKUP($Z110,ess_bud,Q$6,FALSE)),0,VLOOKUP($Z110,ess_bud,Q$6,FALSE))+IF(ISERROR(VLOOKUP($Y110,ess_bud,Q$6,FALSE)),0,VLOOKUP($Y110,ess_bud,Q$6,FALSE))+IF(ISERROR(VLOOKUP($AA110,ess_bud,Q$6,FALSE)),0,VLOOKUP($AA110,ess_bud,Q$6,FALSE))</f>
        <v>0</v>
      </c>
      <c r="T110" s="37"/>
      <c r="U110" s="35">
        <f>IF(ISERROR(VLOOKUP($X110,ess_act,U$6,FALSE)),0,VLOOKUP($X110,ess_act,U$6,FALSE))+IF(ISERROR(VLOOKUP($Z110,ess_act,U$6,FALSE)),0,VLOOKUP($Z110,ess_act,U$6,FALSE))+IF(ISERROR(VLOOKUP($Y110,ess_act,U$6,FALSE)),0,VLOOKUP($Y110,ess_act,U$6,FALSE))+IF(ISERROR(VLOOKUP($AA110,ess_act,U$6,FALSE)),0,VLOOKUP($AA110,ess_act,U$6,FALSE))</f>
        <v>0</v>
      </c>
      <c r="X110" s="8" t="str">
        <f>A110&amp;$X$6</f>
        <v>47404CW</v>
      </c>
      <c r="Y110" s="8" t="str">
        <f>49400&amp;$X$6</f>
        <v>49400CW</v>
      </c>
      <c r="Z110" s="8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ht="12.75" customHeight="1">
      <c r="A111" s="2"/>
      <c r="B111" s="2"/>
      <c r="C111" s="35"/>
      <c r="D111" s="2"/>
      <c r="E111" s="2"/>
      <c r="F111" s="35"/>
      <c r="G111" s="2"/>
      <c r="H111" s="2"/>
      <c r="I111" s="2"/>
      <c r="J111" s="35"/>
      <c r="K111" s="2"/>
      <c r="L111" s="2"/>
      <c r="M111" s="2"/>
      <c r="N111" s="35"/>
      <c r="O111" s="2"/>
      <c r="P111" s="2"/>
      <c r="Q111" s="35"/>
      <c r="R111" s="2"/>
      <c r="S111" s="2"/>
      <c r="T111" s="2"/>
      <c r="U111" s="35"/>
      <c r="V111" s="2"/>
      <c r="W111" s="2"/>
      <c r="X111" s="2"/>
      <c r="Y111" s="8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ht="12.75" customHeight="1">
      <c r="A112" s="2">
        <v>71100.0</v>
      </c>
      <c r="B112" s="8" t="s">
        <v>196</v>
      </c>
      <c r="C112" s="35">
        <f>IF(ISERROR(VLOOKUP($X112,ess_act,C$6,FALSE)),0,VLOOKUP($X112,ess_act,C$6,FALSE))+IF(ISERROR(VLOOKUP($Z112,ess_act,C$6,FALSE)),0,VLOOKUP($Z112,ess_act,C$6,FALSE))+IF(ISERROR(VLOOKUP($Y112,ess_act,C$6,FALSE)),0,VLOOKUP($Y112,ess_act,C$6,FALSE))+IF(ISERROR(VLOOKUP($AA112,ess_act,C$6,FALSE)),0,VLOOKUP($AA112,ess_act,C$6,FALSE))</f>
        <v>0</v>
      </c>
      <c r="D112" s="2"/>
      <c r="E112" s="29"/>
      <c r="F112" s="35">
        <f>IF(ISERROR(VLOOKUP($X112,ess_bud,F$6,FALSE)),0,VLOOKUP($X112,ess_bud,F$6,FALSE))+IF(ISERROR(VLOOKUP($Z112,ess_bud,F$6,FALSE)),0,VLOOKUP($Z112,ess_bud,F$6,FALSE))+IF(ISERROR(VLOOKUP($Y112,ess_bud,F$6,FALSE)),0,VLOOKUP($Y112,ess_bud,F$6,FALSE))+IF(ISERROR(VLOOKUP($AA112,ess_bud,F$6,FALSE)),0,VLOOKUP($AA112,ess_bud,F$6,FALSE))</f>
        <v>0</v>
      </c>
      <c r="G112" s="2"/>
      <c r="H112" s="2"/>
      <c r="I112" s="37"/>
      <c r="J112" s="35">
        <f>IF(ISERROR(VLOOKUP($X112,ess_act,J$6,FALSE)),0,VLOOKUP($X112,ess_act,J$6,FALSE))+IF(ISERROR(VLOOKUP($Z112,ess_act,J$6,FALSE)),0,VLOOKUP($Z112,ess_act,J$6,FALSE))+IF(ISERROR(VLOOKUP($Y112,ess_act,J$6,FALSE)),0,VLOOKUP($Y112,ess_act,J$6,FALSE))+IF(ISERROR(VLOOKUP($AA112,ess_act,J$6,FALSE)),0,VLOOKUP($AA112,ess_act,J$6,FALSE))</f>
        <v>0</v>
      </c>
      <c r="K112" s="2"/>
      <c r="L112" s="2"/>
      <c r="M112" s="2"/>
      <c r="N112" s="35">
        <f>IF(ISERROR(VLOOKUP($X112,ess_act,N$6,FALSE)),0,VLOOKUP($X112,ess_act,N$6,FALSE))+IF(ISERROR(VLOOKUP($Z112,ess_act,N$6,FALSE)),0,VLOOKUP($Z112,ess_act,N$6,FALSE))+IF(ISERROR(VLOOKUP($Y112,ess_act,N$6,FALSE)),0,VLOOKUP($Y112,ess_act,N$6,FALSE))+IF(ISERROR(VLOOKUP($AA112,ess_act,N$6,FALSE)),0,VLOOKUP($AA112,ess_act,N$6,FALSE))</f>
        <v>0</v>
      </c>
      <c r="P112" s="29"/>
      <c r="Q112" s="35">
        <f>IF(ISERROR(VLOOKUP($X112,ess_bud,Q$6,FALSE)),0,VLOOKUP($X112,ess_bud,Q$6,FALSE))+IF(ISERROR(VLOOKUP($Z112,ess_bud,Q$6,FALSE)),0,VLOOKUP($Z112,ess_bud,Q$6,FALSE))+IF(ISERROR(VLOOKUP($Y112,ess_bud,Q$6,FALSE)),0,VLOOKUP($Y112,ess_bud,Q$6,FALSE))+IF(ISERROR(VLOOKUP($AA112,ess_bud,Q$6,FALSE)),0,VLOOKUP($AA112,ess_bud,Q$6,FALSE))</f>
        <v>0</v>
      </c>
      <c r="T112" s="37"/>
      <c r="U112" s="35">
        <f>IF(ISERROR(VLOOKUP($X112,ess_act,U$6,FALSE)),0,VLOOKUP($X112,ess_act,U$6,FALSE))+IF(ISERROR(VLOOKUP($Z112,ess_act,U$6,FALSE)),0,VLOOKUP($Z112,ess_act,U$6,FALSE))+IF(ISERROR(VLOOKUP($Y112,ess_act,U$6,FALSE)),0,VLOOKUP($Y112,ess_act,U$6,FALSE))+IF(ISERROR(VLOOKUP($AA112,ess_act,U$6,FALSE)),0,VLOOKUP($AA112,ess_act,U$6,FALSE))</f>
        <v>0</v>
      </c>
      <c r="V112" s="2"/>
      <c r="W112" s="2"/>
      <c r="X112" s="8" t="str">
        <f>A112&amp;$X$6</f>
        <v>71100CW</v>
      </c>
      <c r="Y112" s="8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8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8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ht="12.75" customHeight="1">
      <c r="A115" s="2"/>
      <c r="B115" s="2" t="s">
        <v>197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8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ht="12.75" customHeight="1">
      <c r="A116" s="2"/>
      <c r="B116" s="2"/>
      <c r="C116" s="35"/>
      <c r="D116" s="2"/>
      <c r="E116" s="29"/>
      <c r="F116" s="35"/>
      <c r="G116" s="2"/>
      <c r="H116" s="2"/>
      <c r="I116" s="37"/>
      <c r="J116" s="35"/>
      <c r="K116" s="2"/>
      <c r="L116" s="2"/>
      <c r="M116" s="2"/>
      <c r="N116" s="35"/>
      <c r="P116" s="29"/>
      <c r="Q116" s="35"/>
      <c r="T116" s="37"/>
      <c r="U116" s="35"/>
      <c r="V116" s="2"/>
      <c r="W116" s="2"/>
      <c r="X116" s="8"/>
      <c r="Y116" s="8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ht="12.75" customHeight="1">
      <c r="A117" s="2"/>
      <c r="B117" s="2"/>
      <c r="C117" s="35"/>
      <c r="D117" s="2"/>
      <c r="E117" s="29"/>
      <c r="F117" s="35"/>
      <c r="G117" s="2"/>
      <c r="H117" s="2"/>
      <c r="I117" s="37"/>
      <c r="J117" s="35"/>
      <c r="K117" s="2"/>
      <c r="L117" s="2"/>
      <c r="M117" s="2"/>
      <c r="N117" s="35"/>
      <c r="P117" s="29"/>
      <c r="Q117" s="35"/>
      <c r="T117" s="37"/>
      <c r="U117" s="35"/>
      <c r="V117" s="2"/>
      <c r="W117" s="2"/>
      <c r="X117" s="8"/>
      <c r="Y117" s="8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ht="12.75" customHeight="1">
      <c r="A118" s="155" t="s">
        <v>198</v>
      </c>
      <c r="B118" s="2"/>
      <c r="C118" s="35"/>
      <c r="D118" s="2"/>
      <c r="E118" s="29"/>
      <c r="F118" s="35"/>
      <c r="G118" s="2"/>
      <c r="H118" s="2"/>
      <c r="I118" s="37"/>
      <c r="J118" s="35"/>
      <c r="K118" s="2"/>
      <c r="L118" s="2"/>
      <c r="M118" s="2"/>
      <c r="N118" s="35"/>
      <c r="P118" s="29"/>
      <c r="Q118" s="35"/>
      <c r="T118" s="37"/>
      <c r="U118" s="35"/>
      <c r="V118" s="2"/>
      <c r="W118" s="2"/>
      <c r="X118" s="8"/>
      <c r="Y118" s="8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ht="12.75" customHeight="1">
      <c r="A119" s="155">
        <v>33103.0</v>
      </c>
      <c r="B119" s="155"/>
      <c r="C119" s="156">
        <f>IF(ISERROR(VLOOKUP($X119,ess_act,C$6,FALSE)),0,VLOOKUP($X119,ess_act,C$6,FALSE))</f>
        <v>0</v>
      </c>
      <c r="D119" s="155"/>
      <c r="E119" s="157"/>
      <c r="F119" s="156">
        <f>IF(ISERROR(VLOOKUP($X119,ess_bud,F$6,FALSE)),0,VLOOKUP($X119,ess_bud,F$6,FALSE))</f>
        <v>0</v>
      </c>
      <c r="G119" s="155"/>
      <c r="H119" s="155"/>
      <c r="I119" s="158"/>
      <c r="J119" s="156">
        <f>IF(ISERROR(VLOOKUP($X119,ess_act,J$6,FALSE)),0,VLOOKUP($X119,ess_act,J$6,FALSE))</f>
        <v>0</v>
      </c>
      <c r="K119" s="155"/>
      <c r="L119" s="155"/>
      <c r="M119" s="155"/>
      <c r="N119" s="156">
        <f>IF(ISERROR(VLOOKUP($X119,ess_act,N$6,FALSE)),0,VLOOKUP($X119,ess_act,N$6,FALSE))</f>
        <v>0</v>
      </c>
      <c r="O119" s="155"/>
      <c r="P119" s="157"/>
      <c r="Q119" s="156">
        <f>IF(ISERROR(VLOOKUP($X119,ess_bud,Q$6,FALSE)),0,VLOOKUP($X119,ess_bud,Q$6,FALSE))</f>
        <v>0</v>
      </c>
      <c r="R119" s="155"/>
      <c r="S119" s="155"/>
      <c r="T119" s="158"/>
      <c r="U119" s="156">
        <f>IF(ISERROR(VLOOKUP($X119,ess_act,U$6,FALSE)),0,VLOOKUP($X119,ess_act,U$6,FALSE))</f>
        <v>0</v>
      </c>
      <c r="V119" s="155"/>
      <c r="W119" s="155"/>
      <c r="X119" s="159" t="str">
        <f>A119&amp;$X$6</f>
        <v>33103CW</v>
      </c>
      <c r="Y119" s="8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ht="12.75" customHeight="1">
      <c r="A120" s="155"/>
      <c r="B120" s="155"/>
      <c r="C120" s="156"/>
      <c r="D120" s="155"/>
      <c r="E120" s="157"/>
      <c r="F120" s="156"/>
      <c r="G120" s="155"/>
      <c r="H120" s="155"/>
      <c r="I120" s="158"/>
      <c r="J120" s="156"/>
      <c r="K120" s="155"/>
      <c r="L120" s="155"/>
      <c r="M120" s="155"/>
      <c r="N120" s="156"/>
      <c r="O120" s="155"/>
      <c r="P120" s="157"/>
      <c r="Q120" s="156"/>
      <c r="R120" s="155"/>
      <c r="S120" s="155"/>
      <c r="T120" s="158"/>
      <c r="U120" s="156"/>
      <c r="V120" s="155"/>
      <c r="W120" s="155"/>
      <c r="X120" s="159"/>
      <c r="Y120" s="8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ht="12.75" customHeight="1">
      <c r="A121" s="155">
        <v>33209.0</v>
      </c>
      <c r="B121" s="155"/>
      <c r="C121" s="156">
        <f t="shared" ref="C121:C124" si="67">IF(ISERROR(VLOOKUP($X121,ess_act,C$6,FALSE)),0,VLOOKUP($X121,ess_act,C$6,FALSE))</f>
        <v>0</v>
      </c>
      <c r="D121" s="155"/>
      <c r="E121" s="157"/>
      <c r="F121" s="156">
        <f>IF(ISERROR(VLOOKUP($X121,ess_bud,F$6,FALSE)),0,VLOOKUP($X121,ess_bud,F$6,FALSE))</f>
        <v>0</v>
      </c>
      <c r="G121" s="155"/>
      <c r="H121" s="155"/>
      <c r="I121" s="158"/>
      <c r="J121" s="156">
        <f t="shared" ref="J121:J124" si="68">IF(ISERROR(VLOOKUP($X121,ess_act,J$6,FALSE)),0,VLOOKUP($X121,ess_act,J$6,FALSE))</f>
        <v>0</v>
      </c>
      <c r="K121" s="155"/>
      <c r="L121" s="155"/>
      <c r="M121" s="155"/>
      <c r="N121" s="156">
        <f t="shared" ref="N121:N124" si="69">IF(ISERROR(VLOOKUP($X121,ess_act,N$6,FALSE)),0,VLOOKUP($X121,ess_act,N$6,FALSE))</f>
        <v>0</v>
      </c>
      <c r="O121" s="155"/>
      <c r="P121" s="157"/>
      <c r="Q121" s="156">
        <f>IF(ISERROR(VLOOKUP($X121,ess_bud,Q$6,FALSE)),0,VLOOKUP($X121,ess_bud,Q$6,FALSE))</f>
        <v>0</v>
      </c>
      <c r="R121" s="155"/>
      <c r="S121" s="155"/>
      <c r="T121" s="158"/>
      <c r="U121" s="156">
        <f t="shared" ref="U121:U124" si="70">IF(ISERROR(VLOOKUP($X121,ess_act,U$6,FALSE)),0,VLOOKUP($X121,ess_act,U$6,FALSE))</f>
        <v>0</v>
      </c>
      <c r="V121" s="155"/>
      <c r="W121" s="155"/>
      <c r="X121" s="159" t="str">
        <f t="shared" ref="X121:X124" si="71">A121&amp;$X$6</f>
        <v>33209CW</v>
      </c>
      <c r="Y121" s="8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ht="12.75" customHeight="1">
      <c r="A122" s="155">
        <v>34100.0</v>
      </c>
      <c r="B122" s="155"/>
      <c r="C122" s="156">
        <f t="shared" si="67"/>
        <v>0</v>
      </c>
      <c r="D122" s="155"/>
      <c r="E122" s="157"/>
      <c r="F122" s="156">
        <f>IF(ISERROR(VLOOKUP($X122,ess_bud,F$6,FALSE)),0,VLOOKUP($X122,ess_bud,F$6,FALSE))</f>
        <v>0</v>
      </c>
      <c r="G122" s="155"/>
      <c r="H122" s="155"/>
      <c r="I122" s="158"/>
      <c r="J122" s="156">
        <f t="shared" si="68"/>
        <v>0</v>
      </c>
      <c r="K122" s="155"/>
      <c r="L122" s="155"/>
      <c r="M122" s="155"/>
      <c r="N122" s="156">
        <f t="shared" si="69"/>
        <v>0</v>
      </c>
      <c r="O122" s="155"/>
      <c r="P122" s="157"/>
      <c r="Q122" s="156">
        <f>IF(ISERROR(VLOOKUP($X122,ess_bud,Q$6,FALSE)),0,VLOOKUP($X122,ess_bud,Q$6,FALSE))</f>
        <v>0</v>
      </c>
      <c r="R122" s="155"/>
      <c r="S122" s="155"/>
      <c r="T122" s="158"/>
      <c r="U122" s="156">
        <f t="shared" si="70"/>
        <v>0</v>
      </c>
      <c r="V122" s="155"/>
      <c r="W122" s="155"/>
      <c r="X122" s="159" t="str">
        <f t="shared" si="71"/>
        <v>34100CW</v>
      </c>
      <c r="Y122" s="8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ht="12.75" customHeight="1">
      <c r="A123" s="155">
        <v>34101.0</v>
      </c>
      <c r="B123" s="155"/>
      <c r="C123" s="156">
        <f t="shared" si="67"/>
        <v>0</v>
      </c>
      <c r="D123" s="155"/>
      <c r="E123" s="157"/>
      <c r="F123" s="156">
        <f>IF(ISERROR(VLOOKUP($X123,ess_bud,F$6,FALSE)),0,VLOOKUP($X123,ess_bud,F$6,FALSE))</f>
        <v>0</v>
      </c>
      <c r="G123" s="155"/>
      <c r="H123" s="155"/>
      <c r="I123" s="158"/>
      <c r="J123" s="156">
        <f t="shared" si="68"/>
        <v>0</v>
      </c>
      <c r="K123" s="155"/>
      <c r="L123" s="155"/>
      <c r="M123" s="155"/>
      <c r="N123" s="156">
        <f t="shared" si="69"/>
        <v>0</v>
      </c>
      <c r="O123" s="155"/>
      <c r="P123" s="157"/>
      <c r="Q123" s="156">
        <f>IF(ISERROR(VLOOKUP($X123,ess_bud,Q$6,FALSE)),0,VLOOKUP($X123,ess_bud,Q$6,FALSE))</f>
        <v>0</v>
      </c>
      <c r="R123" s="155"/>
      <c r="S123" s="155"/>
      <c r="T123" s="158"/>
      <c r="U123" s="156">
        <f t="shared" si="70"/>
        <v>0</v>
      </c>
      <c r="V123" s="155"/>
      <c r="W123" s="155"/>
      <c r="X123" s="159" t="str">
        <f t="shared" si="71"/>
        <v>34101CW</v>
      </c>
      <c r="Y123" s="8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ht="12.75" customHeight="1">
      <c r="A124" s="155">
        <v>34102.0</v>
      </c>
      <c r="B124" s="155"/>
      <c r="C124" s="156">
        <f t="shared" si="67"/>
        <v>0</v>
      </c>
      <c r="D124" s="155"/>
      <c r="E124" s="157"/>
      <c r="F124" s="156">
        <f>IF(ISERROR(VLOOKUP($X124,ess_bud,F$6,FALSE)),0,VLOOKUP($X124,ess_bud,F$6,FALSE))</f>
        <v>0</v>
      </c>
      <c r="G124" s="155"/>
      <c r="H124" s="155"/>
      <c r="I124" s="158"/>
      <c r="J124" s="156">
        <f t="shared" si="68"/>
        <v>0</v>
      </c>
      <c r="K124" s="155"/>
      <c r="L124" s="155"/>
      <c r="M124" s="155"/>
      <c r="N124" s="156">
        <f t="shared" si="69"/>
        <v>0</v>
      </c>
      <c r="O124" s="155"/>
      <c r="P124" s="157"/>
      <c r="Q124" s="156">
        <f>IF(ISERROR(VLOOKUP($X124,ess_bud,Q$6,FALSE)),0,VLOOKUP($X124,ess_bud,Q$6,FALSE))</f>
        <v>0</v>
      </c>
      <c r="R124" s="155"/>
      <c r="S124" s="155"/>
      <c r="T124" s="158"/>
      <c r="U124" s="156">
        <f t="shared" si="70"/>
        <v>0</v>
      </c>
      <c r="V124" s="155"/>
      <c r="W124" s="155"/>
      <c r="X124" s="159" t="str">
        <f t="shared" si="71"/>
        <v>34102CW</v>
      </c>
      <c r="Y124" s="8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ht="12.75" customHeight="1">
      <c r="A125" s="155"/>
      <c r="B125" s="155"/>
      <c r="C125" s="156"/>
      <c r="D125" s="155"/>
      <c r="E125" s="157"/>
      <c r="F125" s="156"/>
      <c r="G125" s="155"/>
      <c r="H125" s="155"/>
      <c r="I125" s="158"/>
      <c r="J125" s="156"/>
      <c r="K125" s="155"/>
      <c r="L125" s="155"/>
      <c r="M125" s="155"/>
      <c r="N125" s="156"/>
      <c r="O125" s="155"/>
      <c r="P125" s="157"/>
      <c r="Q125" s="156"/>
      <c r="R125" s="155"/>
      <c r="S125" s="155"/>
      <c r="T125" s="158"/>
      <c r="U125" s="156"/>
      <c r="V125" s="155"/>
      <c r="W125" s="155"/>
      <c r="X125" s="159"/>
      <c r="Y125" s="8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ht="12.75" customHeight="1">
      <c r="A126" s="155">
        <v>35101.0</v>
      </c>
      <c r="B126" s="155"/>
      <c r="C126" s="156">
        <f t="shared" ref="C126:C128" si="72">IF(ISERROR(VLOOKUP($X126,ess_act,C$6,FALSE)),0,VLOOKUP($X126,ess_act,C$6,FALSE))</f>
        <v>0</v>
      </c>
      <c r="D126" s="155"/>
      <c r="E126" s="157"/>
      <c r="F126" s="156">
        <f>IF(ISERROR(VLOOKUP($X126,ess_bud,F$6,FALSE)),0,VLOOKUP($X126,ess_bud,F$6,FALSE))</f>
        <v>0</v>
      </c>
      <c r="G126" s="155"/>
      <c r="H126" s="155"/>
      <c r="I126" s="158"/>
      <c r="J126" s="156">
        <f t="shared" ref="J126:J128" si="73">IF(ISERROR(VLOOKUP($X126,ess_act,J$6,FALSE)),0,VLOOKUP($X126,ess_act,J$6,FALSE))</f>
        <v>0</v>
      </c>
      <c r="K126" s="155"/>
      <c r="L126" s="155"/>
      <c r="M126" s="155"/>
      <c r="N126" s="156">
        <f t="shared" ref="N126:N128" si="74">IF(ISERROR(VLOOKUP($X126,ess_act,N$6,FALSE)),0,VLOOKUP($X126,ess_act,N$6,FALSE))</f>
        <v>0</v>
      </c>
      <c r="O126" s="155"/>
      <c r="P126" s="157"/>
      <c r="Q126" s="156">
        <f>IF(ISERROR(VLOOKUP($X126,ess_bud,Q$6,FALSE)),0,VLOOKUP($X126,ess_bud,Q$6,FALSE))</f>
        <v>0</v>
      </c>
      <c r="R126" s="155"/>
      <c r="S126" s="155"/>
      <c r="T126" s="158"/>
      <c r="U126" s="156">
        <f t="shared" ref="U126:U128" si="75">IF(ISERROR(VLOOKUP($X126,ess_act,U$6,FALSE)),0,VLOOKUP($X126,ess_act,U$6,FALSE))</f>
        <v>0</v>
      </c>
      <c r="V126" s="155"/>
      <c r="W126" s="155"/>
      <c r="X126" s="159" t="str">
        <f t="shared" ref="X126:X128" si="76">A126&amp;$X$6</f>
        <v>35101CW</v>
      </c>
      <c r="Y126" s="8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ht="12.75" customHeight="1">
      <c r="A127" s="155">
        <v>35102.0</v>
      </c>
      <c r="B127" s="155"/>
      <c r="C127" s="156">
        <f t="shared" si="72"/>
        <v>0</v>
      </c>
      <c r="D127" s="155"/>
      <c r="E127" s="157"/>
      <c r="F127" s="156">
        <f>IF(ISERROR(VLOOKUP($X127,ess_bud,F$6,FALSE)),0,VLOOKUP($X127,ess_bud,F$6,FALSE))</f>
        <v>0</v>
      </c>
      <c r="G127" s="155"/>
      <c r="H127" s="155"/>
      <c r="I127" s="158"/>
      <c r="J127" s="156">
        <f t="shared" si="73"/>
        <v>0</v>
      </c>
      <c r="K127" s="155"/>
      <c r="L127" s="155"/>
      <c r="M127" s="155"/>
      <c r="N127" s="156">
        <f t="shared" si="74"/>
        <v>0</v>
      </c>
      <c r="O127" s="155"/>
      <c r="P127" s="157"/>
      <c r="Q127" s="156">
        <f>IF(ISERROR(VLOOKUP($X127,ess_bud,Q$6,FALSE)),0,VLOOKUP($X127,ess_bud,Q$6,FALSE))</f>
        <v>0</v>
      </c>
      <c r="R127" s="155"/>
      <c r="S127" s="155"/>
      <c r="T127" s="158"/>
      <c r="U127" s="156">
        <f t="shared" si="75"/>
        <v>0</v>
      </c>
      <c r="V127" s="155"/>
      <c r="W127" s="155"/>
      <c r="X127" s="159" t="str">
        <f t="shared" si="76"/>
        <v>35102CW</v>
      </c>
      <c r="Y127" s="8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ht="12.75" customHeight="1">
      <c r="A128" s="155">
        <v>35103.0</v>
      </c>
      <c r="B128" s="155"/>
      <c r="C128" s="156">
        <f t="shared" si="72"/>
        <v>0</v>
      </c>
      <c r="D128" s="155"/>
      <c r="E128" s="157"/>
      <c r="F128" s="156">
        <f>IF(ISERROR(VLOOKUP($X128,ess_bud,F$6,FALSE)),0,VLOOKUP($X128,ess_bud,F$6,FALSE))</f>
        <v>0</v>
      </c>
      <c r="G128" s="155"/>
      <c r="H128" s="155"/>
      <c r="I128" s="158"/>
      <c r="J128" s="156">
        <f t="shared" si="73"/>
        <v>0</v>
      </c>
      <c r="K128" s="155"/>
      <c r="L128" s="155"/>
      <c r="M128" s="155"/>
      <c r="N128" s="156">
        <f t="shared" si="74"/>
        <v>0</v>
      </c>
      <c r="O128" s="155"/>
      <c r="P128" s="157"/>
      <c r="Q128" s="156">
        <f>IF(ISERROR(VLOOKUP($X128,ess_bud,Q$6,FALSE)),0,VLOOKUP($X128,ess_bud,Q$6,FALSE))</f>
        <v>0</v>
      </c>
      <c r="R128" s="155"/>
      <c r="S128" s="155"/>
      <c r="T128" s="158"/>
      <c r="U128" s="156">
        <f t="shared" si="75"/>
        <v>0</v>
      </c>
      <c r="V128" s="155"/>
      <c r="W128" s="155"/>
      <c r="X128" s="159" t="str">
        <f t="shared" si="76"/>
        <v>35103CW</v>
      </c>
      <c r="Y128" s="8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ht="12.75" customHeight="1">
      <c r="A129" s="2"/>
      <c r="B129" s="2"/>
      <c r="C129" s="35"/>
      <c r="D129" s="2"/>
      <c r="E129" s="29"/>
      <c r="F129" s="35"/>
      <c r="G129" s="2"/>
      <c r="H129" s="2"/>
      <c r="I129" s="37"/>
      <c r="J129" s="35"/>
      <c r="K129" s="2"/>
      <c r="L129" s="2"/>
      <c r="M129" s="2"/>
      <c r="N129" s="35"/>
      <c r="P129" s="29"/>
      <c r="Q129" s="35"/>
      <c r="T129" s="37"/>
      <c r="U129" s="35"/>
      <c r="V129" s="2"/>
      <c r="W129" s="2"/>
      <c r="X129" s="8"/>
      <c r="Y129" s="8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ht="12.75" customHeight="1">
      <c r="A130" s="160" t="s">
        <v>199</v>
      </c>
      <c r="B130" s="2"/>
      <c r="C130" s="35"/>
      <c r="D130" s="2"/>
      <c r="E130" s="29"/>
      <c r="F130" s="35"/>
      <c r="G130" s="2"/>
      <c r="H130" s="2"/>
      <c r="I130" s="37"/>
      <c r="J130" s="35"/>
      <c r="K130" s="2"/>
      <c r="L130" s="2"/>
      <c r="M130" s="2"/>
      <c r="N130" s="35"/>
      <c r="P130" s="29"/>
      <c r="Q130" s="35"/>
      <c r="T130" s="37"/>
      <c r="U130" s="35"/>
      <c r="V130" s="2"/>
      <c r="W130" s="2"/>
      <c r="X130" s="8"/>
      <c r="Y130" s="8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ht="12.75" customHeight="1">
      <c r="A131" s="161">
        <v>41103.0</v>
      </c>
      <c r="B131" s="162"/>
      <c r="C131" s="163">
        <f t="shared" ref="C131:C138" si="77">IF(ISERROR(VLOOKUP($X131,ess_act,C$6,FALSE)),0,VLOOKUP($X131,ess_act,C$6,FALSE))</f>
        <v>0</v>
      </c>
      <c r="D131" s="162"/>
      <c r="E131" s="164"/>
      <c r="F131" s="163">
        <f>IF(ISERROR(VLOOKUP($X131,ess_bud,F$6,FALSE)),0,VLOOKUP($X131,ess_bud,F$6,FALSE))</f>
        <v>0</v>
      </c>
      <c r="G131" s="162"/>
      <c r="H131" s="162"/>
      <c r="I131" s="165"/>
      <c r="J131" s="163">
        <f t="shared" ref="J131:J138" si="78">IF(ISERROR(VLOOKUP($X131,ess_act,J$6,FALSE)),0,VLOOKUP($X131,ess_act,J$6,FALSE))</f>
        <v>0</v>
      </c>
      <c r="K131" s="162"/>
      <c r="L131" s="162"/>
      <c r="M131" s="162"/>
      <c r="N131" s="163">
        <f t="shared" ref="N131:N138" si="79">IF(ISERROR(VLOOKUP($X131,ess_act,N$6,FALSE)),0,VLOOKUP($X131,ess_act,N$6,FALSE))</f>
        <v>0</v>
      </c>
      <c r="O131" s="162"/>
      <c r="P131" s="164"/>
      <c r="Q131" s="163">
        <f>IF(ISERROR(VLOOKUP($X131,ess_bud,Q$6,FALSE)),0,VLOOKUP($X131,ess_bud,Q$6,FALSE))</f>
        <v>0</v>
      </c>
      <c r="R131" s="162"/>
      <c r="S131" s="162"/>
      <c r="T131" s="165"/>
      <c r="U131" s="163">
        <f t="shared" ref="U131:U138" si="80">IF(ISERROR(VLOOKUP($X131,ess_act,U$6,FALSE)),0,VLOOKUP($X131,ess_act,U$6,FALSE))</f>
        <v>0</v>
      </c>
      <c r="V131" s="162"/>
      <c r="W131" s="162"/>
      <c r="X131" s="166" t="str">
        <f t="shared" ref="X131:X138" si="81">A131&amp;$X$6</f>
        <v>41103CW</v>
      </c>
      <c r="Y131" s="8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ht="12.75" customHeight="1">
      <c r="A132" s="167">
        <v>41104.0</v>
      </c>
      <c r="B132" s="160"/>
      <c r="C132" s="168">
        <f t="shared" si="77"/>
        <v>0</v>
      </c>
      <c r="D132" s="160"/>
      <c r="E132" s="169"/>
      <c r="F132" s="168">
        <f>IF(ISERROR(VLOOKUP($X132,ess_bud,F$6,FALSE)),0,VLOOKUP($X132,ess_bud,F$6,FALSE))</f>
        <v>0</v>
      </c>
      <c r="G132" s="160"/>
      <c r="H132" s="160"/>
      <c r="I132" s="170"/>
      <c r="J132" s="168">
        <f t="shared" si="78"/>
        <v>0</v>
      </c>
      <c r="K132" s="160"/>
      <c r="L132" s="160"/>
      <c r="M132" s="160"/>
      <c r="N132" s="168">
        <f t="shared" si="79"/>
        <v>0</v>
      </c>
      <c r="O132" s="160"/>
      <c r="P132" s="169"/>
      <c r="Q132" s="168">
        <f>IF(ISERROR(VLOOKUP($X132,ess_bud,Q$6,FALSE)),0,VLOOKUP($X132,ess_bud,Q$6,FALSE))</f>
        <v>0</v>
      </c>
      <c r="R132" s="160"/>
      <c r="S132" s="160"/>
      <c r="T132" s="170"/>
      <c r="U132" s="168">
        <f t="shared" si="80"/>
        <v>0</v>
      </c>
      <c r="V132" s="160"/>
      <c r="W132" s="160"/>
      <c r="X132" s="171" t="str">
        <f t="shared" si="81"/>
        <v>41104CW</v>
      </c>
      <c r="Y132" s="8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ht="12.75" customHeight="1">
      <c r="A133" s="167">
        <v>41102.0</v>
      </c>
      <c r="B133" s="160"/>
      <c r="C133" s="168">
        <f t="shared" si="77"/>
        <v>0</v>
      </c>
      <c r="D133" s="160"/>
      <c r="E133" s="169"/>
      <c r="F133" s="168">
        <f>IF(ISERROR(VLOOKUP($X133,ess_bud,F$6,FALSE)),0,VLOOKUP($X133,ess_bud,F$6,FALSE))</f>
        <v>0</v>
      </c>
      <c r="G133" s="160"/>
      <c r="H133" s="160"/>
      <c r="I133" s="170"/>
      <c r="J133" s="168">
        <f t="shared" si="78"/>
        <v>0</v>
      </c>
      <c r="K133" s="160"/>
      <c r="L133" s="160"/>
      <c r="M133" s="160"/>
      <c r="N133" s="168">
        <f t="shared" si="79"/>
        <v>0</v>
      </c>
      <c r="O133" s="160"/>
      <c r="P133" s="169"/>
      <c r="Q133" s="168">
        <f>IF(ISERROR(VLOOKUP($X133,ess_bud,Q$6,FALSE)),0,VLOOKUP($X133,ess_bud,Q$6,FALSE))</f>
        <v>0</v>
      </c>
      <c r="R133" s="160"/>
      <c r="S133" s="160"/>
      <c r="T133" s="170"/>
      <c r="U133" s="168">
        <f t="shared" si="80"/>
        <v>0</v>
      </c>
      <c r="V133" s="160"/>
      <c r="W133" s="160"/>
      <c r="X133" s="171" t="str">
        <f t="shared" si="81"/>
        <v>41102CW</v>
      </c>
      <c r="Y133" s="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ht="12.75" customHeight="1">
      <c r="A134" s="167">
        <v>42100.0</v>
      </c>
      <c r="B134" s="160"/>
      <c r="C134" s="168">
        <f t="shared" si="77"/>
        <v>0</v>
      </c>
      <c r="D134" s="160"/>
      <c r="E134" s="169"/>
      <c r="F134" s="168">
        <f>IF(ISERROR(VLOOKUP($X134,ess_bud,F$6,FALSE)),0,VLOOKUP($X134,ess_bud,F$6,FALSE))</f>
        <v>0</v>
      </c>
      <c r="G134" s="160"/>
      <c r="H134" s="160"/>
      <c r="I134" s="170"/>
      <c r="J134" s="168">
        <f t="shared" si="78"/>
        <v>0</v>
      </c>
      <c r="K134" s="160"/>
      <c r="L134" s="160"/>
      <c r="M134" s="160"/>
      <c r="N134" s="168">
        <f t="shared" si="79"/>
        <v>0</v>
      </c>
      <c r="O134" s="160"/>
      <c r="P134" s="169"/>
      <c r="Q134" s="168">
        <f>IF(ISERROR(VLOOKUP($X134,ess_bud,Q$6,FALSE)),0,VLOOKUP($X134,ess_bud,Q$6,FALSE))</f>
        <v>0</v>
      </c>
      <c r="R134" s="160"/>
      <c r="S134" s="160"/>
      <c r="T134" s="170"/>
      <c r="U134" s="168">
        <f t="shared" si="80"/>
        <v>0</v>
      </c>
      <c r="V134" s="160"/>
      <c r="W134" s="160"/>
      <c r="X134" s="171" t="str">
        <f t="shared" si="81"/>
        <v>42100CW</v>
      </c>
      <c r="Y134" s="8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ht="12.75" customHeight="1">
      <c r="A135" s="167">
        <v>43500.0</v>
      </c>
      <c r="B135" s="160"/>
      <c r="C135" s="168">
        <f t="shared" si="77"/>
        <v>0</v>
      </c>
      <c r="D135" s="160"/>
      <c r="E135" s="169"/>
      <c r="F135" s="168">
        <f>IF(ISERROR(VLOOKUP($X135,ess_bud,F$6,FALSE)),0,VLOOKUP($X135,ess_bud,F$6,FALSE))</f>
        <v>0</v>
      </c>
      <c r="G135" s="160"/>
      <c r="H135" s="160"/>
      <c r="I135" s="170"/>
      <c r="J135" s="168">
        <f t="shared" si="78"/>
        <v>0</v>
      </c>
      <c r="K135" s="160"/>
      <c r="L135" s="160"/>
      <c r="M135" s="160"/>
      <c r="N135" s="168">
        <f t="shared" si="79"/>
        <v>0</v>
      </c>
      <c r="O135" s="160"/>
      <c r="P135" s="169"/>
      <c r="Q135" s="168">
        <f>IF(ISERROR(VLOOKUP($X135,ess_bud,Q$6,FALSE)),0,VLOOKUP($X135,ess_bud,Q$6,FALSE))</f>
        <v>0</v>
      </c>
      <c r="R135" s="160"/>
      <c r="S135" s="160"/>
      <c r="T135" s="170"/>
      <c r="U135" s="168">
        <f t="shared" si="80"/>
        <v>0</v>
      </c>
      <c r="V135" s="160"/>
      <c r="W135" s="160"/>
      <c r="X135" s="171" t="str">
        <f t="shared" si="81"/>
        <v>43500CW</v>
      </c>
      <c r="Y135" s="8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ht="12.75" customHeight="1">
      <c r="A136" s="167">
        <v>43100.0</v>
      </c>
      <c r="B136" s="160"/>
      <c r="C136" s="168">
        <f t="shared" si="77"/>
        <v>0</v>
      </c>
      <c r="D136" s="160"/>
      <c r="E136" s="169"/>
      <c r="F136" s="168">
        <f>IF(ISERROR(VLOOKUP($X136,ess_bud,F$6,FALSE)),0,VLOOKUP($X136,ess_bud,F$6,FALSE))</f>
        <v>0</v>
      </c>
      <c r="G136" s="160"/>
      <c r="H136" s="160"/>
      <c r="I136" s="170"/>
      <c r="J136" s="168">
        <f t="shared" si="78"/>
        <v>0</v>
      </c>
      <c r="K136" s="160"/>
      <c r="L136" s="160"/>
      <c r="M136" s="160"/>
      <c r="N136" s="168">
        <f t="shared" si="79"/>
        <v>0</v>
      </c>
      <c r="O136" s="160"/>
      <c r="P136" s="169"/>
      <c r="Q136" s="168">
        <f>IF(ISERROR(VLOOKUP($X136,ess_bud,Q$6,FALSE)),0,VLOOKUP($X136,ess_bud,Q$6,FALSE))</f>
        <v>0</v>
      </c>
      <c r="R136" s="160"/>
      <c r="S136" s="160"/>
      <c r="T136" s="170"/>
      <c r="U136" s="168">
        <f t="shared" si="80"/>
        <v>0</v>
      </c>
      <c r="V136" s="160"/>
      <c r="W136" s="160"/>
      <c r="X136" s="171" t="str">
        <f t="shared" si="81"/>
        <v>43100CW</v>
      </c>
      <c r="Y136" s="8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ht="12.75" customHeight="1">
      <c r="A137" s="172">
        <v>43500.0</v>
      </c>
      <c r="B137" s="173"/>
      <c r="C137" s="174">
        <f t="shared" si="77"/>
        <v>0</v>
      </c>
      <c r="D137" s="173"/>
      <c r="E137" s="175"/>
      <c r="F137" s="174">
        <f>IF(ISERROR(VLOOKUP($X137,ess_bud,F$6,FALSE)),0,VLOOKUP($X137,ess_bud,F$6,FALSE))</f>
        <v>0</v>
      </c>
      <c r="G137" s="173"/>
      <c r="H137" s="173"/>
      <c r="I137" s="176"/>
      <c r="J137" s="174">
        <f t="shared" si="78"/>
        <v>0</v>
      </c>
      <c r="K137" s="173"/>
      <c r="L137" s="173"/>
      <c r="M137" s="173"/>
      <c r="N137" s="174">
        <f t="shared" si="79"/>
        <v>0</v>
      </c>
      <c r="O137" s="173"/>
      <c r="P137" s="175"/>
      <c r="Q137" s="174">
        <f>IF(ISERROR(VLOOKUP($X137,ess_bud,Q$6,FALSE)),0,VLOOKUP($X137,ess_bud,Q$6,FALSE))</f>
        <v>0</v>
      </c>
      <c r="R137" s="173"/>
      <c r="S137" s="173"/>
      <c r="T137" s="176"/>
      <c r="U137" s="174">
        <f t="shared" si="80"/>
        <v>0</v>
      </c>
      <c r="V137" s="173"/>
      <c r="W137" s="173"/>
      <c r="X137" s="177" t="str">
        <f t="shared" si="81"/>
        <v>43500CW</v>
      </c>
      <c r="Y137" s="8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ht="12.75" customHeight="1">
      <c r="A138" s="2" t="s">
        <v>200</v>
      </c>
      <c r="B138" s="173"/>
      <c r="C138" s="174">
        <f t="shared" si="77"/>
        <v>0</v>
      </c>
      <c r="D138" s="173"/>
      <c r="E138" s="175"/>
      <c r="F138" s="174">
        <f>IF(ISERROR(VLOOKUP($X138,ess_bud,F$6,FALSE)),0,VLOOKUP($X138,ess_bud,F$6,FALSE))</f>
        <v>0</v>
      </c>
      <c r="G138" s="173"/>
      <c r="H138" s="173"/>
      <c r="I138" s="176"/>
      <c r="J138" s="174">
        <f t="shared" si="78"/>
        <v>0</v>
      </c>
      <c r="K138" s="173"/>
      <c r="L138" s="173"/>
      <c r="M138" s="173"/>
      <c r="N138" s="174">
        <f t="shared" si="79"/>
        <v>0</v>
      </c>
      <c r="O138" s="173"/>
      <c r="P138" s="175"/>
      <c r="Q138" s="174">
        <f>IF(ISERROR(VLOOKUP($X138,ess_bud,Q$6,FALSE)),0,VLOOKUP($X138,ess_bud,Q$6,FALSE))</f>
        <v>0</v>
      </c>
      <c r="R138" s="173"/>
      <c r="S138" s="173"/>
      <c r="T138" s="176"/>
      <c r="U138" s="174">
        <f t="shared" si="80"/>
        <v>0</v>
      </c>
      <c r="V138" s="173"/>
      <c r="W138" s="173"/>
      <c r="X138" s="177" t="str">
        <f t="shared" si="81"/>
        <v>OTHER EXCLUDED ACCOUNTSCW</v>
      </c>
      <c r="Y138" s="8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ht="12.75" customHeight="1">
      <c r="A139" s="2"/>
      <c r="B139" s="2"/>
      <c r="C139" s="35"/>
      <c r="D139" s="2"/>
      <c r="E139" s="29"/>
      <c r="F139" s="35"/>
      <c r="G139" s="2"/>
      <c r="H139" s="2"/>
      <c r="I139" s="37"/>
      <c r="J139" s="35"/>
      <c r="K139" s="2"/>
      <c r="L139" s="2"/>
      <c r="M139" s="2"/>
      <c r="N139" s="35"/>
      <c r="O139" s="2"/>
      <c r="P139" s="29"/>
      <c r="Q139" s="35"/>
      <c r="R139" s="2"/>
      <c r="S139" s="2"/>
      <c r="T139" s="37"/>
      <c r="U139" s="35"/>
      <c r="V139" s="2"/>
      <c r="W139" s="2"/>
      <c r="X139" s="8"/>
      <c r="Y139" s="8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ht="12.75" customHeight="1">
      <c r="A140" s="2">
        <v>43101.0</v>
      </c>
      <c r="B140" s="2"/>
      <c r="C140" s="35">
        <f t="shared" ref="C140:C145" si="82">IF(ISERROR(VLOOKUP($X140,ess_act,C$6,FALSE)),0,VLOOKUP($X140,ess_act,C$6,FALSE))</f>
        <v>0</v>
      </c>
      <c r="D140" s="2"/>
      <c r="E140" s="29"/>
      <c r="F140" s="35">
        <f>IF(ISERROR(VLOOKUP($X140,ess_bud,F$6,FALSE)),0,VLOOKUP($X140,ess_bud,F$6,FALSE))</f>
        <v>0</v>
      </c>
      <c r="G140" s="2"/>
      <c r="H140" s="2"/>
      <c r="I140" s="37"/>
      <c r="J140" s="35">
        <f t="shared" ref="J140:J145" si="83">IF(ISERROR(VLOOKUP($X140,ess_act,J$6,FALSE)),0,VLOOKUP($X140,ess_act,J$6,FALSE))</f>
        <v>0</v>
      </c>
      <c r="K140" s="2"/>
      <c r="L140" s="2"/>
      <c r="M140" s="2"/>
      <c r="N140" s="35">
        <f t="shared" ref="N140:N145" si="84">IF(ISERROR(VLOOKUP($X140,ess_act,N$6,FALSE)),0,VLOOKUP($X140,ess_act,N$6,FALSE))</f>
        <v>0</v>
      </c>
      <c r="P140" s="29"/>
      <c r="Q140" s="35">
        <f>IF(ISERROR(VLOOKUP($X140,ess_bud,Q$6,FALSE)),0,VLOOKUP($X140,ess_bud,Q$6,FALSE))</f>
        <v>0</v>
      </c>
      <c r="T140" s="37"/>
      <c r="U140" s="35">
        <f t="shared" ref="U140:U145" si="85">IF(ISERROR(VLOOKUP($X140,ess_act,U$6,FALSE)),0,VLOOKUP($X140,ess_act,U$6,FALSE))</f>
        <v>0</v>
      </c>
      <c r="V140" s="2"/>
      <c r="W140" s="2"/>
      <c r="X140" s="8" t="str">
        <f t="shared" ref="X140:X145" si="86">A140&amp;$X$6</f>
        <v>43101CW</v>
      </c>
      <c r="Y140" s="8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ht="12.75" customHeight="1">
      <c r="A141" s="2">
        <v>43601.0</v>
      </c>
      <c r="B141" s="2"/>
      <c r="C141" s="35">
        <f t="shared" si="82"/>
        <v>0</v>
      </c>
      <c r="D141" s="2"/>
      <c r="E141" s="29"/>
      <c r="F141" s="35">
        <f>IF(ISERROR(VLOOKUP($X141,ess_bud,F$6,FALSE)),0,VLOOKUP($X141,ess_bud,F$6,FALSE))</f>
        <v>0</v>
      </c>
      <c r="G141" s="2"/>
      <c r="H141" s="2"/>
      <c r="I141" s="37"/>
      <c r="J141" s="35">
        <f t="shared" si="83"/>
        <v>0</v>
      </c>
      <c r="K141" s="2"/>
      <c r="L141" s="2"/>
      <c r="M141" s="2"/>
      <c r="N141" s="35">
        <f t="shared" si="84"/>
        <v>0</v>
      </c>
      <c r="P141" s="29"/>
      <c r="Q141" s="35">
        <f>IF(ISERROR(VLOOKUP($X141,ess_bud,Q$6,FALSE)),0,VLOOKUP($X141,ess_bud,Q$6,FALSE))</f>
        <v>0</v>
      </c>
      <c r="T141" s="37"/>
      <c r="U141" s="35">
        <f t="shared" si="85"/>
        <v>0</v>
      </c>
      <c r="V141" s="2"/>
      <c r="W141" s="2"/>
      <c r="X141" s="8" t="str">
        <f t="shared" si="86"/>
        <v>43601CW</v>
      </c>
      <c r="Y141" s="8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ht="12.75" customHeight="1">
      <c r="A142" s="2">
        <v>44101.0</v>
      </c>
      <c r="B142" s="2"/>
      <c r="C142" s="35">
        <f t="shared" si="82"/>
        <v>0</v>
      </c>
      <c r="D142" s="2"/>
      <c r="E142" s="29"/>
      <c r="F142" s="35">
        <f>IF(ISERROR(VLOOKUP($X142,ess_bud,F$6,FALSE)),0,VLOOKUP($X142,ess_bud,F$6,FALSE))</f>
        <v>0</v>
      </c>
      <c r="G142" s="2"/>
      <c r="H142" s="2"/>
      <c r="I142" s="37"/>
      <c r="J142" s="35">
        <f t="shared" si="83"/>
        <v>0</v>
      </c>
      <c r="K142" s="2"/>
      <c r="L142" s="2"/>
      <c r="M142" s="2"/>
      <c r="N142" s="35">
        <f t="shared" si="84"/>
        <v>0</v>
      </c>
      <c r="P142" s="29"/>
      <c r="Q142" s="35">
        <f>IF(ISERROR(VLOOKUP($X142,ess_bud,Q$6,FALSE)),0,VLOOKUP($X142,ess_bud,Q$6,FALSE))</f>
        <v>0</v>
      </c>
      <c r="T142" s="37"/>
      <c r="U142" s="35">
        <f t="shared" si="85"/>
        <v>0</v>
      </c>
      <c r="V142" s="2"/>
      <c r="W142" s="2"/>
      <c r="X142" s="8" t="str">
        <f t="shared" si="86"/>
        <v>44101CW</v>
      </c>
      <c r="Y142" s="8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ht="12.75" customHeight="1">
      <c r="A143" s="2">
        <v>44400.0</v>
      </c>
      <c r="B143" s="2"/>
      <c r="C143" s="35">
        <f t="shared" si="82"/>
        <v>0</v>
      </c>
      <c r="D143" s="2"/>
      <c r="E143" s="29"/>
      <c r="F143" s="35">
        <f>IF(ISERROR(VLOOKUP($X143,ess_bud,F$6,FALSE)),0,VLOOKUP($X143,ess_bud,F$6,FALSE))</f>
        <v>0</v>
      </c>
      <c r="G143" s="2"/>
      <c r="H143" s="2"/>
      <c r="I143" s="37"/>
      <c r="J143" s="35">
        <f t="shared" si="83"/>
        <v>0</v>
      </c>
      <c r="K143" s="2"/>
      <c r="L143" s="2"/>
      <c r="M143" s="2"/>
      <c r="N143" s="35">
        <f t="shared" si="84"/>
        <v>0</v>
      </c>
      <c r="P143" s="29"/>
      <c r="Q143" s="35">
        <f>IF(ISERROR(VLOOKUP($X143,ess_bud,Q$6,FALSE)),0,VLOOKUP($X143,ess_bud,Q$6,FALSE))</f>
        <v>0</v>
      </c>
      <c r="T143" s="37"/>
      <c r="U143" s="35">
        <f t="shared" si="85"/>
        <v>0</v>
      </c>
      <c r="V143" s="2"/>
      <c r="W143" s="2"/>
      <c r="X143" s="8" t="str">
        <f t="shared" si="86"/>
        <v>44400CW</v>
      </c>
      <c r="Y143" s="8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ht="12.75" customHeight="1">
      <c r="A144" s="2">
        <v>44401.0</v>
      </c>
      <c r="B144" s="2"/>
      <c r="C144" s="35">
        <f t="shared" si="82"/>
        <v>0</v>
      </c>
      <c r="D144" s="2"/>
      <c r="E144" s="29"/>
      <c r="F144" s="35">
        <f>IF(ISERROR(VLOOKUP($X144,ess_bud,F$6,FALSE)),0,VLOOKUP($X144,ess_bud,F$6,FALSE))</f>
        <v>0</v>
      </c>
      <c r="G144" s="2"/>
      <c r="H144" s="2"/>
      <c r="I144" s="37"/>
      <c r="J144" s="35">
        <f t="shared" si="83"/>
        <v>0</v>
      </c>
      <c r="K144" s="2"/>
      <c r="L144" s="2"/>
      <c r="M144" s="2"/>
      <c r="N144" s="35">
        <f t="shared" si="84"/>
        <v>0</v>
      </c>
      <c r="P144" s="29"/>
      <c r="Q144" s="35">
        <f>IF(ISERROR(VLOOKUP($X144,ess_bud,Q$6,FALSE)),0,VLOOKUP($X144,ess_bud,Q$6,FALSE))</f>
        <v>0</v>
      </c>
      <c r="T144" s="37"/>
      <c r="U144" s="35">
        <f t="shared" si="85"/>
        <v>0</v>
      </c>
      <c r="V144" s="2"/>
      <c r="W144" s="2"/>
      <c r="X144" s="8" t="str">
        <f t="shared" si="86"/>
        <v>44401CW</v>
      </c>
      <c r="Y144" s="8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ht="12.75" customHeight="1">
      <c r="A145" s="2">
        <v>44402.0</v>
      </c>
      <c r="B145" s="2"/>
      <c r="C145" s="35">
        <f t="shared" si="82"/>
        <v>0</v>
      </c>
      <c r="D145" s="2"/>
      <c r="E145" s="29"/>
      <c r="F145" s="35">
        <f>IF(ISERROR(VLOOKUP($X145,ess_bud,F$6,FALSE)),0,VLOOKUP($X145,ess_bud,F$6,FALSE))</f>
        <v>0</v>
      </c>
      <c r="G145" s="2"/>
      <c r="H145" s="2"/>
      <c r="I145" s="37"/>
      <c r="J145" s="35">
        <f t="shared" si="83"/>
        <v>0</v>
      </c>
      <c r="K145" s="2"/>
      <c r="L145" s="2"/>
      <c r="M145" s="2"/>
      <c r="N145" s="35">
        <f t="shared" si="84"/>
        <v>0</v>
      </c>
      <c r="P145" s="29"/>
      <c r="Q145" s="35">
        <f>IF(ISERROR(VLOOKUP($X145,ess_bud,Q$6,FALSE)),0,VLOOKUP($X145,ess_bud,Q$6,FALSE))</f>
        <v>0</v>
      </c>
      <c r="T145" s="37"/>
      <c r="U145" s="35">
        <f t="shared" si="85"/>
        <v>0</v>
      </c>
      <c r="V145" s="2"/>
      <c r="W145" s="2"/>
      <c r="X145" s="8" t="str">
        <f t="shared" si="86"/>
        <v>44402CW</v>
      </c>
      <c r="Y145" s="8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ht="12.75" customHeight="1">
      <c r="A146" s="2"/>
      <c r="B146" s="2"/>
      <c r="C146" s="35">
        <f>SUM(C139:C145)</f>
        <v>0</v>
      </c>
      <c r="D146" s="2"/>
      <c r="E146" s="29"/>
      <c r="F146" s="35">
        <f>SUM(F139:F145)</f>
        <v>0</v>
      </c>
      <c r="G146" s="2"/>
      <c r="H146" s="2"/>
      <c r="I146" s="37"/>
      <c r="J146" s="35">
        <f>SUM(J139:J145)</f>
        <v>0</v>
      </c>
      <c r="K146" s="2"/>
      <c r="L146" s="2"/>
      <c r="M146" s="2"/>
      <c r="N146" s="35">
        <f>SUM(N139:N145)</f>
        <v>0</v>
      </c>
      <c r="P146" s="29"/>
      <c r="Q146" s="35">
        <f>SUM(Q139:Q145)</f>
        <v>0</v>
      </c>
      <c r="T146" s="37"/>
      <c r="U146" s="35">
        <f>SUM(U139:U145)</f>
        <v>0</v>
      </c>
      <c r="V146" s="2"/>
      <c r="W146" s="2"/>
      <c r="X146" s="8"/>
      <c r="Y146" s="8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ht="12.75" customHeight="1">
      <c r="A147" s="47"/>
      <c r="B147" s="47"/>
      <c r="C147" s="178">
        <f>SUM(C116:C146)</f>
        <v>0</v>
      </c>
      <c r="D147" s="47"/>
      <c r="E147" s="47"/>
      <c r="F147" s="178">
        <f>SUM(F116:F146)</f>
        <v>0</v>
      </c>
      <c r="G147" s="47"/>
      <c r="H147" s="47"/>
      <c r="I147" s="47"/>
      <c r="J147" s="178">
        <f>SUM(J116:J146)</f>
        <v>0</v>
      </c>
      <c r="K147" s="47"/>
      <c r="L147" s="47"/>
      <c r="M147" s="47"/>
      <c r="N147" s="178">
        <f>SUM(N116:N146)</f>
        <v>0</v>
      </c>
      <c r="O147" s="47"/>
      <c r="P147" s="47"/>
      <c r="Q147" s="178">
        <f>SUM(Q116:Q146)</f>
        <v>0</v>
      </c>
      <c r="R147" s="47"/>
      <c r="S147" s="47"/>
      <c r="T147" s="47"/>
      <c r="U147" s="178">
        <f>SUM(U116:U146)</f>
        <v>0</v>
      </c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</row>
  </sheetData>
  <mergeCells count="11">
    <mergeCell ref="C7:L7"/>
    <mergeCell ref="A1:V1"/>
    <mergeCell ref="B2:W2"/>
    <mergeCell ref="A5:V5"/>
    <mergeCell ref="N7:W7"/>
    <mergeCell ref="Q8:S8"/>
    <mergeCell ref="U8:W8"/>
    <mergeCell ref="C8:D8"/>
    <mergeCell ref="F8:H8"/>
    <mergeCell ref="J8:L8"/>
    <mergeCell ref="N8:O8"/>
  </mergeCells>
  <dataValidations>
    <dataValidation type="custom" allowBlank="1" sqref="E4 G10:H10 C13:C18 B19:C19 C20 B21:C21 C22:C40 J13:J40 N13:N40 U13:U40 B44:C44 C45:C57 B58:C58 J44:J64 C59:C66 J66 N44:N66 U44:U66">
      <formula1>AND(GTE(LEN(B4),MIN((0),(10000))),LTE(LEN(B4),MAX((0),(10000))))</formula1>
    </dataValidation>
  </dataValidations>
  <printOptions/>
  <pageMargins bottom="0.19" footer="0.0" header="0.0" left="0.75" right="0.75" top="0.18"/>
  <pageSetup paperSize="9"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34.29"/>
    <col customWidth="1" min="2" max="2" width="11.0"/>
    <col customWidth="1" min="3" max="3" width="16.29"/>
    <col customWidth="1" min="4" max="4" width="12.43"/>
    <col customWidth="1" min="5" max="5" width="13.14"/>
    <col customWidth="1" min="6" max="13" width="11.0"/>
    <col customWidth="1" min="14" max="15" width="14.14"/>
    <col customWidth="1" min="16" max="16" width="11.29"/>
    <col customWidth="1" min="17" max="26" width="8.71"/>
  </cols>
  <sheetData>
    <row r="1" ht="1.5" hidden="1" customHeight="1">
      <c r="A1" s="180"/>
      <c r="D1" t="s">
        <v>205</v>
      </c>
      <c r="E1" t="s">
        <v>206</v>
      </c>
      <c r="M1" t="s">
        <v>207</v>
      </c>
      <c r="N1" t="s">
        <v>208</v>
      </c>
    </row>
    <row r="2" ht="1.5" hidden="1" customHeight="1">
      <c r="A2" s="180"/>
      <c r="D2" t="s">
        <v>209</v>
      </c>
      <c r="E2" t="s">
        <v>210</v>
      </c>
      <c r="F2" t="s">
        <v>211</v>
      </c>
      <c r="N2" t="s">
        <v>212</v>
      </c>
    </row>
    <row r="3" ht="1.5" hidden="1" customHeight="1">
      <c r="A3" s="180"/>
      <c r="D3" t="s">
        <v>213</v>
      </c>
      <c r="E3" t="s">
        <v>214</v>
      </c>
      <c r="F3" t="s">
        <v>215</v>
      </c>
    </row>
    <row r="4" ht="1.5" hidden="1" customHeight="1">
      <c r="A4" s="180"/>
      <c r="B4" s="181">
        <f t="shared" ref="B4:D4" si="1">B23/B20</f>
        <v>0.3432742807</v>
      </c>
      <c r="C4" s="181">
        <f t="shared" si="1"/>
        <v>0.3635776935</v>
      </c>
      <c r="D4" s="181">
        <f t="shared" si="1"/>
        <v>0.3373863027</v>
      </c>
    </row>
    <row r="5" ht="1.5" hidden="1" customHeight="1">
      <c r="A5" s="180" t="s">
        <v>216</v>
      </c>
      <c r="B5">
        <v>1.0</v>
      </c>
      <c r="C5">
        <v>2.0</v>
      </c>
      <c r="D5">
        <v>3.0</v>
      </c>
      <c r="E5">
        <v>4.0</v>
      </c>
      <c r="F5">
        <v>5.0</v>
      </c>
      <c r="G5">
        <v>6.0</v>
      </c>
      <c r="H5">
        <v>7.0</v>
      </c>
      <c r="I5">
        <v>8.0</v>
      </c>
      <c r="J5">
        <v>9.0</v>
      </c>
      <c r="K5">
        <v>10.0</v>
      </c>
      <c r="L5">
        <v>11.0</v>
      </c>
      <c r="M5">
        <v>12.0</v>
      </c>
    </row>
    <row r="6" ht="1.5" hidden="1" customHeight="1">
      <c r="A6" s="180" t="s">
        <v>217</v>
      </c>
      <c r="B6" s="182" t="str">
        <f>IF('P&amp;L Summary'!$A$6&gt;=MONTH(B8),"YTD","")</f>
        <v>YTD</v>
      </c>
      <c r="C6" t="str">
        <f>IF('P&amp;L Summary'!$A$6&gt;=MONTH(C8),"YTD","")</f>
        <v>YTD</v>
      </c>
      <c r="D6" t="str">
        <f>IF('P&amp;L Summary'!$A$6&gt;=MONTH(D8),"YTD","")</f>
        <v>YTD</v>
      </c>
      <c r="E6" t="str">
        <f>IF('P&amp;L Summary'!$A$6&gt;=MONTH(E8),"YTD","")</f>
        <v>YTD</v>
      </c>
      <c r="F6" t="str">
        <f>IF('P&amp;L Summary'!$A$6&gt;=MONTH(F8),"YTD","")</f>
        <v>YTD</v>
      </c>
      <c r="G6" t="str">
        <f>IF('P&amp;L Summary'!$A$6&gt;=MONTH(G8),"YTD","")</f>
        <v/>
      </c>
      <c r="H6" t="str">
        <f>IF('P&amp;L Summary'!$A$6&gt;=MONTH(H8),"YTD","")</f>
        <v/>
      </c>
      <c r="I6" t="str">
        <f>IF('P&amp;L Summary'!$A$6&gt;=MONTH(I8),"YTD","")</f>
        <v/>
      </c>
      <c r="J6" t="str">
        <f>IF('P&amp;L Summary'!$A$6&gt;=MONTH(J8),"YTD","")</f>
        <v/>
      </c>
      <c r="K6" t="str">
        <f>IF('P&amp;L Summary'!$A$6&gt;=MONTH(K8),"YTD","")</f>
        <v/>
      </c>
      <c r="L6" t="str">
        <f>IF('P&amp;L Summary'!$A$6&gt;=MONTH(L8),"YTD","")</f>
        <v/>
      </c>
      <c r="M6" t="str">
        <f>IF('P&amp;L Summary'!$A$6&gt;=MONTH(M8),"YTD","")</f>
        <v/>
      </c>
    </row>
    <row r="7" ht="1.5" hidden="1" customHeight="1">
      <c r="A7" s="180"/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40</v>
      </c>
      <c r="O7" t="s">
        <v>219</v>
      </c>
      <c r="P7" t="s">
        <v>4</v>
      </c>
    </row>
    <row r="8" ht="1.5" customHeight="1">
      <c r="A8" s="180"/>
      <c r="B8" s="119">
        <v>43101.0</v>
      </c>
      <c r="C8" s="119">
        <v>43132.0</v>
      </c>
      <c r="D8" s="119">
        <v>43160.0</v>
      </c>
      <c r="E8" s="119">
        <v>43191.0</v>
      </c>
      <c r="F8" s="119">
        <v>43221.0</v>
      </c>
      <c r="G8" s="119">
        <v>43252.0</v>
      </c>
      <c r="H8" s="119">
        <v>43282.0</v>
      </c>
      <c r="I8" s="119">
        <v>43313.0</v>
      </c>
      <c r="J8" s="119">
        <v>43344.0</v>
      </c>
      <c r="K8" s="119">
        <v>43374.0</v>
      </c>
      <c r="L8" s="119">
        <v>43405.0</v>
      </c>
      <c r="M8" s="119">
        <v>43435.0</v>
      </c>
    </row>
    <row r="9" ht="12.75" customHeight="1">
      <c r="A9" s="180"/>
      <c r="B9" t="s">
        <v>220</v>
      </c>
      <c r="C9" t="s">
        <v>220</v>
      </c>
      <c r="D9" t="s">
        <v>220</v>
      </c>
      <c r="E9" t="s">
        <v>221</v>
      </c>
      <c r="F9" t="s">
        <v>222</v>
      </c>
      <c r="G9" t="s">
        <v>220</v>
      </c>
      <c r="H9" t="s">
        <v>222</v>
      </c>
      <c r="I9" t="s">
        <v>220</v>
      </c>
      <c r="J9" t="s">
        <v>222</v>
      </c>
      <c r="K9" t="s">
        <v>222</v>
      </c>
      <c r="L9" t="s">
        <v>222</v>
      </c>
      <c r="M9" t="s">
        <v>222</v>
      </c>
      <c r="N9" t="s">
        <v>223</v>
      </c>
    </row>
    <row r="10" ht="12.75" customHeight="1">
      <c r="A10" s="180" t="s">
        <v>15</v>
      </c>
      <c r="B10" s="74">
        <v>299384.28</v>
      </c>
      <c r="C10" s="74">
        <v>341746.93</v>
      </c>
      <c r="D10" s="74">
        <v>464289.96</v>
      </c>
      <c r="E10" s="74">
        <v>384680.9</v>
      </c>
      <c r="F10" s="74">
        <v>411184.76</v>
      </c>
      <c r="G10" s="74"/>
      <c r="H10" s="74"/>
      <c r="I10" s="183"/>
      <c r="J10" s="74"/>
      <c r="K10" s="74"/>
      <c r="L10" s="74"/>
      <c r="M10" s="74"/>
      <c r="N10" s="74">
        <f t="shared" ref="N10:N55" si="2">SUM(B10:M10)</f>
        <v>1901286.83</v>
      </c>
      <c r="O10" s="74">
        <f>SUMIF($B$5:$M$5,'P&amp;L Summary'!$A$6,$B10:$M10)</f>
        <v>411184.76</v>
      </c>
      <c r="P10" s="74">
        <f t="shared" ref="P10:P53" si="3">SUMIF($B$6:$M$6,"YTD",$B10:$M10)</f>
        <v>1901286.83</v>
      </c>
    </row>
    <row r="11" ht="12.75" customHeight="1">
      <c r="A11" s="180" t="s">
        <v>17</v>
      </c>
      <c r="B11" s="74">
        <v>3965.38</v>
      </c>
      <c r="C11" s="74">
        <v>5882.15</v>
      </c>
      <c r="D11" s="74">
        <v>6337.43</v>
      </c>
      <c r="E11" s="74">
        <v>5239.04</v>
      </c>
      <c r="F11" s="74">
        <v>6649.5</v>
      </c>
      <c r="G11" s="74"/>
      <c r="H11" s="74"/>
      <c r="I11" s="183"/>
      <c r="J11" s="74"/>
      <c r="K11" s="74"/>
      <c r="L11" s="74"/>
      <c r="M11" s="74"/>
      <c r="N11" s="74">
        <f t="shared" si="2"/>
        <v>28073.5</v>
      </c>
      <c r="O11" s="74">
        <f>SUMIF($B$5:$M$5,'P&amp;L Summary'!$A$6,$B11:$M11)</f>
        <v>6649.5</v>
      </c>
      <c r="P11" s="74">
        <f t="shared" si="3"/>
        <v>28073.5</v>
      </c>
    </row>
    <row r="12" ht="12.75" customHeight="1">
      <c r="A12" s="180" t="s">
        <v>19</v>
      </c>
      <c r="B12" s="74">
        <v>0.0</v>
      </c>
      <c r="C12" s="74">
        <v>0.0</v>
      </c>
      <c r="D12" s="74">
        <v>0.0</v>
      </c>
      <c r="E12" s="74">
        <v>0.0</v>
      </c>
      <c r="F12" s="74">
        <v>0.0</v>
      </c>
      <c r="G12" s="74"/>
      <c r="H12" s="74"/>
      <c r="J12" s="74"/>
      <c r="K12" s="74"/>
      <c r="L12" s="74"/>
      <c r="M12" s="74"/>
      <c r="N12" s="74">
        <f t="shared" si="2"/>
        <v>0</v>
      </c>
      <c r="O12" s="74">
        <f>SUMIF($B$5:$M$5,'P&amp;L Summary'!$A$6,$B12:$M12)</f>
        <v>0</v>
      </c>
      <c r="P12" s="74">
        <f t="shared" si="3"/>
        <v>0</v>
      </c>
    </row>
    <row r="13" ht="12.75" customHeight="1">
      <c r="A13" s="180" t="s">
        <v>20</v>
      </c>
      <c r="B13" s="74">
        <v>303349.66</v>
      </c>
      <c r="C13" s="74">
        <v>347629.08</v>
      </c>
      <c r="D13" s="74">
        <v>470627.39</v>
      </c>
      <c r="E13" s="74">
        <v>389919.94</v>
      </c>
      <c r="F13" s="74">
        <v>417834.26</v>
      </c>
      <c r="G13" s="74"/>
      <c r="H13" s="74"/>
      <c r="I13" s="183"/>
      <c r="J13" s="74"/>
      <c r="K13" s="74"/>
      <c r="L13" s="74"/>
      <c r="M13" s="74"/>
      <c r="N13" s="74">
        <f t="shared" si="2"/>
        <v>1929360.33</v>
      </c>
      <c r="O13" s="74">
        <f>SUMIF($B$5:$M$5,'P&amp;L Summary'!$A$6,$B13:$M13)</f>
        <v>417834.26</v>
      </c>
      <c r="P13" s="74">
        <f t="shared" si="3"/>
        <v>1929360.33</v>
      </c>
    </row>
    <row r="14" ht="12.75" customHeight="1">
      <c r="A14" s="180" t="s">
        <v>23</v>
      </c>
      <c r="B14" s="74">
        <v>2817.0</v>
      </c>
      <c r="C14" s="74">
        <v>5842.0</v>
      </c>
      <c r="D14" s="74">
        <v>8840.0</v>
      </c>
      <c r="E14" s="74">
        <v>8807.0</v>
      </c>
      <c r="F14" s="74">
        <v>10159.0</v>
      </c>
      <c r="G14" s="74"/>
      <c r="H14" s="74"/>
      <c r="I14" s="183"/>
      <c r="J14" s="74"/>
      <c r="K14" s="74"/>
      <c r="L14" s="74"/>
      <c r="M14" s="74"/>
      <c r="N14" s="74">
        <f t="shared" si="2"/>
        <v>36465</v>
      </c>
      <c r="O14" s="74">
        <f>SUMIF($B$5:$M$5,'P&amp;L Summary'!$A$6,$B14:$M14)</f>
        <v>10159</v>
      </c>
      <c r="P14" s="74">
        <f t="shared" si="3"/>
        <v>36465</v>
      </c>
    </row>
    <row r="15" ht="12.75" customHeight="1">
      <c r="A15" s="180" t="s">
        <v>25</v>
      </c>
      <c r="B15" s="74">
        <v>0.0</v>
      </c>
      <c r="C15" s="74">
        <v>0.0</v>
      </c>
      <c r="D15" s="74">
        <v>0.0</v>
      </c>
      <c r="E15" s="74">
        <v>0.0</v>
      </c>
      <c r="F15" s="74">
        <v>0.0</v>
      </c>
      <c r="G15" s="74"/>
      <c r="H15" s="74"/>
      <c r="J15" s="74"/>
      <c r="K15" s="74"/>
      <c r="L15" s="74"/>
      <c r="M15" s="74"/>
      <c r="N15" s="74">
        <f t="shared" si="2"/>
        <v>0</v>
      </c>
      <c r="O15" s="74">
        <f>SUMIF($B$5:$M$5,'P&amp;L Summary'!$A$6,$B15:$M15)</f>
        <v>0</v>
      </c>
      <c r="P15" s="74">
        <f t="shared" si="3"/>
        <v>0</v>
      </c>
    </row>
    <row r="16" ht="12.75" customHeight="1">
      <c r="A16" s="180" t="s">
        <v>27</v>
      </c>
      <c r="B16" s="74">
        <v>0.0</v>
      </c>
      <c r="C16" s="74">
        <v>0.0</v>
      </c>
      <c r="D16" s="74">
        <v>0.0</v>
      </c>
      <c r="E16" s="74">
        <v>0.0</v>
      </c>
      <c r="F16" s="74">
        <v>0.0</v>
      </c>
      <c r="G16" s="74"/>
      <c r="H16" s="74"/>
      <c r="J16" s="74"/>
      <c r="K16" s="74"/>
      <c r="L16" s="74"/>
      <c r="M16" s="74"/>
      <c r="N16" s="74">
        <f t="shared" si="2"/>
        <v>0</v>
      </c>
      <c r="O16" s="74">
        <f>SUMIF($B$5:$M$5,'P&amp;L Summary'!$A$6,$B16:$M16)</f>
        <v>0</v>
      </c>
      <c r="P16" s="74">
        <f t="shared" si="3"/>
        <v>0</v>
      </c>
    </row>
    <row r="17" ht="12.75" customHeight="1">
      <c r="A17" s="180" t="s">
        <v>28</v>
      </c>
      <c r="B17" s="74">
        <v>0.0</v>
      </c>
      <c r="C17" s="74">
        <v>0.0</v>
      </c>
      <c r="D17" s="74">
        <v>0.0</v>
      </c>
      <c r="E17" s="74">
        <v>0.0</v>
      </c>
      <c r="F17" s="74">
        <v>0.0</v>
      </c>
      <c r="G17" s="74"/>
      <c r="H17" s="74"/>
      <c r="J17" s="74"/>
      <c r="K17" s="74"/>
      <c r="L17" s="74"/>
      <c r="M17" s="74"/>
      <c r="N17" s="74">
        <f t="shared" si="2"/>
        <v>0</v>
      </c>
      <c r="O17" s="74">
        <f>SUMIF($B$5:$M$5,'P&amp;L Summary'!$A$6,$B17:$M17)</f>
        <v>0</v>
      </c>
      <c r="P17" s="74">
        <f t="shared" si="3"/>
        <v>0</v>
      </c>
    </row>
    <row r="18" ht="12.75" customHeight="1">
      <c r="A18" s="180" t="s">
        <v>30</v>
      </c>
      <c r="B18" s="74">
        <v>2817.0</v>
      </c>
      <c r="C18" s="74">
        <v>5842.0</v>
      </c>
      <c r="D18" s="74">
        <v>8840.0</v>
      </c>
      <c r="E18" s="74">
        <v>8807.0</v>
      </c>
      <c r="F18" s="74">
        <v>10159.0</v>
      </c>
      <c r="G18" s="74"/>
      <c r="H18" s="74"/>
      <c r="I18" s="183"/>
      <c r="J18" s="74"/>
      <c r="K18" s="74"/>
      <c r="L18" s="74"/>
      <c r="M18" s="74"/>
      <c r="N18" s="74">
        <f t="shared" si="2"/>
        <v>36465</v>
      </c>
      <c r="O18" s="74">
        <f>SUMIF($B$5:$M$5,'P&amp;L Summary'!$A$6,$B18:$M18)</f>
        <v>10159</v>
      </c>
      <c r="P18" s="74">
        <f t="shared" si="3"/>
        <v>36465</v>
      </c>
    </row>
    <row r="19" ht="12.75" customHeight="1">
      <c r="B19" s="74"/>
      <c r="C19" s="74"/>
      <c r="D19" s="74"/>
      <c r="E19" s="74"/>
      <c r="F19" s="74"/>
      <c r="G19" s="74"/>
      <c r="H19" s="74"/>
      <c r="J19" s="74"/>
      <c r="K19" s="74"/>
      <c r="L19" s="74"/>
      <c r="M19" s="74"/>
      <c r="N19" s="74">
        <f t="shared" si="2"/>
        <v>0</v>
      </c>
      <c r="O19" s="74">
        <f>SUMIF($B$5:$M$5,'P&amp;L Summary'!$A$6,$B19:$M19)</f>
        <v>0</v>
      </c>
      <c r="P19" s="74">
        <f t="shared" si="3"/>
        <v>0</v>
      </c>
    </row>
    <row r="20" ht="12.75" customHeight="1">
      <c r="A20" s="180" t="s">
        <v>32</v>
      </c>
      <c r="B20" s="74">
        <v>306166.66</v>
      </c>
      <c r="C20" s="74">
        <v>353471.08</v>
      </c>
      <c r="D20" s="74">
        <v>479467.39</v>
      </c>
      <c r="E20" s="74">
        <v>398726.94</v>
      </c>
      <c r="F20" s="74">
        <v>427993.26</v>
      </c>
      <c r="G20" s="74"/>
      <c r="H20" s="74"/>
      <c r="I20" s="183"/>
      <c r="J20" s="74"/>
      <c r="K20" s="74"/>
      <c r="L20" s="74"/>
      <c r="M20" s="74"/>
      <c r="N20" s="74">
        <f t="shared" si="2"/>
        <v>1965825.33</v>
      </c>
      <c r="O20" s="74">
        <f>SUMIF($B$5:$M$5,'P&amp;L Summary'!$A$6,$B20:$M20)</f>
        <v>427993.26</v>
      </c>
      <c r="P20" s="74">
        <f t="shared" si="3"/>
        <v>1965825.33</v>
      </c>
    </row>
    <row r="21" ht="12.75" customHeight="1">
      <c r="B21" s="74"/>
      <c r="C21" s="74"/>
      <c r="D21" s="74"/>
      <c r="E21" s="74"/>
      <c r="F21" s="74"/>
      <c r="G21" s="74"/>
      <c r="H21" s="74"/>
      <c r="I21" s="183"/>
      <c r="J21" s="74"/>
      <c r="K21" s="74"/>
      <c r="L21" s="74"/>
      <c r="M21" s="74"/>
      <c r="N21" s="74">
        <f t="shared" si="2"/>
        <v>0</v>
      </c>
      <c r="O21" s="74">
        <f>SUMIF($B$5:$M$5,'P&amp;L Summary'!$A$6,$B21:$M21)</f>
        <v>0</v>
      </c>
      <c r="P21" s="74">
        <f t="shared" si="3"/>
        <v>0</v>
      </c>
    </row>
    <row r="22" ht="12.75" customHeight="1">
      <c r="A22" s="180" t="s">
        <v>38</v>
      </c>
      <c r="B22" s="74">
        <v>248.03</v>
      </c>
      <c r="C22" s="74">
        <v>208.43</v>
      </c>
      <c r="D22" s="74">
        <v>208.43</v>
      </c>
      <c r="E22" s="74">
        <v>208.43</v>
      </c>
      <c r="F22" s="74">
        <v>208.43</v>
      </c>
      <c r="G22" s="74"/>
      <c r="H22" s="74"/>
      <c r="J22" s="74"/>
      <c r="K22" s="74"/>
      <c r="L22" s="74"/>
      <c r="M22" s="74"/>
      <c r="N22" s="74">
        <f t="shared" si="2"/>
        <v>1081.75</v>
      </c>
      <c r="O22" s="74">
        <f>SUMIF($B$5:$M$5,'P&amp;L Summary'!$A$6,$B22:$M22)</f>
        <v>208.43</v>
      </c>
      <c r="P22" s="74">
        <f t="shared" si="3"/>
        <v>1081.75</v>
      </c>
    </row>
    <row r="23" ht="12.75" customHeight="1">
      <c r="A23" s="180" t="s">
        <v>41</v>
      </c>
      <c r="B23" s="74">
        <v>105099.14</v>
      </c>
      <c r="C23" s="74">
        <v>128514.2</v>
      </c>
      <c r="D23" s="74">
        <v>161765.73</v>
      </c>
      <c r="E23" s="74">
        <v>129764.07</v>
      </c>
      <c r="F23" s="74">
        <v>151592.8</v>
      </c>
      <c r="G23" s="74"/>
      <c r="H23" s="74"/>
      <c r="I23" s="183"/>
      <c r="J23" s="74"/>
      <c r="K23" s="74"/>
      <c r="L23" s="74"/>
      <c r="M23" s="74"/>
      <c r="N23" s="74">
        <f t="shared" si="2"/>
        <v>676735.94</v>
      </c>
      <c r="O23" s="74">
        <f>SUMIF($B$5:$M$5,'P&amp;L Summary'!$A$6,$B23:$M23)</f>
        <v>151592.8</v>
      </c>
      <c r="P23" s="74">
        <f t="shared" si="3"/>
        <v>676735.94</v>
      </c>
    </row>
    <row r="24" ht="12.75" customHeight="1">
      <c r="A24" s="180" t="s">
        <v>42</v>
      </c>
      <c r="B24" s="74">
        <v>0.0</v>
      </c>
      <c r="C24" s="74">
        <v>0.0</v>
      </c>
      <c r="D24" s="74">
        <v>0.0</v>
      </c>
      <c r="E24" s="74">
        <v>0.0</v>
      </c>
      <c r="F24" s="74">
        <v>0.0</v>
      </c>
      <c r="G24" s="74"/>
      <c r="H24" s="74"/>
      <c r="I24" s="183"/>
      <c r="J24" s="74"/>
      <c r="K24" s="74"/>
      <c r="L24" s="74"/>
      <c r="M24" s="74"/>
      <c r="N24" s="74">
        <f t="shared" si="2"/>
        <v>0</v>
      </c>
      <c r="O24" s="74">
        <f>SUMIF($B$5:$M$5,'P&amp;L Summary'!$A$6,$B24:$M24)</f>
        <v>0</v>
      </c>
      <c r="P24" s="74">
        <f t="shared" si="3"/>
        <v>0</v>
      </c>
    </row>
    <row r="25" ht="12.75" customHeight="1">
      <c r="A25" s="180" t="s">
        <v>43</v>
      </c>
      <c r="B25" s="74">
        <v>0.0</v>
      </c>
      <c r="C25" s="74">
        <v>0.0</v>
      </c>
      <c r="D25" s="74">
        <v>0.0</v>
      </c>
      <c r="E25" s="74">
        <v>0.0</v>
      </c>
      <c r="F25" s="74">
        <v>0.0</v>
      </c>
      <c r="G25" s="74"/>
      <c r="H25" s="74"/>
      <c r="J25" s="74"/>
      <c r="K25" s="74"/>
      <c r="L25" s="74"/>
      <c r="M25" s="74"/>
      <c r="N25" s="74">
        <f t="shared" si="2"/>
        <v>0</v>
      </c>
      <c r="O25" s="74">
        <f>SUMIF($B$5:$M$5,'P&amp;L Summary'!$A$6,$B25:$M25)</f>
        <v>0</v>
      </c>
      <c r="P25" s="74">
        <f t="shared" si="3"/>
        <v>0</v>
      </c>
    </row>
    <row r="26" ht="12.75" customHeight="1">
      <c r="B26" s="74"/>
      <c r="C26" s="74"/>
      <c r="D26" s="74"/>
      <c r="E26" s="74"/>
      <c r="F26" s="74"/>
      <c r="G26" s="74"/>
      <c r="H26" s="74"/>
      <c r="J26" s="74"/>
      <c r="K26" s="74"/>
      <c r="L26" s="74"/>
      <c r="M26" s="74"/>
      <c r="N26" s="74">
        <f t="shared" si="2"/>
        <v>0</v>
      </c>
      <c r="O26" s="74">
        <f>SUMIF($B$5:$M$5,'P&amp;L Summary'!$A$6,$B26:$M26)</f>
        <v>0</v>
      </c>
      <c r="P26" s="74">
        <f t="shared" si="3"/>
        <v>0</v>
      </c>
    </row>
    <row r="27" ht="12.75" customHeight="1">
      <c r="A27" s="180" t="s">
        <v>46</v>
      </c>
      <c r="B27" s="74">
        <v>105347.17</v>
      </c>
      <c r="C27" s="74">
        <v>128722.63</v>
      </c>
      <c r="D27" s="74">
        <v>161974.16</v>
      </c>
      <c r="E27" s="74">
        <v>129972.5</v>
      </c>
      <c r="F27" s="74">
        <v>151801.23</v>
      </c>
      <c r="G27" s="74"/>
      <c r="H27" s="74"/>
      <c r="I27" s="183"/>
      <c r="J27" s="74"/>
      <c r="K27" s="74"/>
      <c r="L27" s="74"/>
      <c r="M27" s="74"/>
      <c r="N27" s="74">
        <f t="shared" si="2"/>
        <v>677817.69</v>
      </c>
      <c r="O27" s="74">
        <f>SUMIF($B$5:$M$5,'P&amp;L Summary'!$A$6,$B27:$M27)</f>
        <v>151801.23</v>
      </c>
      <c r="P27" s="74">
        <f t="shared" si="3"/>
        <v>677817.69</v>
      </c>
    </row>
    <row r="28" ht="12.75" customHeight="1">
      <c r="B28" s="74"/>
      <c r="C28" s="74"/>
      <c r="D28" s="74"/>
      <c r="E28" s="74"/>
      <c r="F28" s="74"/>
      <c r="G28" s="74"/>
      <c r="H28" s="74"/>
      <c r="I28" s="183"/>
      <c r="J28" s="74"/>
      <c r="K28" s="74"/>
      <c r="L28" s="74"/>
      <c r="M28" s="74"/>
      <c r="N28" s="74">
        <f t="shared" si="2"/>
        <v>0</v>
      </c>
      <c r="O28" s="74">
        <f>SUMIF($B$5:$M$5,'P&amp;L Summary'!$A$6,$B28:$M28)</f>
        <v>0</v>
      </c>
      <c r="P28" s="74">
        <f t="shared" si="3"/>
        <v>0</v>
      </c>
    </row>
    <row r="29" ht="12.75" customHeight="1">
      <c r="A29" s="180" t="s">
        <v>48</v>
      </c>
      <c r="B29" s="74">
        <v>200819.49</v>
      </c>
      <c r="C29" s="74">
        <v>224748.45</v>
      </c>
      <c r="D29" s="74">
        <v>317493.23</v>
      </c>
      <c r="E29" s="74">
        <v>268754.44</v>
      </c>
      <c r="F29" s="74">
        <v>276192.03</v>
      </c>
      <c r="G29" s="74"/>
      <c r="H29" s="74"/>
      <c r="I29" s="183"/>
      <c r="J29" s="74"/>
      <c r="K29" s="74"/>
      <c r="L29" s="74"/>
      <c r="M29" s="74"/>
      <c r="N29" s="74">
        <f t="shared" si="2"/>
        <v>1288007.64</v>
      </c>
      <c r="O29" s="74">
        <f>SUMIF($B$5:$M$5,'P&amp;L Summary'!$A$6,$B29:$M29)</f>
        <v>276192.03</v>
      </c>
      <c r="P29" s="74">
        <f t="shared" si="3"/>
        <v>1288007.64</v>
      </c>
    </row>
    <row r="30" ht="12.75" customHeight="1">
      <c r="B30" s="74"/>
      <c r="C30" s="74"/>
      <c r="D30" s="74"/>
      <c r="E30" s="74"/>
      <c r="F30" s="74"/>
      <c r="G30" s="74"/>
      <c r="H30" s="74"/>
      <c r="I30" s="183"/>
      <c r="J30" s="74"/>
      <c r="K30" s="74"/>
      <c r="L30" s="74"/>
      <c r="M30" s="74"/>
      <c r="N30" s="74">
        <f t="shared" si="2"/>
        <v>0</v>
      </c>
      <c r="O30" s="74">
        <f>SUMIF($B$5:$M$5,'P&amp;L Summary'!$A$6,$B30:$M30)</f>
        <v>0</v>
      </c>
      <c r="P30" s="74">
        <f t="shared" si="3"/>
        <v>0</v>
      </c>
    </row>
    <row r="31" ht="12.75" customHeight="1">
      <c r="A31" s="180" t="s">
        <v>224</v>
      </c>
      <c r="B31" s="74">
        <v>165548.01</v>
      </c>
      <c r="C31" s="74">
        <v>162290.88</v>
      </c>
      <c r="D31" s="74">
        <v>187321.58</v>
      </c>
      <c r="E31" s="74">
        <v>200374.43</v>
      </c>
      <c r="F31" s="74">
        <v>205201.61</v>
      </c>
      <c r="G31" s="74"/>
      <c r="H31" s="74"/>
      <c r="I31" s="183"/>
      <c r="J31" s="74"/>
      <c r="K31" s="74"/>
      <c r="L31" s="74"/>
      <c r="M31" s="74"/>
      <c r="N31" s="74">
        <f t="shared" si="2"/>
        <v>920736.51</v>
      </c>
      <c r="O31" s="74">
        <f>SUMIF($B$5:$M$5,'P&amp;L Summary'!$A$6,$B31:$M31)</f>
        <v>205201.61</v>
      </c>
      <c r="P31" s="74">
        <f t="shared" si="3"/>
        <v>920736.51</v>
      </c>
    </row>
    <row r="32" ht="12.75" customHeight="1">
      <c r="B32" s="74"/>
      <c r="C32" s="74"/>
      <c r="D32" s="74"/>
      <c r="E32" s="74"/>
      <c r="F32" s="74"/>
      <c r="G32" s="74"/>
      <c r="H32" s="74"/>
      <c r="I32" s="183"/>
      <c r="J32" s="74"/>
      <c r="K32" s="74"/>
      <c r="L32" s="74"/>
      <c r="M32" s="74"/>
      <c r="N32" s="74">
        <f t="shared" si="2"/>
        <v>0</v>
      </c>
      <c r="O32" s="74">
        <f>SUMIF($B$5:$M$5,'P&amp;L Summary'!$A$6,$B32:$M32)</f>
        <v>0</v>
      </c>
      <c r="P32" s="74">
        <f t="shared" si="3"/>
        <v>0</v>
      </c>
    </row>
    <row r="33" ht="12.75" customHeight="1">
      <c r="A33" s="180" t="s">
        <v>50</v>
      </c>
      <c r="B33" s="74">
        <v>0.0</v>
      </c>
      <c r="C33" s="74">
        <v>0.0</v>
      </c>
      <c r="D33" s="74">
        <v>0.0</v>
      </c>
      <c r="E33" s="74">
        <v>0.0</v>
      </c>
      <c r="F33" s="74">
        <v>0.0</v>
      </c>
      <c r="G33" s="74"/>
      <c r="H33" s="74"/>
      <c r="J33" s="74"/>
      <c r="K33" s="74"/>
      <c r="L33" s="74"/>
      <c r="M33" s="74"/>
      <c r="N33" s="74">
        <f t="shared" si="2"/>
        <v>0</v>
      </c>
      <c r="O33" s="74">
        <f>SUMIF($B$5:$M$5,'P&amp;L Summary'!$A$6,$B33:$M33)</f>
        <v>0</v>
      </c>
      <c r="P33" s="74">
        <f t="shared" si="3"/>
        <v>0</v>
      </c>
    </row>
    <row r="34" ht="12.75" customHeight="1">
      <c r="B34" s="74"/>
      <c r="C34" s="74"/>
      <c r="D34" s="74"/>
      <c r="E34" s="74"/>
      <c r="F34" s="74"/>
      <c r="G34" s="74"/>
      <c r="H34" s="74"/>
      <c r="J34" s="74"/>
      <c r="K34" s="74"/>
      <c r="L34" s="74"/>
      <c r="M34" s="74"/>
      <c r="N34" s="74">
        <f t="shared" si="2"/>
        <v>0</v>
      </c>
      <c r="O34" s="74">
        <f>SUMIF($B$5:$M$5,'P&amp;L Summary'!$A$6,$B34:$M34)</f>
        <v>0</v>
      </c>
      <c r="P34" s="74">
        <f t="shared" si="3"/>
        <v>0</v>
      </c>
    </row>
    <row r="35" ht="12.75" customHeight="1">
      <c r="A35" s="180" t="s">
        <v>51</v>
      </c>
      <c r="B35" s="74">
        <v>35271.48</v>
      </c>
      <c r="C35" s="74">
        <v>62457.57</v>
      </c>
      <c r="D35" s="74">
        <v>130171.65</v>
      </c>
      <c r="E35" s="74">
        <v>68380.01</v>
      </c>
      <c r="F35" s="74">
        <v>70990.42</v>
      </c>
      <c r="G35" s="74"/>
      <c r="H35" s="74"/>
      <c r="I35" s="183"/>
      <c r="J35" s="74"/>
      <c r="K35" s="74"/>
      <c r="L35" s="74"/>
      <c r="M35" s="74"/>
      <c r="N35" s="74">
        <f t="shared" si="2"/>
        <v>367271.13</v>
      </c>
      <c r="O35" s="74">
        <f>SUMIF($B$5:$M$5,'P&amp;L Summary'!$A$6,$B35:$M35)</f>
        <v>70990.42</v>
      </c>
      <c r="P35" s="74">
        <f t="shared" si="3"/>
        <v>367271.13</v>
      </c>
    </row>
    <row r="36" ht="12.75" customHeight="1">
      <c r="B36" s="74"/>
      <c r="C36" s="74"/>
      <c r="D36" s="74"/>
      <c r="E36" s="74"/>
      <c r="F36" s="74"/>
      <c r="G36" s="74"/>
      <c r="H36" s="74"/>
      <c r="I36" s="183"/>
      <c r="J36" s="74"/>
      <c r="K36" s="74"/>
      <c r="L36" s="74"/>
      <c r="M36" s="74"/>
      <c r="N36" s="74">
        <f t="shared" si="2"/>
        <v>0</v>
      </c>
      <c r="O36" s="74">
        <f>SUMIF($B$5:$M$5,'P&amp;L Summary'!$A$6,$B36:$M36)</f>
        <v>0</v>
      </c>
      <c r="P36" s="74">
        <f t="shared" si="3"/>
        <v>0</v>
      </c>
    </row>
    <row r="37" ht="12.75" customHeight="1">
      <c r="A37" s="180" t="s">
        <v>225</v>
      </c>
      <c r="B37" s="74">
        <v>0.0</v>
      </c>
      <c r="C37" s="74">
        <v>0.0</v>
      </c>
      <c r="D37" s="74">
        <v>0.0</v>
      </c>
      <c r="E37" s="74">
        <v>0.0</v>
      </c>
      <c r="F37" s="74">
        <v>0.0</v>
      </c>
      <c r="G37" s="74"/>
      <c r="H37" s="74"/>
      <c r="J37" s="74"/>
      <c r="K37" s="74"/>
      <c r="L37" s="74"/>
      <c r="M37" s="74"/>
      <c r="N37" s="74">
        <f t="shared" si="2"/>
        <v>0</v>
      </c>
      <c r="O37" s="74">
        <f>SUMIF($B$5:$M$5,'P&amp;L Summary'!$A$6,$B37:$M37)</f>
        <v>0</v>
      </c>
      <c r="P37" s="74">
        <f t="shared" si="3"/>
        <v>0</v>
      </c>
    </row>
    <row r="38" ht="12.75" customHeight="1">
      <c r="B38" s="74"/>
      <c r="C38" s="74"/>
      <c r="D38" s="74"/>
      <c r="E38" s="74"/>
      <c r="F38" s="74"/>
      <c r="G38" s="74"/>
      <c r="H38" s="74"/>
      <c r="J38" s="74"/>
      <c r="K38" s="74"/>
      <c r="L38" s="74"/>
      <c r="M38" s="74"/>
      <c r="N38" s="74">
        <f t="shared" si="2"/>
        <v>0</v>
      </c>
      <c r="O38" s="74">
        <f>SUMIF($B$5:$M$5,'P&amp;L Summary'!$A$6,$B38:$M38)</f>
        <v>0</v>
      </c>
      <c r="P38" s="74">
        <f t="shared" si="3"/>
        <v>0</v>
      </c>
    </row>
    <row r="39" ht="12.75" customHeight="1">
      <c r="A39" s="180" t="s">
        <v>226</v>
      </c>
      <c r="B39" s="74">
        <v>35271.48</v>
      </c>
      <c r="C39" s="74">
        <v>62457.57</v>
      </c>
      <c r="D39" s="74">
        <v>130171.65</v>
      </c>
      <c r="E39" s="74">
        <v>68380.01</v>
      </c>
      <c r="F39" s="74">
        <v>70990.42</v>
      </c>
      <c r="G39" s="74"/>
      <c r="H39" s="74"/>
      <c r="I39" s="183"/>
      <c r="J39" s="74"/>
      <c r="K39" s="74"/>
      <c r="L39" s="74"/>
      <c r="M39" s="74"/>
      <c r="N39" s="74">
        <f t="shared" si="2"/>
        <v>367271.13</v>
      </c>
      <c r="O39" s="74">
        <f>SUMIF($B$5:$M$5,'P&amp;L Summary'!$A$6,$B39:$M39)</f>
        <v>70990.42</v>
      </c>
      <c r="P39" s="74">
        <f t="shared" si="3"/>
        <v>367271.13</v>
      </c>
    </row>
    <row r="40" ht="12.75" customHeight="1">
      <c r="B40" s="74"/>
      <c r="C40" s="74"/>
      <c r="D40" s="74"/>
      <c r="E40" s="74"/>
      <c r="F40" s="74"/>
      <c r="G40" s="74"/>
      <c r="H40" s="74"/>
      <c r="I40" s="183"/>
      <c r="J40" s="74"/>
      <c r="K40" s="74"/>
      <c r="L40" s="74"/>
      <c r="M40" s="74"/>
      <c r="N40" s="74">
        <f t="shared" si="2"/>
        <v>0</v>
      </c>
      <c r="O40" s="74">
        <f>SUMIF($B$5:$M$5,'P&amp;L Summary'!$A$6,$B40:$M40)</f>
        <v>0</v>
      </c>
      <c r="P40" s="74">
        <f t="shared" si="3"/>
        <v>0</v>
      </c>
    </row>
    <row r="41" ht="12.75" customHeight="1">
      <c r="A41" s="180" t="s">
        <v>227</v>
      </c>
      <c r="B41" s="74">
        <v>-189.73</v>
      </c>
      <c r="C41" s="74">
        <v>119.0</v>
      </c>
      <c r="D41" s="74">
        <v>197.79</v>
      </c>
      <c r="E41" s="74">
        <v>27.46</v>
      </c>
      <c r="F41" s="74">
        <v>103.49</v>
      </c>
      <c r="G41" s="74"/>
      <c r="H41" s="74"/>
      <c r="J41" s="74"/>
      <c r="K41" s="74"/>
      <c r="L41" s="74"/>
      <c r="M41" s="74"/>
      <c r="N41" s="74">
        <f t="shared" si="2"/>
        <v>258.01</v>
      </c>
      <c r="O41" s="74">
        <f>SUMIF($B$5:$M$5,'P&amp;L Summary'!$A$6,$B41:$M41)</f>
        <v>103.49</v>
      </c>
      <c r="P41" s="74">
        <f t="shared" si="3"/>
        <v>258.01</v>
      </c>
    </row>
    <row r="42" ht="12.75" customHeight="1">
      <c r="B42" s="74"/>
      <c r="C42" s="74"/>
      <c r="D42" s="74"/>
      <c r="E42" s="74"/>
      <c r="F42" s="74"/>
      <c r="G42" s="74"/>
      <c r="H42" s="74"/>
      <c r="J42" s="74"/>
      <c r="K42" s="74"/>
      <c r="L42" s="74"/>
      <c r="M42" s="74"/>
      <c r="N42" s="74">
        <f t="shared" si="2"/>
        <v>0</v>
      </c>
      <c r="O42" s="74">
        <f>SUMIF($B$5:$M$5,'P&amp;L Summary'!$A$6,$B42:$M42)</f>
        <v>0</v>
      </c>
      <c r="P42" s="74">
        <f t="shared" si="3"/>
        <v>0</v>
      </c>
    </row>
    <row r="43" ht="12.75" customHeight="1">
      <c r="A43" s="180" t="s">
        <v>54</v>
      </c>
      <c r="B43" s="74">
        <v>35461.21</v>
      </c>
      <c r="C43" s="74">
        <v>62338.57</v>
      </c>
      <c r="D43" s="74">
        <v>129973.86</v>
      </c>
      <c r="E43" s="74">
        <v>68352.55</v>
      </c>
      <c r="F43" s="74">
        <v>70886.93</v>
      </c>
      <c r="G43" s="74"/>
      <c r="H43" s="74"/>
      <c r="I43" s="183"/>
      <c r="J43" s="74"/>
      <c r="K43" s="74"/>
      <c r="L43" s="74"/>
      <c r="M43" s="74"/>
      <c r="N43" s="74">
        <f t="shared" si="2"/>
        <v>367013.12</v>
      </c>
      <c r="O43" s="74">
        <f>SUMIF($B$5:$M$5,'P&amp;L Summary'!$A$6,$B43:$M43)</f>
        <v>70886.93</v>
      </c>
      <c r="P43" s="74">
        <f t="shared" si="3"/>
        <v>367013.12</v>
      </c>
    </row>
    <row r="44" ht="12.75" customHeight="1">
      <c r="A44" s="180" t="s">
        <v>55</v>
      </c>
      <c r="B44" s="74">
        <v>0.0</v>
      </c>
      <c r="C44" s="74">
        <v>0.0</v>
      </c>
      <c r="D44" s="74">
        <v>0.0</v>
      </c>
      <c r="E44" s="74">
        <v>0.0</v>
      </c>
      <c r="F44" s="74">
        <v>0.0</v>
      </c>
      <c r="G44" s="74"/>
      <c r="H44" s="74"/>
      <c r="I44" s="183"/>
      <c r="J44" s="74"/>
      <c r="K44" s="74"/>
      <c r="L44" s="74"/>
      <c r="M44" s="74"/>
      <c r="N44" s="74">
        <f t="shared" si="2"/>
        <v>0</v>
      </c>
      <c r="O44" s="74">
        <f>SUMIF($B$5:$M$5,'P&amp;L Summary'!$A$6,$B44:$M44)</f>
        <v>0</v>
      </c>
      <c r="P44" s="74">
        <f t="shared" si="3"/>
        <v>0</v>
      </c>
    </row>
    <row r="45" ht="12.75" customHeight="1">
      <c r="B45" s="74"/>
      <c r="C45" s="74"/>
      <c r="D45" s="74"/>
      <c r="E45" s="74"/>
      <c r="F45" s="74"/>
      <c r="G45" s="74"/>
      <c r="H45" s="74"/>
      <c r="J45" s="74"/>
      <c r="K45" s="74"/>
      <c r="L45" s="74"/>
      <c r="M45" s="74"/>
      <c r="N45" s="74">
        <f t="shared" si="2"/>
        <v>0</v>
      </c>
      <c r="O45" s="74">
        <f>SUMIF($B$5:$M$5,'P&amp;L Summary'!$A$6,$B45:$M45)</f>
        <v>0</v>
      </c>
      <c r="P45" s="74">
        <f t="shared" si="3"/>
        <v>0</v>
      </c>
    </row>
    <row r="46" ht="12.75" customHeight="1">
      <c r="A46" s="180" t="s">
        <v>56</v>
      </c>
      <c r="B46" s="74">
        <v>35461.21</v>
      </c>
      <c r="C46" s="74">
        <v>62338.57</v>
      </c>
      <c r="D46" s="74">
        <v>129973.86</v>
      </c>
      <c r="E46" s="74">
        <v>68352.55</v>
      </c>
      <c r="F46" s="74">
        <v>70886.93</v>
      </c>
      <c r="G46" s="74"/>
      <c r="H46" s="74"/>
      <c r="I46" s="183"/>
      <c r="J46" s="74"/>
      <c r="K46" s="74"/>
      <c r="L46" s="74"/>
      <c r="M46" s="74"/>
      <c r="N46" s="74">
        <f t="shared" si="2"/>
        <v>367013.12</v>
      </c>
      <c r="O46" s="74">
        <f>SUMIF($B$5:$M$5,'P&amp;L Summary'!$A$6,$B46:$M46)</f>
        <v>70886.93</v>
      </c>
      <c r="P46" s="74">
        <f t="shared" si="3"/>
        <v>367013.12</v>
      </c>
    </row>
    <row r="47" ht="12.75" customHeight="1">
      <c r="B47" s="74"/>
      <c r="C47" s="74"/>
      <c r="D47" s="74"/>
      <c r="E47" s="74"/>
      <c r="F47" s="74"/>
      <c r="G47" s="74"/>
      <c r="H47" s="74"/>
      <c r="I47" s="183"/>
      <c r="J47" s="74"/>
      <c r="K47" s="74"/>
      <c r="L47" s="74"/>
      <c r="M47" s="74"/>
      <c r="N47" s="74">
        <f t="shared" si="2"/>
        <v>0</v>
      </c>
      <c r="O47" s="74">
        <f>SUMIF($B$5:$M$5,'P&amp;L Summary'!$A$6,$B47:$M47)</f>
        <v>0</v>
      </c>
      <c r="P47" s="74">
        <f t="shared" si="3"/>
        <v>0</v>
      </c>
    </row>
    <row r="48" ht="12.75" customHeight="1">
      <c r="A48" s="180" t="s">
        <v>57</v>
      </c>
      <c r="B48" s="74">
        <v>10638.0</v>
      </c>
      <c r="C48" s="74">
        <v>18702.0</v>
      </c>
      <c r="D48" s="184">
        <v>38992.0</v>
      </c>
      <c r="E48" s="74">
        <v>20506.0</v>
      </c>
      <c r="F48" s="74">
        <v>21266.0</v>
      </c>
      <c r="G48" s="74"/>
      <c r="H48" s="74"/>
      <c r="I48" s="183"/>
      <c r="J48" s="74"/>
      <c r="K48" s="74"/>
      <c r="L48" s="74"/>
      <c r="M48" s="74"/>
      <c r="N48" s="74">
        <f t="shared" si="2"/>
        <v>110104</v>
      </c>
      <c r="O48" s="74">
        <f>SUMIF($B$5:$M$5,'P&amp;L Summary'!$A$6,$B48:$M48)</f>
        <v>21266</v>
      </c>
      <c r="P48" s="74">
        <f t="shared" si="3"/>
        <v>110104</v>
      </c>
    </row>
    <row r="49" ht="12.75" customHeight="1">
      <c r="B49" s="74"/>
      <c r="C49" s="74"/>
      <c r="D49" s="74"/>
      <c r="E49" s="74"/>
      <c r="F49" s="74"/>
      <c r="G49" s="74"/>
      <c r="H49" s="74"/>
      <c r="I49" s="183"/>
      <c r="J49" s="74"/>
      <c r="K49" s="74"/>
      <c r="L49" s="74"/>
      <c r="M49" s="74"/>
      <c r="N49" s="74">
        <f t="shared" si="2"/>
        <v>0</v>
      </c>
      <c r="O49" s="74">
        <f>SUMIF($B$5:$M$5,'P&amp;L Summary'!$A$6,$B49:$M49)</f>
        <v>0</v>
      </c>
      <c r="P49" s="74">
        <f t="shared" si="3"/>
        <v>0</v>
      </c>
    </row>
    <row r="50" ht="12.75" customHeight="1">
      <c r="A50" s="180" t="s">
        <v>58</v>
      </c>
      <c r="B50" s="74">
        <v>24823.21</v>
      </c>
      <c r="C50" s="74">
        <v>43636.57</v>
      </c>
      <c r="D50" s="74">
        <v>90981.86</v>
      </c>
      <c r="E50" s="74">
        <v>47846.55</v>
      </c>
      <c r="F50" s="74">
        <v>49620.93</v>
      </c>
      <c r="G50" s="74"/>
      <c r="H50" s="74"/>
      <c r="I50" s="183"/>
      <c r="J50" s="74"/>
      <c r="K50" s="74"/>
      <c r="L50" s="74"/>
      <c r="M50" s="74"/>
      <c r="N50" s="74">
        <f t="shared" si="2"/>
        <v>256909.12</v>
      </c>
      <c r="O50" s="74">
        <f>SUMIF($B$5:$M$5,'P&amp;L Summary'!$A$6,$B50:$M50)</f>
        <v>49620.93</v>
      </c>
      <c r="P50" s="74">
        <f t="shared" si="3"/>
        <v>256909.12</v>
      </c>
    </row>
    <row r="51" ht="12.75" customHeight="1">
      <c r="B51" s="74"/>
      <c r="C51" s="74"/>
      <c r="D51" s="74"/>
      <c r="E51" s="74"/>
      <c r="F51" s="74"/>
      <c r="G51" s="74"/>
      <c r="H51" s="74"/>
      <c r="I51" s="183"/>
      <c r="J51" s="74"/>
      <c r="K51" s="74"/>
      <c r="L51" s="74"/>
      <c r="M51" s="74"/>
      <c r="N51" s="74">
        <f t="shared" si="2"/>
        <v>0</v>
      </c>
      <c r="O51" s="74">
        <f>SUMIF($B$5:$M$5,'P&amp;L Summary'!$A$6,$B51:$M51)</f>
        <v>0</v>
      </c>
      <c r="P51" s="74">
        <f t="shared" si="3"/>
        <v>0</v>
      </c>
    </row>
    <row r="52" ht="12.75" customHeight="1">
      <c r="A52" s="180" t="s">
        <v>228</v>
      </c>
      <c r="B52" s="74">
        <v>24823.21</v>
      </c>
      <c r="C52" s="74">
        <v>43636.57</v>
      </c>
      <c r="D52" s="74">
        <v>90981.86</v>
      </c>
      <c r="E52" s="74">
        <v>47846.55</v>
      </c>
      <c r="F52" s="74">
        <v>49620.93</v>
      </c>
      <c r="G52" s="74"/>
      <c r="H52" s="74"/>
      <c r="I52" s="183"/>
      <c r="J52" s="74"/>
      <c r="K52" s="74"/>
      <c r="L52" s="74"/>
      <c r="M52" s="74"/>
      <c r="N52" s="74">
        <f t="shared" si="2"/>
        <v>256909.12</v>
      </c>
      <c r="O52" s="74">
        <f>SUMIF($B$5:$M$5,'P&amp;L Summary'!$A$6,$B52:$M52)</f>
        <v>49620.93</v>
      </c>
      <c r="P52" s="74">
        <f t="shared" si="3"/>
        <v>256909.12</v>
      </c>
    </row>
    <row r="53" ht="12.75" customHeight="1">
      <c r="A53" s="180" t="s">
        <v>229</v>
      </c>
      <c r="B53" s="74">
        <v>0.0</v>
      </c>
      <c r="C53" s="74">
        <v>0.0</v>
      </c>
      <c r="D53" s="74">
        <v>0.0</v>
      </c>
      <c r="E53" s="74">
        <v>0.0</v>
      </c>
      <c r="F53" s="74">
        <v>0.0</v>
      </c>
      <c r="G53" s="74"/>
      <c r="H53" s="74"/>
      <c r="I53" s="183"/>
      <c r="J53" s="74"/>
      <c r="K53" s="74"/>
      <c r="L53" s="74"/>
      <c r="M53" s="74"/>
      <c r="N53" s="74">
        <f t="shared" si="2"/>
        <v>0</v>
      </c>
      <c r="O53" s="74">
        <f>SUMIF($B$5:$M$5,'P&amp;L Summary'!$A$6,$B53:$M53)</f>
        <v>0</v>
      </c>
      <c r="P53" s="74">
        <f t="shared" si="3"/>
        <v>0</v>
      </c>
    </row>
    <row r="54" ht="12.75" customHeight="1">
      <c r="B54" s="74"/>
      <c r="C54" s="74"/>
      <c r="D54" s="74"/>
      <c r="E54" s="74"/>
      <c r="F54" s="74"/>
      <c r="G54" s="74"/>
      <c r="H54" s="74"/>
      <c r="J54" s="74"/>
      <c r="K54" s="74"/>
      <c r="L54" s="74"/>
      <c r="M54" s="74"/>
      <c r="N54" s="185">
        <f t="shared" si="2"/>
        <v>0</v>
      </c>
      <c r="P54" s="74"/>
    </row>
    <row r="55" ht="12.75" customHeight="1">
      <c r="A55" s="180" t="s">
        <v>230</v>
      </c>
      <c r="B55" s="74">
        <v>-24823.21</v>
      </c>
      <c r="C55" s="74">
        <v>-43636.57</v>
      </c>
      <c r="D55" s="74">
        <v>-90981.86</v>
      </c>
      <c r="E55" s="74">
        <v>-47846.55</v>
      </c>
      <c r="F55" s="74">
        <v>-49620.93</v>
      </c>
      <c r="G55" s="74"/>
      <c r="H55" s="74"/>
      <c r="I55" s="183"/>
      <c r="J55" s="74"/>
      <c r="K55" s="74"/>
      <c r="L55" s="74"/>
      <c r="M55" s="74"/>
      <c r="N55" s="185">
        <f t="shared" si="2"/>
        <v>-256909.12</v>
      </c>
      <c r="P55" s="74"/>
    </row>
    <row r="56" ht="12.75" customHeight="1">
      <c r="A56" t="s">
        <v>231</v>
      </c>
      <c r="I56" s="183"/>
      <c r="P56" s="74"/>
    </row>
    <row r="57" ht="12.75" customHeight="1">
      <c r="A57" s="180"/>
      <c r="N57">
        <f>SUM(B57:M57)</f>
        <v>0</v>
      </c>
      <c r="O57" s="74">
        <f>SUMIF($B$5:$M$5,'P&amp;L Summary'!$A$6,$B57:$M57)</f>
        <v>0</v>
      </c>
      <c r="P57" s="74">
        <f t="shared" ref="P57:P58" si="4">SUMIF($B$6:$M$6,"YTD",$B57:$M57)</f>
        <v>0</v>
      </c>
    </row>
    <row r="58" ht="12.75" customHeight="1">
      <c r="A58" s="186" t="s">
        <v>35</v>
      </c>
      <c r="B58" s="186">
        <v>21.0</v>
      </c>
      <c r="C58" s="186">
        <v>20.0</v>
      </c>
      <c r="D58" s="186"/>
      <c r="E58" s="186">
        <v>21.0</v>
      </c>
      <c r="F58" s="186">
        <v>23.0</v>
      </c>
      <c r="G58" s="186" t="str">
        <f>+BUDGET!G4</f>
        <v/>
      </c>
      <c r="H58" s="186" t="str">
        <f>+BUDGET!H4</f>
        <v/>
      </c>
      <c r="I58" s="186" t="str">
        <f>+BUDGET!I4</f>
        <v/>
      </c>
      <c r="J58" s="186" t="str">
        <f>+BUDGET!J4</f>
        <v/>
      </c>
      <c r="K58" s="186" t="str">
        <f>+BUDGET!K4</f>
        <v/>
      </c>
      <c r="L58" s="186" t="str">
        <f>+BUDGET!L4</f>
        <v/>
      </c>
      <c r="M58" s="186" t="str">
        <f>+BUDGET!M4</f>
        <v/>
      </c>
      <c r="N58" s="186"/>
      <c r="O58" s="186">
        <f>SUMIF($B$5:$M$5,'P&amp;L Summary'!$A$6,ACTUAL!$B$58:$M$58)</f>
        <v>23</v>
      </c>
      <c r="P58" s="186">
        <f t="shared" si="4"/>
        <v>85</v>
      </c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 ht="12.75" customHeight="1">
      <c r="P59" s="74"/>
    </row>
    <row r="60" ht="12.75" customHeight="1">
      <c r="A60" t="s">
        <v>216</v>
      </c>
      <c r="P60" s="74"/>
    </row>
    <row r="61" ht="12.75" customHeight="1">
      <c r="A61" s="180"/>
      <c r="B61" t="s">
        <v>232</v>
      </c>
      <c r="C61" t="s">
        <v>232</v>
      </c>
      <c r="D61" t="s">
        <v>232</v>
      </c>
      <c r="E61" t="s">
        <v>232</v>
      </c>
      <c r="F61" t="s">
        <v>232</v>
      </c>
      <c r="G61" t="s">
        <v>232</v>
      </c>
      <c r="H61" t="s">
        <v>232</v>
      </c>
      <c r="I61" t="s">
        <v>232</v>
      </c>
      <c r="J61" t="s">
        <v>232</v>
      </c>
      <c r="K61" t="s">
        <v>232</v>
      </c>
      <c r="L61" t="s">
        <v>232</v>
      </c>
      <c r="M61" t="s">
        <v>232</v>
      </c>
      <c r="N61" t="s">
        <v>233</v>
      </c>
      <c r="P61" s="74"/>
    </row>
    <row r="62" ht="12.75" customHeight="1">
      <c r="A62" s="180"/>
      <c r="B62" t="s">
        <v>218</v>
      </c>
      <c r="C62" t="s">
        <v>218</v>
      </c>
      <c r="D62" t="s">
        <v>218</v>
      </c>
      <c r="E62" t="s">
        <v>218</v>
      </c>
      <c r="F62" t="s">
        <v>218</v>
      </c>
      <c r="G62" t="s">
        <v>218</v>
      </c>
      <c r="H62" t="s">
        <v>218</v>
      </c>
      <c r="I62" t="s">
        <v>218</v>
      </c>
      <c r="J62" t="s">
        <v>218</v>
      </c>
      <c r="K62" t="s">
        <v>218</v>
      </c>
      <c r="L62" t="s">
        <v>218</v>
      </c>
      <c r="M62" t="s">
        <v>218</v>
      </c>
      <c r="N62" t="s">
        <v>212</v>
      </c>
      <c r="P62" s="74"/>
    </row>
    <row r="63" ht="12.75" customHeight="1">
      <c r="A63" s="180"/>
      <c r="B63" s="119">
        <v>43101.0</v>
      </c>
      <c r="C63" s="119">
        <v>43132.0</v>
      </c>
      <c r="D63" s="119">
        <v>43160.0</v>
      </c>
      <c r="E63" s="119">
        <v>43191.0</v>
      </c>
      <c r="F63" s="119">
        <v>43221.0</v>
      </c>
      <c r="G63" s="119">
        <v>43252.0</v>
      </c>
      <c r="H63" s="119">
        <v>43282.0</v>
      </c>
      <c r="I63" s="119">
        <v>43313.0</v>
      </c>
      <c r="J63" s="119">
        <v>43344.0</v>
      </c>
      <c r="K63" s="119">
        <v>43374.0</v>
      </c>
      <c r="L63" s="119">
        <v>43405.0</v>
      </c>
      <c r="M63" s="119">
        <v>43435.0</v>
      </c>
      <c r="P63" s="74"/>
    </row>
    <row r="64" ht="12.75" customHeight="1">
      <c r="A64" s="180"/>
      <c r="B64" t="s">
        <v>220</v>
      </c>
      <c r="C64" t="s">
        <v>220</v>
      </c>
      <c r="D64" t="s">
        <v>220</v>
      </c>
      <c r="E64" t="s">
        <v>220</v>
      </c>
      <c r="F64" t="s">
        <v>220</v>
      </c>
      <c r="G64" t="s">
        <v>220</v>
      </c>
      <c r="H64" t="s">
        <v>220</v>
      </c>
      <c r="I64" t="s">
        <v>220</v>
      </c>
      <c r="J64" t="s">
        <v>220</v>
      </c>
      <c r="K64" t="s">
        <v>220</v>
      </c>
      <c r="L64" t="s">
        <v>220</v>
      </c>
      <c r="M64" t="s">
        <v>220</v>
      </c>
      <c r="P64" s="74"/>
    </row>
    <row r="65" ht="12.75" customHeight="1">
      <c r="A65" s="180" t="s">
        <v>2</v>
      </c>
      <c r="B65" s="183">
        <v>165548.01</v>
      </c>
      <c r="C65" s="150">
        <v>162290.88</v>
      </c>
      <c r="D65" s="150">
        <v>187321.58</v>
      </c>
      <c r="E65" s="183">
        <v>200374.43</v>
      </c>
      <c r="F65" s="183">
        <v>205201.61</v>
      </c>
      <c r="G65" s="183"/>
      <c r="H65" s="183"/>
      <c r="I65" s="183"/>
      <c r="L65" s="183"/>
      <c r="M65" s="183"/>
      <c r="N65" s="187">
        <f t="shared" ref="N65:N87" si="5">SUM(B65:M65)</f>
        <v>920736.51</v>
      </c>
      <c r="O65">
        <f>SUMIF($B$5:$M$5,'P&amp;L Summary'!$A$6,$B65:$M65)</f>
        <v>205201.61</v>
      </c>
      <c r="P65" s="74">
        <f t="shared" ref="P65:P87" si="6">SUMIF($B$6:$M$6,"YTD",$B65:$M65)</f>
        <v>920736.51</v>
      </c>
    </row>
    <row r="66" ht="12.75" customHeight="1">
      <c r="A66" s="180" t="s">
        <v>16</v>
      </c>
      <c r="B66" s="183">
        <v>10087.64</v>
      </c>
      <c r="C66" s="150">
        <v>10087.64</v>
      </c>
      <c r="D66" s="150">
        <v>10087.64</v>
      </c>
      <c r="E66" s="183">
        <v>10087.64</v>
      </c>
      <c r="F66" s="183">
        <v>10087.64</v>
      </c>
      <c r="G66" s="183"/>
      <c r="H66" s="183"/>
      <c r="I66" s="183"/>
      <c r="L66" s="183"/>
      <c r="M66" s="183"/>
      <c r="N66" s="187">
        <f t="shared" si="5"/>
        <v>50438.2</v>
      </c>
      <c r="O66">
        <f>SUMIF($B$5:$M$5,'P&amp;L Summary'!$A$6,$B66:$M66)</f>
        <v>10087.64</v>
      </c>
      <c r="P66" s="74">
        <f t="shared" si="6"/>
        <v>50438.2</v>
      </c>
    </row>
    <row r="67" ht="12.75" customHeight="1">
      <c r="A67" s="180" t="s">
        <v>18</v>
      </c>
      <c r="B67">
        <v>0.0</v>
      </c>
      <c r="C67" s="150">
        <v>0.0</v>
      </c>
      <c r="D67" s="150">
        <v>0.0</v>
      </c>
      <c r="E67">
        <v>0.0</v>
      </c>
      <c r="F67">
        <v>0.0</v>
      </c>
      <c r="I67" s="183"/>
      <c r="N67">
        <f t="shared" si="5"/>
        <v>0</v>
      </c>
      <c r="O67">
        <f>SUMIF($B$5:$M$5,'P&amp;L Summary'!$A$6,$B67:$M67)</f>
        <v>0</v>
      </c>
      <c r="P67" s="74">
        <f t="shared" si="6"/>
        <v>0</v>
      </c>
    </row>
    <row r="68" ht="12.75" customHeight="1">
      <c r="A68" s="180" t="s">
        <v>21</v>
      </c>
      <c r="B68" s="150">
        <v>1196.58</v>
      </c>
      <c r="C68" s="150">
        <v>363.7</v>
      </c>
      <c r="D68" s="150">
        <v>997.07</v>
      </c>
      <c r="E68" s="150">
        <v>394.37</v>
      </c>
      <c r="F68" s="150">
        <v>979.25</v>
      </c>
      <c r="G68" s="150"/>
      <c r="H68" s="119"/>
      <c r="I68" s="183"/>
      <c r="J68" s="119"/>
      <c r="K68" s="119"/>
      <c r="L68" s="119"/>
      <c r="M68" s="119"/>
      <c r="N68" s="188">
        <f t="shared" si="5"/>
        <v>3930.97</v>
      </c>
      <c r="O68">
        <f>SUMIF($B$5:$M$5,'P&amp;L Summary'!$A$6,$B68:$M68)</f>
        <v>979.25</v>
      </c>
      <c r="P68" s="74">
        <f t="shared" si="6"/>
        <v>3930.97</v>
      </c>
    </row>
    <row r="69" ht="12.75" customHeight="1">
      <c r="A69" s="180" t="s">
        <v>22</v>
      </c>
      <c r="B69">
        <v>546.0</v>
      </c>
      <c r="C69" s="150">
        <v>546.0</v>
      </c>
      <c r="D69" s="150">
        <v>546.0</v>
      </c>
      <c r="E69">
        <v>546.0</v>
      </c>
      <c r="F69">
        <v>546.0</v>
      </c>
      <c r="N69">
        <f t="shared" si="5"/>
        <v>2730</v>
      </c>
      <c r="O69">
        <f>SUMIF($B$5:$M$5,'P&amp;L Summary'!$A$6,$B69:$M69)</f>
        <v>546</v>
      </c>
      <c r="P69" s="74">
        <f t="shared" si="6"/>
        <v>2730</v>
      </c>
    </row>
    <row r="70" ht="12.75" customHeight="1">
      <c r="A70" s="180" t="s">
        <v>24</v>
      </c>
      <c r="B70" s="74">
        <v>2816.01</v>
      </c>
      <c r="C70" s="150">
        <v>1869.23</v>
      </c>
      <c r="D70" s="150">
        <v>1373.89</v>
      </c>
      <c r="E70" s="74">
        <v>3945.72</v>
      </c>
      <c r="F70" s="74">
        <v>3469.18</v>
      </c>
      <c r="G70" s="74"/>
      <c r="H70" s="74"/>
      <c r="I70" s="183"/>
      <c r="J70" s="74"/>
      <c r="K70" s="74"/>
      <c r="L70" s="74"/>
      <c r="M70" s="74"/>
      <c r="N70" s="185">
        <f t="shared" si="5"/>
        <v>13474.03</v>
      </c>
      <c r="O70">
        <f>SUMIF($B$5:$M$5,'P&amp;L Summary'!$A$6,$B70:$M70)</f>
        <v>3469.18</v>
      </c>
      <c r="P70" s="74">
        <f t="shared" si="6"/>
        <v>13474.03</v>
      </c>
    </row>
    <row r="71" ht="12.75" customHeight="1">
      <c r="A71" s="180" t="s">
        <v>26</v>
      </c>
      <c r="B71" s="74">
        <v>0.0</v>
      </c>
      <c r="C71" s="150">
        <v>0.0</v>
      </c>
      <c r="D71" s="150">
        <v>0.0</v>
      </c>
      <c r="E71" s="74">
        <v>0.0</v>
      </c>
      <c r="F71" s="74">
        <v>0.0</v>
      </c>
      <c r="G71" s="74"/>
      <c r="H71" s="74"/>
      <c r="I71" s="183"/>
      <c r="J71" s="74"/>
      <c r="K71" s="74"/>
      <c r="L71" s="74"/>
      <c r="M71" s="74"/>
      <c r="N71" s="185">
        <f t="shared" si="5"/>
        <v>0</v>
      </c>
      <c r="O71">
        <f>SUMIF($B$5:$M$5,'P&amp;L Summary'!$A$6,$B71:$M71)</f>
        <v>0</v>
      </c>
      <c r="P71" s="74">
        <f t="shared" si="6"/>
        <v>0</v>
      </c>
    </row>
    <row r="72" ht="12.75" customHeight="1">
      <c r="A72" s="189" t="s">
        <v>29</v>
      </c>
      <c r="B72" s="190">
        <v>60937.07</v>
      </c>
      <c r="C72" s="191">
        <v>59160.62</v>
      </c>
      <c r="D72" s="191">
        <v>79981.79</v>
      </c>
      <c r="E72" s="190">
        <v>107056.64</v>
      </c>
      <c r="F72" s="190">
        <v>102965.62</v>
      </c>
      <c r="G72" s="190"/>
      <c r="H72" s="190"/>
      <c r="I72" s="190"/>
      <c r="J72" s="190"/>
      <c r="K72" s="190"/>
      <c r="L72" s="190"/>
      <c r="M72" s="190"/>
      <c r="N72" s="185">
        <f t="shared" si="5"/>
        <v>410101.74</v>
      </c>
      <c r="O72">
        <f>SUMIF($B$5:$M$5,'P&amp;L Summary'!$A$6,$B72:$M72)</f>
        <v>102965.62</v>
      </c>
      <c r="P72" s="74">
        <f t="shared" si="6"/>
        <v>410101.74</v>
      </c>
    </row>
    <row r="73" ht="12.75" customHeight="1">
      <c r="A73" s="180" t="s">
        <v>31</v>
      </c>
      <c r="B73" s="74">
        <v>30073.24</v>
      </c>
      <c r="C73" s="150">
        <v>28577.94</v>
      </c>
      <c r="D73" s="150">
        <v>29674.9</v>
      </c>
      <c r="E73" s="74">
        <v>25400.69</v>
      </c>
      <c r="F73" s="74">
        <v>24505.74</v>
      </c>
      <c r="G73" s="74"/>
      <c r="H73" s="74"/>
      <c r="I73" s="183"/>
      <c r="J73" s="74"/>
      <c r="K73" s="74"/>
      <c r="L73" s="74"/>
      <c r="M73" s="74"/>
      <c r="N73" s="185">
        <f t="shared" si="5"/>
        <v>138232.51</v>
      </c>
      <c r="O73">
        <f>SUMIF($B$5:$M$5,'P&amp;L Summary'!$A$6,$B73:$M73)</f>
        <v>24505.74</v>
      </c>
      <c r="P73" s="74">
        <f t="shared" si="6"/>
        <v>138232.51</v>
      </c>
    </row>
    <row r="74" ht="12.75" customHeight="1">
      <c r="A74" s="180" t="s">
        <v>234</v>
      </c>
      <c r="B74" s="74">
        <v>53714.03</v>
      </c>
      <c r="C74" s="150">
        <v>54750.99</v>
      </c>
      <c r="D74" s="150">
        <v>58322.58</v>
      </c>
      <c r="E74" s="74">
        <v>46635.97</v>
      </c>
      <c r="F74" s="74">
        <v>56273.93</v>
      </c>
      <c r="G74" s="74"/>
      <c r="H74" s="74"/>
      <c r="I74" s="183"/>
      <c r="J74" s="74"/>
      <c r="K74" s="74"/>
      <c r="L74" s="74"/>
      <c r="M74" s="74"/>
      <c r="N74" s="185">
        <f t="shared" si="5"/>
        <v>269697.5</v>
      </c>
      <c r="O74">
        <f>SUMIF($B$5:$M$5,'P&amp;L Summary'!$A$6,$B74:$M74)</f>
        <v>56273.93</v>
      </c>
      <c r="P74" s="74">
        <f t="shared" si="6"/>
        <v>269697.5</v>
      </c>
    </row>
    <row r="75" ht="12.75" customHeight="1">
      <c r="A75" s="180" t="s">
        <v>34</v>
      </c>
      <c r="B75" s="74">
        <v>5397.18</v>
      </c>
      <c r="C75" s="150">
        <v>5397.21</v>
      </c>
      <c r="D75" s="150">
        <v>5382.24</v>
      </c>
      <c r="E75" s="74">
        <v>5367.24</v>
      </c>
      <c r="F75" s="74">
        <v>5367.24</v>
      </c>
      <c r="G75" s="74"/>
      <c r="H75" s="74"/>
      <c r="I75" s="183"/>
      <c r="J75" s="74"/>
      <c r="K75" s="74"/>
      <c r="L75" s="74"/>
      <c r="M75" s="74"/>
      <c r="N75" s="185">
        <f t="shared" si="5"/>
        <v>26911.11</v>
      </c>
      <c r="O75">
        <f>SUMIF($B$5:$M$5,'P&amp;L Summary'!$A$6,$B75:$M75)</f>
        <v>5367.24</v>
      </c>
      <c r="P75" s="74">
        <f t="shared" si="6"/>
        <v>26911.11</v>
      </c>
    </row>
    <row r="76" ht="12.75" customHeight="1">
      <c r="A76" s="180" t="s">
        <v>37</v>
      </c>
      <c r="B76" s="74">
        <v>0.0</v>
      </c>
      <c r="C76" s="150">
        <v>0.0</v>
      </c>
      <c r="D76" s="150">
        <v>0.0</v>
      </c>
      <c r="E76" s="74">
        <v>0.0</v>
      </c>
      <c r="F76" s="74">
        <v>0.0</v>
      </c>
      <c r="G76" s="74"/>
      <c r="H76" s="74"/>
      <c r="I76" s="183"/>
      <c r="J76" s="74"/>
      <c r="K76" s="74"/>
      <c r="L76" s="74"/>
      <c r="M76" s="74"/>
      <c r="N76" s="185">
        <f t="shared" si="5"/>
        <v>0</v>
      </c>
      <c r="O76">
        <f>SUMIF($B$5:$M$5,'P&amp;L Summary'!$A$6,$B76:$M76)</f>
        <v>0</v>
      </c>
      <c r="P76" s="74">
        <f t="shared" si="6"/>
        <v>0</v>
      </c>
    </row>
    <row r="77" ht="12.75" customHeight="1">
      <c r="A77" s="180" t="s">
        <v>39</v>
      </c>
      <c r="B77" s="74">
        <v>780.26</v>
      </c>
      <c r="C77" s="150">
        <v>1537.55</v>
      </c>
      <c r="D77" s="150">
        <v>955.47</v>
      </c>
      <c r="E77" s="74">
        <v>940.16</v>
      </c>
      <c r="F77" s="74">
        <v>1007.01</v>
      </c>
      <c r="G77" s="74"/>
      <c r="H77" s="74"/>
      <c r="I77" s="183"/>
      <c r="J77" s="74"/>
      <c r="K77" s="74"/>
      <c r="L77" s="74"/>
      <c r="M77" s="74"/>
      <c r="N77" s="185">
        <f t="shared" si="5"/>
        <v>5220.45</v>
      </c>
      <c r="O77">
        <f>SUMIF($B$5:$M$5,'P&amp;L Summary'!$A$6,$B77:$M77)</f>
        <v>1007.01</v>
      </c>
      <c r="P77" s="74">
        <f t="shared" si="6"/>
        <v>5220.45</v>
      </c>
    </row>
    <row r="78" ht="12.75" customHeight="1">
      <c r="A78" s="180"/>
      <c r="B78" s="74"/>
      <c r="C78" s="150"/>
      <c r="D78" s="150"/>
      <c r="E78" s="74"/>
      <c r="F78" s="74"/>
      <c r="G78" s="74"/>
      <c r="H78" s="74"/>
      <c r="J78" s="74"/>
      <c r="K78" s="74"/>
      <c r="L78" s="74"/>
      <c r="M78" s="74"/>
      <c r="N78" s="185">
        <f t="shared" si="5"/>
        <v>0</v>
      </c>
      <c r="O78">
        <f>SUMIF($B$5:$M$5,'P&amp;L Summary'!$A$6,$B78:$M78)</f>
        <v>0</v>
      </c>
      <c r="P78" s="74">
        <f t="shared" si="6"/>
        <v>0</v>
      </c>
    </row>
    <row r="79" ht="12.75" customHeight="1">
      <c r="A79" s="180" t="s">
        <v>44</v>
      </c>
      <c r="B79" s="74">
        <v>-189.73</v>
      </c>
      <c r="C79" s="150">
        <v>119.0</v>
      </c>
      <c r="D79" s="150">
        <v>197.79</v>
      </c>
      <c r="E79" s="74">
        <v>27.46</v>
      </c>
      <c r="F79" s="74">
        <v>103.49</v>
      </c>
      <c r="G79" s="74"/>
      <c r="H79" s="74"/>
      <c r="J79" s="74"/>
      <c r="K79" s="74"/>
      <c r="L79" s="74"/>
      <c r="M79" s="74"/>
      <c r="N79" s="185">
        <f t="shared" si="5"/>
        <v>258.01</v>
      </c>
      <c r="O79">
        <f>SUMIF($B$5:$M$5,'P&amp;L Summary'!$A$6,$B79:$M79)</f>
        <v>103.49</v>
      </c>
      <c r="P79" s="74">
        <f t="shared" si="6"/>
        <v>258.01</v>
      </c>
    </row>
    <row r="80" ht="12.75" customHeight="1">
      <c r="A80" s="180" t="s">
        <v>47</v>
      </c>
      <c r="B80" s="74">
        <v>-11.08</v>
      </c>
      <c r="C80" s="150">
        <v>0.0</v>
      </c>
      <c r="D80" s="150">
        <v>-23.81</v>
      </c>
      <c r="E80" s="74">
        <v>0.0</v>
      </c>
      <c r="F80" s="74">
        <v>-20.84</v>
      </c>
      <c r="G80" s="74"/>
      <c r="H80" s="74"/>
      <c r="J80" s="74"/>
      <c r="K80" s="74"/>
      <c r="L80" s="74"/>
      <c r="M80" s="74"/>
      <c r="N80" s="185">
        <f t="shared" si="5"/>
        <v>-55.73</v>
      </c>
      <c r="O80">
        <f>SUMIF($B$5:$M$5,'P&amp;L Summary'!$A$6,$B80:$M80)</f>
        <v>-20.84</v>
      </c>
      <c r="P80" s="74">
        <f t="shared" si="6"/>
        <v>-55.73</v>
      </c>
    </row>
    <row r="81" ht="12.75" customHeight="1">
      <c r="A81" s="180" t="s">
        <v>45</v>
      </c>
      <c r="B81" s="74">
        <v>0.0</v>
      </c>
      <c r="C81" s="150">
        <v>0.0</v>
      </c>
      <c r="D81" s="150">
        <v>58.05</v>
      </c>
      <c r="E81" s="74">
        <v>0.0</v>
      </c>
      <c r="F81" s="74">
        <v>5.33</v>
      </c>
      <c r="G81" s="74"/>
      <c r="H81" s="74"/>
      <c r="J81" s="74"/>
      <c r="K81" s="74"/>
      <c r="L81" s="74"/>
      <c r="M81" s="74"/>
      <c r="N81" s="185">
        <f t="shared" si="5"/>
        <v>63.38</v>
      </c>
      <c r="O81">
        <f>SUMIF($B$5:$M$5,'P&amp;L Summary'!$A$6,$B81:$M81)</f>
        <v>5.33</v>
      </c>
      <c r="P81" s="74">
        <f t="shared" si="6"/>
        <v>63.38</v>
      </c>
    </row>
    <row r="82" ht="12.75" customHeight="1">
      <c r="A82" s="180" t="s">
        <v>49</v>
      </c>
      <c r="B82" s="74">
        <v>-178.65</v>
      </c>
      <c r="C82" s="150">
        <v>119.0</v>
      </c>
      <c r="D82" s="150">
        <v>163.55</v>
      </c>
      <c r="E82" s="74">
        <v>27.46</v>
      </c>
      <c r="F82" s="74">
        <v>119.0</v>
      </c>
      <c r="G82" s="74"/>
      <c r="H82" s="74"/>
      <c r="J82" s="74"/>
      <c r="K82" s="74"/>
      <c r="L82" s="74"/>
      <c r="M82" s="74"/>
      <c r="N82" s="185">
        <f t="shared" si="5"/>
        <v>250.36</v>
      </c>
      <c r="O82">
        <f>SUMIF($B$5:$M$5,'P&amp;L Summary'!$A$6,$B82:$M82)</f>
        <v>119</v>
      </c>
      <c r="P82" s="74">
        <f t="shared" si="6"/>
        <v>250.36</v>
      </c>
    </row>
    <row r="83" ht="12.75" customHeight="1">
      <c r="A83" t="s">
        <v>231</v>
      </c>
      <c r="N83">
        <f t="shared" si="5"/>
        <v>0</v>
      </c>
      <c r="O83">
        <f>SUMIF($B$5:$M$5,'P&amp;L Summary'!$A$6,$B83:$M83)</f>
        <v>0</v>
      </c>
      <c r="P83" s="74">
        <f t="shared" si="6"/>
        <v>0</v>
      </c>
    </row>
    <row r="84" ht="12.75" customHeight="1">
      <c r="A84" s="180"/>
      <c r="N84">
        <f t="shared" si="5"/>
        <v>0</v>
      </c>
      <c r="O84">
        <f>SUMIF($B$5:$M$5,'P&amp;L Summary'!$A$6,$B84:$M84)</f>
        <v>0</v>
      </c>
      <c r="P84" s="74">
        <f t="shared" si="6"/>
        <v>0</v>
      </c>
    </row>
    <row r="85" ht="12.75" customHeight="1">
      <c r="A85" s="180"/>
      <c r="N85">
        <f t="shared" si="5"/>
        <v>0</v>
      </c>
      <c r="O85">
        <f>SUMIF($B$5:$M$5,'P&amp;L Summary'!$A$6,$B85:$M85)</f>
        <v>0</v>
      </c>
      <c r="P85" s="74">
        <f t="shared" si="6"/>
        <v>0</v>
      </c>
    </row>
    <row r="86" ht="12.75" customHeight="1">
      <c r="A86" s="180"/>
      <c r="N86">
        <f t="shared" si="5"/>
        <v>0</v>
      </c>
      <c r="O86">
        <f>SUMIF($B$5:$M$5,'P&amp;L Summary'!$A$6,$B86:$M86)</f>
        <v>0</v>
      </c>
      <c r="P86" s="74">
        <f t="shared" si="6"/>
        <v>0</v>
      </c>
    </row>
    <row r="87" ht="12.75" customHeight="1">
      <c r="A87" s="180" t="s">
        <v>216</v>
      </c>
      <c r="N87">
        <f t="shared" si="5"/>
        <v>0</v>
      </c>
      <c r="O87">
        <f>SUMIF($B$5:$M$5,'P&amp;L Summary'!$A$6,$B87:$M87)</f>
        <v>0</v>
      </c>
      <c r="P87" s="74">
        <f t="shared" si="6"/>
        <v>0</v>
      </c>
    </row>
    <row r="88" ht="12.75" customHeight="1">
      <c r="B88" t="s">
        <v>232</v>
      </c>
      <c r="C88" t="s">
        <v>232</v>
      </c>
      <c r="D88" t="s">
        <v>232</v>
      </c>
      <c r="E88" t="s">
        <v>232</v>
      </c>
      <c r="F88" t="s">
        <v>232</v>
      </c>
      <c r="G88" t="s">
        <v>232</v>
      </c>
      <c r="H88" t="s">
        <v>232</v>
      </c>
      <c r="I88" t="s">
        <v>232</v>
      </c>
      <c r="J88" t="s">
        <v>232</v>
      </c>
      <c r="K88" t="s">
        <v>232</v>
      </c>
      <c r="L88" t="s">
        <v>232</v>
      </c>
      <c r="M88" t="s">
        <v>232</v>
      </c>
      <c r="P88" s="74"/>
    </row>
    <row r="89" ht="12.75" customHeight="1">
      <c r="B89" t="s">
        <v>218</v>
      </c>
      <c r="C89" t="s">
        <v>218</v>
      </c>
      <c r="D89" t="s">
        <v>218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218</v>
      </c>
      <c r="L89" t="s">
        <v>218</v>
      </c>
      <c r="M89" t="s">
        <v>218</v>
      </c>
      <c r="P89" s="74"/>
    </row>
    <row r="90" ht="12.75" customHeight="1">
      <c r="A90" s="186"/>
      <c r="B90" s="119">
        <v>43101.0</v>
      </c>
      <c r="C90" s="119">
        <v>43132.0</v>
      </c>
      <c r="D90" s="119">
        <v>43160.0</v>
      </c>
      <c r="E90" s="119">
        <v>43191.0</v>
      </c>
      <c r="F90" s="119">
        <v>43221.0</v>
      </c>
      <c r="G90" s="119">
        <v>43252.0</v>
      </c>
      <c r="H90" s="119">
        <v>43282.0</v>
      </c>
      <c r="I90" s="119">
        <v>43313.0</v>
      </c>
      <c r="J90" s="119">
        <v>43344.0</v>
      </c>
      <c r="K90" s="119">
        <v>43374.0</v>
      </c>
      <c r="L90" s="119">
        <v>43405.0</v>
      </c>
      <c r="M90" s="119">
        <v>43435.0</v>
      </c>
      <c r="N90" s="186"/>
      <c r="O90" s="186"/>
      <c r="P90" s="192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ht="12.75" customHeight="1">
      <c r="B91" t="s">
        <v>220</v>
      </c>
      <c r="C91" t="s">
        <v>220</v>
      </c>
      <c r="D91" t="s">
        <v>220</v>
      </c>
      <c r="E91" t="s">
        <v>220</v>
      </c>
      <c r="F91" t="s">
        <v>220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P91" s="74"/>
    </row>
    <row r="92" ht="12.75" customHeight="1">
      <c r="N92" s="74">
        <f t="shared" ref="N92:N147" si="7">SUM(B92:M92)</f>
        <v>0</v>
      </c>
      <c r="O92" s="74">
        <f>SUMIF($B$5:$M$5,'P&amp;L Summary'!$A$6,$B92:$M92)</f>
        <v>0</v>
      </c>
      <c r="P92" s="74">
        <f t="shared" ref="P92:P147" si="8">SUMIF($B$6:$M$6,"YTD",$B92:$M92)</f>
        <v>0</v>
      </c>
    </row>
    <row r="93" ht="12.75" customHeight="1">
      <c r="A93" s="180" t="s">
        <v>78</v>
      </c>
      <c r="B93" s="183">
        <v>30073.24</v>
      </c>
      <c r="C93" s="150">
        <v>28577.94</v>
      </c>
      <c r="D93" s="150">
        <v>29674.9</v>
      </c>
      <c r="E93" s="183">
        <v>25400.69</v>
      </c>
      <c r="F93" s="183">
        <v>24505.74</v>
      </c>
      <c r="G93" s="183"/>
      <c r="H93" s="183"/>
      <c r="I93" s="183"/>
      <c r="L93" s="183"/>
      <c r="M93" s="183"/>
      <c r="N93" s="74">
        <f t="shared" si="7"/>
        <v>138232.51</v>
      </c>
      <c r="O93" s="74">
        <f>SUMIF($B$5:$M$5,'P&amp;L Summary'!$A$6,$B93:$M93)</f>
        <v>24505.74</v>
      </c>
      <c r="P93" s="74">
        <f t="shared" si="8"/>
        <v>138232.51</v>
      </c>
    </row>
    <row r="94" ht="12.75" customHeight="1">
      <c r="A94" s="180" t="s">
        <v>79</v>
      </c>
      <c r="B94">
        <v>0.0</v>
      </c>
      <c r="C94" s="150">
        <v>0.0</v>
      </c>
      <c r="D94" s="150">
        <v>0.0</v>
      </c>
      <c r="E94">
        <v>0.0</v>
      </c>
      <c r="F94">
        <v>0.0</v>
      </c>
      <c r="I94" s="183"/>
      <c r="N94" s="74">
        <f t="shared" si="7"/>
        <v>0</v>
      </c>
      <c r="O94" s="74">
        <f>SUMIF($B$5:$M$5,'P&amp;L Summary'!$A$6,$B94:$M94)</f>
        <v>0</v>
      </c>
      <c r="P94" s="74">
        <f t="shared" si="8"/>
        <v>0</v>
      </c>
    </row>
    <row r="95" ht="12.75" customHeight="1">
      <c r="A95" s="180" t="s">
        <v>80</v>
      </c>
      <c r="B95">
        <v>0.0</v>
      </c>
      <c r="C95" s="150">
        <v>0.0</v>
      </c>
      <c r="D95" s="150">
        <v>0.0</v>
      </c>
      <c r="E95">
        <v>0.0</v>
      </c>
      <c r="F95">
        <v>0.0</v>
      </c>
      <c r="I95" s="183"/>
      <c r="N95" s="74">
        <f t="shared" si="7"/>
        <v>0</v>
      </c>
      <c r="O95" s="74">
        <f>SUMIF($B$5:$M$5,'P&amp;L Summary'!$A$6,$B95:$M95)</f>
        <v>0</v>
      </c>
      <c r="P95" s="74">
        <f t="shared" si="8"/>
        <v>0</v>
      </c>
    </row>
    <row r="96" ht="12.75" customHeight="1">
      <c r="A96" s="180" t="s">
        <v>81</v>
      </c>
      <c r="B96">
        <v>405.0</v>
      </c>
      <c r="C96" s="150">
        <v>0.0</v>
      </c>
      <c r="D96" s="150">
        <v>0.0</v>
      </c>
      <c r="E96">
        <v>0.0</v>
      </c>
      <c r="F96">
        <v>0.0</v>
      </c>
      <c r="I96" s="183"/>
      <c r="N96" s="74">
        <f t="shared" si="7"/>
        <v>405</v>
      </c>
      <c r="O96" s="74">
        <f>SUMIF($B$5:$M$5,'P&amp;L Summary'!$A$6,$B96:$M96)</f>
        <v>0</v>
      </c>
      <c r="P96" s="74">
        <f t="shared" si="8"/>
        <v>405</v>
      </c>
    </row>
    <row r="97" ht="12.75" customHeight="1">
      <c r="A97" s="180" t="s">
        <v>82</v>
      </c>
      <c r="B97">
        <v>0.0</v>
      </c>
      <c r="C97" s="150">
        <v>0.0</v>
      </c>
      <c r="D97" s="150">
        <v>0.0</v>
      </c>
      <c r="E97">
        <v>0.0</v>
      </c>
      <c r="F97">
        <v>0.0</v>
      </c>
      <c r="I97" s="183"/>
      <c r="N97" s="74">
        <f t="shared" si="7"/>
        <v>0</v>
      </c>
      <c r="O97" s="74">
        <f>SUMIF($B$5:$M$5,'P&amp;L Summary'!$A$6,$B97:$M97)</f>
        <v>0</v>
      </c>
      <c r="P97" s="74">
        <f t="shared" si="8"/>
        <v>0</v>
      </c>
    </row>
    <row r="98" ht="12.75" customHeight="1">
      <c r="A98" s="180" t="s">
        <v>83</v>
      </c>
      <c r="B98">
        <v>0.0</v>
      </c>
      <c r="C98" s="150">
        <v>0.0</v>
      </c>
      <c r="D98" s="150">
        <v>0.0</v>
      </c>
      <c r="E98">
        <v>0.0</v>
      </c>
      <c r="F98">
        <v>0.0</v>
      </c>
      <c r="I98" s="183"/>
      <c r="N98" s="74">
        <f t="shared" si="7"/>
        <v>0</v>
      </c>
      <c r="O98" s="74">
        <f>SUMIF($B$5:$M$5,'P&amp;L Summary'!$A$6,$B98:$M98)</f>
        <v>0</v>
      </c>
      <c r="P98" s="74">
        <f t="shared" si="8"/>
        <v>0</v>
      </c>
    </row>
    <row r="99" ht="12.75" customHeight="1">
      <c r="A99" s="180" t="s">
        <v>84</v>
      </c>
      <c r="B99">
        <v>31.73</v>
      </c>
      <c r="C99" s="150">
        <v>0.0</v>
      </c>
      <c r="D99" s="150">
        <v>73.32</v>
      </c>
      <c r="E99">
        <v>0.0</v>
      </c>
      <c r="F99">
        <v>0.0</v>
      </c>
      <c r="I99" s="183"/>
      <c r="N99" s="74">
        <f t="shared" si="7"/>
        <v>105.05</v>
      </c>
      <c r="O99" s="74">
        <f>SUMIF($B$5:$M$5,'P&amp;L Summary'!$A$6,$B99:$M99)</f>
        <v>0</v>
      </c>
      <c r="P99" s="74">
        <f t="shared" si="8"/>
        <v>105.05</v>
      </c>
    </row>
    <row r="100" ht="12.75" customHeight="1">
      <c r="A100" s="180" t="s">
        <v>85</v>
      </c>
      <c r="B100" s="119">
        <v>0.0</v>
      </c>
      <c r="C100" s="150">
        <v>0.0</v>
      </c>
      <c r="D100" s="150">
        <v>0.0</v>
      </c>
      <c r="E100" s="119">
        <v>0.0</v>
      </c>
      <c r="F100" s="119">
        <v>0.0</v>
      </c>
      <c r="G100" s="119"/>
      <c r="H100" s="119"/>
      <c r="J100" s="119"/>
      <c r="K100" s="119"/>
      <c r="L100" s="119"/>
      <c r="M100" s="119"/>
      <c r="N100" s="74">
        <f t="shared" si="7"/>
        <v>0</v>
      </c>
      <c r="O100" s="74">
        <f>SUMIF($B$5:$M$5,'P&amp;L Summary'!$A$6,$B100:$M100)</f>
        <v>0</v>
      </c>
      <c r="P100" s="74">
        <f t="shared" si="8"/>
        <v>0</v>
      </c>
    </row>
    <row r="101" ht="12.75" customHeight="1">
      <c r="A101" s="180" t="s">
        <v>87</v>
      </c>
      <c r="B101">
        <v>0.0</v>
      </c>
      <c r="C101" s="150">
        <v>0.0</v>
      </c>
      <c r="D101" s="150">
        <v>0.0</v>
      </c>
      <c r="E101">
        <v>0.0</v>
      </c>
      <c r="F101">
        <v>0.0</v>
      </c>
      <c r="N101" s="74">
        <f t="shared" si="7"/>
        <v>0</v>
      </c>
      <c r="O101" s="74">
        <f>SUMIF($B$5:$M$5,'P&amp;L Summary'!$A$6,$B101:$M101)</f>
        <v>0</v>
      </c>
      <c r="P101" s="74">
        <f t="shared" si="8"/>
        <v>0</v>
      </c>
    </row>
    <row r="102" ht="12.75" customHeight="1">
      <c r="A102" s="180" t="s">
        <v>88</v>
      </c>
      <c r="B102" s="74">
        <v>0.0</v>
      </c>
      <c r="C102" s="150">
        <v>0.0</v>
      </c>
      <c r="D102" s="150">
        <v>0.0</v>
      </c>
      <c r="E102" s="74">
        <v>0.0</v>
      </c>
      <c r="F102" s="74">
        <v>0.0</v>
      </c>
      <c r="G102" s="74"/>
      <c r="H102" s="74"/>
      <c r="J102" s="74"/>
      <c r="K102" s="74"/>
      <c r="L102" s="74"/>
      <c r="M102" s="74"/>
      <c r="N102" s="74">
        <f t="shared" si="7"/>
        <v>0</v>
      </c>
      <c r="O102" s="74">
        <f>SUMIF($B$5:$M$5,'P&amp;L Summary'!$A$6,$B102:$M102)</f>
        <v>0</v>
      </c>
      <c r="P102" s="74">
        <f t="shared" si="8"/>
        <v>0</v>
      </c>
    </row>
    <row r="103" ht="12.75" customHeight="1">
      <c r="A103" s="180" t="s">
        <v>91</v>
      </c>
      <c r="B103" s="74">
        <v>0.0</v>
      </c>
      <c r="C103" s="150">
        <v>0.0</v>
      </c>
      <c r="D103" s="150">
        <v>450.0</v>
      </c>
      <c r="E103" s="74">
        <v>0.0</v>
      </c>
      <c r="F103" s="74">
        <v>0.0</v>
      </c>
      <c r="G103" s="74"/>
      <c r="H103" s="74"/>
      <c r="J103" s="74"/>
      <c r="K103" s="74"/>
      <c r="L103" s="74"/>
      <c r="M103" s="74"/>
      <c r="N103" s="74">
        <f t="shared" si="7"/>
        <v>450</v>
      </c>
      <c r="O103" s="74">
        <f>SUMIF($B$5:$M$5,'P&amp;L Summary'!$A$6,$B103:$M103)</f>
        <v>0</v>
      </c>
      <c r="P103" s="74">
        <f t="shared" si="8"/>
        <v>450</v>
      </c>
    </row>
    <row r="104" ht="12.75" customHeight="1">
      <c r="A104" s="180" t="s">
        <v>94</v>
      </c>
      <c r="B104" s="74">
        <v>0.0</v>
      </c>
      <c r="C104" s="150">
        <v>0.0</v>
      </c>
      <c r="D104" s="150">
        <v>0.0</v>
      </c>
      <c r="E104" s="74">
        <v>0.0</v>
      </c>
      <c r="F104" s="74">
        <v>0.0</v>
      </c>
      <c r="G104" s="74"/>
      <c r="H104" s="74"/>
      <c r="I104" s="183"/>
      <c r="J104" s="74"/>
      <c r="K104" s="74"/>
      <c r="L104" s="74"/>
      <c r="M104" s="74"/>
      <c r="N104" s="74">
        <f t="shared" si="7"/>
        <v>0</v>
      </c>
      <c r="O104" s="74">
        <f>SUMIF($B$5:$M$5,'P&amp;L Summary'!$A$6,$B104:$M104)</f>
        <v>0</v>
      </c>
      <c r="P104" s="74">
        <f t="shared" si="8"/>
        <v>0</v>
      </c>
    </row>
    <row r="105" ht="12.75" customHeight="1">
      <c r="A105" s="180" t="s">
        <v>95</v>
      </c>
      <c r="B105" s="74">
        <v>0.0</v>
      </c>
      <c r="C105" s="150">
        <v>0.0</v>
      </c>
      <c r="D105" s="150">
        <v>0.0</v>
      </c>
      <c r="E105" s="74">
        <v>0.0</v>
      </c>
      <c r="F105" s="74">
        <v>0.0</v>
      </c>
      <c r="G105" s="74"/>
      <c r="H105" s="74"/>
      <c r="J105" s="74"/>
      <c r="K105" s="74"/>
      <c r="L105" s="74"/>
      <c r="M105" s="74"/>
      <c r="N105" s="74">
        <f t="shared" si="7"/>
        <v>0</v>
      </c>
      <c r="O105" s="74">
        <f>SUMIF($B$5:$M$5,'P&amp;L Summary'!$A$6,$B105:$M105)</f>
        <v>0</v>
      </c>
      <c r="P105" s="74">
        <f t="shared" si="8"/>
        <v>0</v>
      </c>
    </row>
    <row r="106" ht="12.75" customHeight="1">
      <c r="A106" s="180" t="s">
        <v>96</v>
      </c>
      <c r="B106" s="74">
        <v>0.0</v>
      </c>
      <c r="C106" s="150">
        <v>0.0</v>
      </c>
      <c r="D106" s="150">
        <v>0.0</v>
      </c>
      <c r="E106" s="74">
        <v>0.0</v>
      </c>
      <c r="F106" s="74">
        <v>0.0</v>
      </c>
      <c r="G106" s="74"/>
      <c r="H106" s="74"/>
      <c r="J106" s="74"/>
      <c r="K106" s="74"/>
      <c r="L106" s="74"/>
      <c r="M106" s="74"/>
      <c r="N106" s="74">
        <f t="shared" si="7"/>
        <v>0</v>
      </c>
      <c r="O106" s="74">
        <f>SUMIF($B$5:$M$5,'P&amp;L Summary'!$A$6,$B106:$M106)</f>
        <v>0</v>
      </c>
      <c r="P106" s="74">
        <f t="shared" si="8"/>
        <v>0</v>
      </c>
    </row>
    <row r="107" ht="12.75" customHeight="1">
      <c r="A107" s="180" t="s">
        <v>97</v>
      </c>
      <c r="B107" s="74">
        <v>0.0</v>
      </c>
      <c r="C107" s="150">
        <v>0.0</v>
      </c>
      <c r="D107" s="150">
        <v>0.0</v>
      </c>
      <c r="E107" s="74">
        <v>0.0</v>
      </c>
      <c r="F107" s="74">
        <v>0.0</v>
      </c>
      <c r="G107" s="74"/>
      <c r="H107" s="74"/>
      <c r="J107" s="74"/>
      <c r="K107" s="74"/>
      <c r="L107" s="74"/>
      <c r="M107" s="74"/>
      <c r="N107" s="74">
        <f t="shared" si="7"/>
        <v>0</v>
      </c>
      <c r="O107" s="74">
        <f>SUMIF($B$5:$M$5,'P&amp;L Summary'!$A$6,$B107:$M107)</f>
        <v>0</v>
      </c>
      <c r="P107" s="74">
        <f t="shared" si="8"/>
        <v>0</v>
      </c>
    </row>
    <row r="108" ht="12.75" customHeight="1">
      <c r="A108" s="180" t="s">
        <v>99</v>
      </c>
      <c r="B108" s="74">
        <v>0.0</v>
      </c>
      <c r="C108" s="150">
        <v>0.0</v>
      </c>
      <c r="D108" s="150">
        <v>0.0</v>
      </c>
      <c r="E108" s="74">
        <v>0.0</v>
      </c>
      <c r="F108" s="74">
        <v>0.0</v>
      </c>
      <c r="G108" s="74"/>
      <c r="H108" s="74"/>
      <c r="J108" s="74"/>
      <c r="K108" s="74"/>
      <c r="L108" s="74"/>
      <c r="M108" s="74"/>
      <c r="N108" s="74">
        <f t="shared" si="7"/>
        <v>0</v>
      </c>
      <c r="O108" s="74">
        <f>SUMIF($B$5:$M$5,'P&amp;L Summary'!$A$6,$B108:$M108)</f>
        <v>0</v>
      </c>
      <c r="P108" s="74">
        <f t="shared" si="8"/>
        <v>0</v>
      </c>
    </row>
    <row r="109" ht="12.75" customHeight="1">
      <c r="A109" s="180" t="s">
        <v>101</v>
      </c>
      <c r="B109" s="74">
        <v>0.0</v>
      </c>
      <c r="C109" s="150">
        <v>-0.06</v>
      </c>
      <c r="D109" s="150">
        <v>0.2</v>
      </c>
      <c r="E109" s="74">
        <v>0.0</v>
      </c>
      <c r="F109" s="74">
        <v>0.0</v>
      </c>
      <c r="G109" s="74"/>
      <c r="H109" s="74"/>
      <c r="J109" s="74"/>
      <c r="K109" s="74"/>
      <c r="L109" s="74"/>
      <c r="M109" s="74"/>
      <c r="N109" s="74">
        <f t="shared" si="7"/>
        <v>0.14</v>
      </c>
      <c r="O109" s="74">
        <f>SUMIF($B$5:$M$5,'P&amp;L Summary'!$A$6,$B109:$M109)</f>
        <v>0</v>
      </c>
      <c r="P109" s="74">
        <f t="shared" si="8"/>
        <v>0.14</v>
      </c>
    </row>
    <row r="110" ht="12.75" customHeight="1">
      <c r="A110" s="180" t="s">
        <v>102</v>
      </c>
      <c r="B110" s="74">
        <v>0.0</v>
      </c>
      <c r="C110" s="150">
        <v>0.0</v>
      </c>
      <c r="D110" s="150">
        <v>0.0</v>
      </c>
      <c r="E110" s="74">
        <v>0.0</v>
      </c>
      <c r="F110" s="74">
        <v>0.0</v>
      </c>
      <c r="G110" s="74"/>
      <c r="H110" s="74"/>
      <c r="J110" s="74"/>
      <c r="K110" s="74"/>
      <c r="L110" s="74"/>
      <c r="M110" s="74"/>
      <c r="N110" s="74">
        <f t="shared" si="7"/>
        <v>0</v>
      </c>
      <c r="O110" s="74">
        <f>SUMIF($B$5:$M$5,'P&amp;L Summary'!$A$6,$B110:$M110)</f>
        <v>0</v>
      </c>
      <c r="P110" s="74">
        <f t="shared" si="8"/>
        <v>0</v>
      </c>
    </row>
    <row r="111" ht="12.75" customHeight="1">
      <c r="A111" s="180" t="s">
        <v>103</v>
      </c>
      <c r="B111" s="74">
        <v>28445.0</v>
      </c>
      <c r="C111" s="150">
        <v>28578.0</v>
      </c>
      <c r="D111" s="150">
        <v>26783.0</v>
      </c>
      <c r="E111" s="74">
        <v>24873.01</v>
      </c>
      <c r="F111" s="74">
        <v>23843.0</v>
      </c>
      <c r="G111" s="74"/>
      <c r="H111" s="74"/>
      <c r="I111" s="183"/>
      <c r="J111" s="74"/>
      <c r="K111" s="74"/>
      <c r="L111" s="74"/>
      <c r="M111" s="74"/>
      <c r="N111" s="74">
        <f t="shared" si="7"/>
        <v>132522.01</v>
      </c>
      <c r="O111" s="74">
        <f>SUMIF($B$5:$M$5,'P&amp;L Summary'!$A$6,$B111:$M111)</f>
        <v>23843</v>
      </c>
      <c r="P111" s="74">
        <f t="shared" si="8"/>
        <v>132522.01</v>
      </c>
    </row>
    <row r="112" ht="12.75" customHeight="1">
      <c r="A112" s="180" t="s">
        <v>107</v>
      </c>
      <c r="B112" s="74">
        <v>0.0</v>
      </c>
      <c r="C112" s="150">
        <v>0.0</v>
      </c>
      <c r="D112" s="150">
        <v>0.0</v>
      </c>
      <c r="E112" s="74">
        <v>0.0</v>
      </c>
      <c r="F112" s="74">
        <v>0.0</v>
      </c>
      <c r="G112" s="74"/>
      <c r="H112" s="74"/>
      <c r="J112" s="74"/>
      <c r="K112" s="74"/>
      <c r="L112" s="74"/>
      <c r="M112" s="74"/>
      <c r="N112" s="74">
        <f t="shared" si="7"/>
        <v>0</v>
      </c>
      <c r="O112" s="74">
        <f>SUMIF($B$5:$M$5,'P&amp;L Summary'!$A$6,$B112:$M112)</f>
        <v>0</v>
      </c>
      <c r="P112" s="74">
        <f t="shared" si="8"/>
        <v>0</v>
      </c>
    </row>
    <row r="113" ht="12.75" customHeight="1">
      <c r="A113" s="180" t="s">
        <v>109</v>
      </c>
      <c r="B113" s="74">
        <v>0.0</v>
      </c>
      <c r="C113" s="150">
        <v>0.0</v>
      </c>
      <c r="D113" s="150">
        <v>0.0</v>
      </c>
      <c r="E113" s="74">
        <v>0.0</v>
      </c>
      <c r="F113" s="74">
        <v>0.0</v>
      </c>
      <c r="G113" s="74"/>
      <c r="H113" s="74"/>
      <c r="J113" s="74"/>
      <c r="K113" s="74"/>
      <c r="L113" s="74"/>
      <c r="M113" s="74"/>
      <c r="N113" s="74">
        <f t="shared" si="7"/>
        <v>0</v>
      </c>
      <c r="O113" s="74">
        <f>SUMIF($B$5:$M$5,'P&amp;L Summary'!$A$6,$B113:$M113)</f>
        <v>0</v>
      </c>
      <c r="P113" s="74">
        <f t="shared" si="8"/>
        <v>0</v>
      </c>
    </row>
    <row r="114" ht="12.75" customHeight="1">
      <c r="A114" s="180" t="s">
        <v>110</v>
      </c>
      <c r="B114" s="74">
        <v>1191.51</v>
      </c>
      <c r="C114" s="150">
        <v>0.0</v>
      </c>
      <c r="D114" s="150">
        <v>2368.38</v>
      </c>
      <c r="E114" s="74">
        <v>527.68</v>
      </c>
      <c r="F114" s="74">
        <v>662.74</v>
      </c>
      <c r="G114" s="74"/>
      <c r="H114" s="74"/>
      <c r="I114" s="183"/>
      <c r="J114" s="74"/>
      <c r="K114" s="74"/>
      <c r="L114" s="74"/>
      <c r="M114" s="74"/>
      <c r="N114" s="74">
        <f t="shared" si="7"/>
        <v>4750.31</v>
      </c>
      <c r="O114" s="74">
        <f>SUMIF($B$5:$M$5,'P&amp;L Summary'!$A$6,$B114:$M114)</f>
        <v>662.74</v>
      </c>
      <c r="P114" s="74">
        <f t="shared" si="8"/>
        <v>4750.31</v>
      </c>
    </row>
    <row r="115" ht="12.75" customHeight="1">
      <c r="A115" s="180" t="s">
        <v>111</v>
      </c>
      <c r="B115" s="74">
        <v>0.0</v>
      </c>
      <c r="C115" s="150">
        <v>0.0</v>
      </c>
      <c r="D115" s="150">
        <v>0.0</v>
      </c>
      <c r="E115" s="74">
        <v>0.0</v>
      </c>
      <c r="F115" s="74">
        <v>0.0</v>
      </c>
      <c r="G115" s="74"/>
      <c r="H115" s="74"/>
      <c r="J115" s="74"/>
      <c r="K115" s="74"/>
      <c r="L115" s="74"/>
      <c r="M115" s="74"/>
      <c r="N115" s="74">
        <f t="shared" si="7"/>
        <v>0</v>
      </c>
      <c r="O115" s="74">
        <f>SUMIF($B$5:$M$5,'P&amp;L Summary'!$A$6,$B115:$M115)</f>
        <v>0</v>
      </c>
      <c r="P115" s="74">
        <f t="shared" si="8"/>
        <v>0</v>
      </c>
    </row>
    <row r="116" ht="12.75" customHeight="1">
      <c r="A116" s="189"/>
      <c r="B116" s="190"/>
      <c r="C116" s="191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74">
        <f t="shared" si="7"/>
        <v>0</v>
      </c>
      <c r="O116" s="74">
        <f>SUMIF($B$5:$M$5,'P&amp;L Summary'!$A$6,$B116:$M116)</f>
        <v>0</v>
      </c>
      <c r="P116" s="74">
        <f t="shared" si="8"/>
        <v>0</v>
      </c>
    </row>
    <row r="117" ht="12.75" customHeight="1">
      <c r="A117" s="189"/>
      <c r="B117" s="190"/>
      <c r="C117" s="191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74">
        <f t="shared" si="7"/>
        <v>0</v>
      </c>
      <c r="O117" s="74">
        <f>SUMIF($B$5:$M$5,'P&amp;L Summary'!$A$6,$B117:$M117)</f>
        <v>0</v>
      </c>
      <c r="P117" s="74">
        <f t="shared" si="8"/>
        <v>0</v>
      </c>
    </row>
    <row r="118" ht="12.75" customHeight="1">
      <c r="A118" s="180" t="s">
        <v>33</v>
      </c>
      <c r="B118" s="74">
        <v>53714.03</v>
      </c>
      <c r="C118" s="150">
        <v>54750.99</v>
      </c>
      <c r="D118" s="150">
        <v>58322.58</v>
      </c>
      <c r="E118" s="74">
        <v>46635.97</v>
      </c>
      <c r="F118" s="74">
        <v>56273.93</v>
      </c>
      <c r="G118" s="74"/>
      <c r="H118" s="74"/>
      <c r="I118" s="74"/>
      <c r="J118" s="74"/>
      <c r="K118" s="74"/>
      <c r="L118" s="74"/>
      <c r="M118" s="74"/>
      <c r="N118" s="74">
        <f t="shared" si="7"/>
        <v>269697.5</v>
      </c>
      <c r="O118" s="74">
        <f>SUMIF($B$5:$M$5,'P&amp;L Summary'!$A$6,$B118:$M118)</f>
        <v>56273.93</v>
      </c>
      <c r="P118" s="74">
        <f t="shared" si="8"/>
        <v>269697.5</v>
      </c>
    </row>
    <row r="119" ht="12.75" customHeight="1">
      <c r="A119" s="180"/>
      <c r="B119" s="74"/>
      <c r="C119" s="150"/>
      <c r="D119" s="150"/>
      <c r="E119" s="74"/>
      <c r="F119" s="74"/>
      <c r="G119" s="74"/>
      <c r="H119" s="74"/>
      <c r="I119" s="74"/>
      <c r="J119" s="74"/>
      <c r="K119" s="74"/>
      <c r="L119" s="74"/>
      <c r="M119" s="74"/>
      <c r="N119" s="74">
        <f t="shared" si="7"/>
        <v>0</v>
      </c>
      <c r="O119" s="74">
        <f>SUMIF($B$5:$M$5,'P&amp;L Summary'!$A$6,$B119:$M119)</f>
        <v>0</v>
      </c>
      <c r="P119" s="74">
        <f t="shared" si="8"/>
        <v>0</v>
      </c>
    </row>
    <row r="120" ht="12.75" customHeight="1">
      <c r="A120" t="s">
        <v>128</v>
      </c>
      <c r="B120" s="74">
        <v>401.33</v>
      </c>
      <c r="C120" s="150">
        <v>-463.96</v>
      </c>
      <c r="D120" s="150">
        <v>2176.76</v>
      </c>
      <c r="E120" s="74">
        <v>1737.95</v>
      </c>
      <c r="F120" s="74">
        <v>945.51</v>
      </c>
      <c r="G120" s="74"/>
      <c r="H120" s="74"/>
      <c r="I120" s="74"/>
      <c r="J120" s="74"/>
      <c r="K120" s="74"/>
      <c r="L120" s="74"/>
      <c r="M120" s="74"/>
      <c r="N120" s="74">
        <f t="shared" si="7"/>
        <v>4797.59</v>
      </c>
      <c r="O120" s="74">
        <f>SUMIF($B$5:$M$5,'P&amp;L Summary'!$A$6,$B120:$M120)</f>
        <v>945.51</v>
      </c>
      <c r="P120" s="74">
        <f t="shared" si="8"/>
        <v>4797.59</v>
      </c>
    </row>
    <row r="121" ht="12.75" customHeight="1">
      <c r="A121" s="180" t="s">
        <v>115</v>
      </c>
      <c r="B121" s="74">
        <v>0.0</v>
      </c>
      <c r="C121" s="150">
        <v>0.0</v>
      </c>
      <c r="D121" s="150">
        <v>0.0</v>
      </c>
      <c r="E121" s="74">
        <v>0.0</v>
      </c>
      <c r="F121" s="74">
        <v>0.0</v>
      </c>
      <c r="G121" s="74"/>
      <c r="H121" s="74"/>
      <c r="I121" s="74"/>
      <c r="J121" s="74"/>
      <c r="K121" s="74"/>
      <c r="L121" s="74"/>
      <c r="M121" s="74"/>
      <c r="N121" s="74">
        <f t="shared" si="7"/>
        <v>0</v>
      </c>
      <c r="O121" s="74">
        <f>SUMIF($B$5:$M$5,'P&amp;L Summary'!$A$6,$B121:$M121)</f>
        <v>0</v>
      </c>
      <c r="P121" s="74">
        <f t="shared" si="8"/>
        <v>0</v>
      </c>
    </row>
    <row r="122" ht="12.75" customHeight="1">
      <c r="A122" s="180" t="s">
        <v>117</v>
      </c>
      <c r="B122" s="74">
        <v>0.0</v>
      </c>
      <c r="C122" s="150">
        <v>0.0</v>
      </c>
      <c r="D122" s="150">
        <v>200.0</v>
      </c>
      <c r="E122" s="74">
        <v>200.0</v>
      </c>
      <c r="F122" s="74">
        <v>200.0</v>
      </c>
      <c r="G122" s="74"/>
      <c r="H122" s="74"/>
      <c r="J122" s="74"/>
      <c r="K122" s="74"/>
      <c r="L122" s="74"/>
      <c r="M122" s="74"/>
      <c r="N122" s="74">
        <f t="shared" si="7"/>
        <v>600</v>
      </c>
      <c r="O122" s="74">
        <f>SUMIF($B$5:$M$5,'P&amp;L Summary'!$A$6,$B122:$M122)</f>
        <v>200</v>
      </c>
      <c r="P122" s="74">
        <f t="shared" si="8"/>
        <v>600</v>
      </c>
    </row>
    <row r="123" ht="12.75" customHeight="1">
      <c r="A123" s="180" t="s">
        <v>118</v>
      </c>
      <c r="B123" s="74">
        <v>0.0</v>
      </c>
      <c r="C123" s="150">
        <v>0.0</v>
      </c>
      <c r="D123" s="150">
        <v>0.0</v>
      </c>
      <c r="E123" s="74">
        <v>0.0</v>
      </c>
      <c r="F123" s="74">
        <v>0.0</v>
      </c>
      <c r="G123" s="74"/>
      <c r="H123" s="74"/>
      <c r="J123" s="74"/>
      <c r="K123" s="74"/>
      <c r="L123" s="74"/>
      <c r="M123" s="74"/>
      <c r="N123" s="74">
        <f t="shared" si="7"/>
        <v>0</v>
      </c>
      <c r="O123" s="74">
        <f>SUMIF($B$5:$M$5,'P&amp;L Summary'!$A$6,$B123:$M123)</f>
        <v>0</v>
      </c>
      <c r="P123" s="74">
        <f t="shared" si="8"/>
        <v>0</v>
      </c>
    </row>
    <row r="124" ht="12.75" customHeight="1">
      <c r="A124" s="180" t="s">
        <v>120</v>
      </c>
      <c r="B124" s="74">
        <v>0.0</v>
      </c>
      <c r="C124" s="150">
        <v>0.0</v>
      </c>
      <c r="D124" s="150">
        <v>0.0</v>
      </c>
      <c r="E124" s="74">
        <v>0.0</v>
      </c>
      <c r="F124" s="74">
        <v>165.0</v>
      </c>
      <c r="G124" s="74"/>
      <c r="H124" s="74"/>
      <c r="J124" s="74"/>
      <c r="K124" s="74"/>
      <c r="L124" s="74"/>
      <c r="M124" s="74"/>
      <c r="N124" s="74">
        <f t="shared" si="7"/>
        <v>165</v>
      </c>
      <c r="O124" s="74">
        <f>SUMIF($B$5:$M$5,'P&amp;L Summary'!$A$6,$B124:$M124)</f>
        <v>165</v>
      </c>
      <c r="P124" s="74">
        <f t="shared" si="8"/>
        <v>165</v>
      </c>
    </row>
    <row r="125" ht="12.75" customHeight="1">
      <c r="A125" s="180" t="s">
        <v>100</v>
      </c>
      <c r="B125" s="74">
        <v>0.0</v>
      </c>
      <c r="C125" s="150">
        <v>0.0</v>
      </c>
      <c r="D125" s="150">
        <v>0.0</v>
      </c>
      <c r="E125" s="74">
        <v>0.0</v>
      </c>
      <c r="F125" s="74">
        <v>0.0</v>
      </c>
      <c r="G125" s="74"/>
      <c r="H125" s="74"/>
      <c r="J125" s="74"/>
      <c r="K125" s="74"/>
      <c r="L125" s="74"/>
      <c r="M125" s="74"/>
      <c r="N125" s="74">
        <f t="shared" si="7"/>
        <v>0</v>
      </c>
      <c r="O125" s="74">
        <f>SUMIF($B$5:$M$5,'P&amp;L Summary'!$A$6,$B125:$M125)</f>
        <v>0</v>
      </c>
      <c r="P125" s="74">
        <f t="shared" si="8"/>
        <v>0</v>
      </c>
    </row>
    <row r="126" ht="12.75" customHeight="1">
      <c r="A126" t="s">
        <v>122</v>
      </c>
      <c r="B126">
        <v>0.0</v>
      </c>
      <c r="C126" s="150">
        <v>0.0</v>
      </c>
      <c r="D126" s="150">
        <v>0.0</v>
      </c>
      <c r="E126">
        <v>0.0</v>
      </c>
      <c r="F126">
        <v>0.0</v>
      </c>
      <c r="N126" s="74">
        <f t="shared" si="7"/>
        <v>0</v>
      </c>
      <c r="O126" s="74">
        <f>SUMIF($B$5:$M$5,'P&amp;L Summary'!$A$6,$B126:$M126)</f>
        <v>0</v>
      </c>
      <c r="P126" s="74">
        <f t="shared" si="8"/>
        <v>0</v>
      </c>
    </row>
    <row r="127" ht="12.75" customHeight="1">
      <c r="A127" t="s">
        <v>123</v>
      </c>
      <c r="B127">
        <v>0.0</v>
      </c>
      <c r="C127" s="150">
        <v>0.0</v>
      </c>
      <c r="D127" s="150">
        <v>0.0</v>
      </c>
      <c r="E127">
        <v>0.0</v>
      </c>
      <c r="F127">
        <v>0.0</v>
      </c>
      <c r="N127" s="74">
        <f t="shared" si="7"/>
        <v>0</v>
      </c>
      <c r="O127" s="74">
        <f>SUMIF($B$5:$M$5,'P&amp;L Summary'!$A$6,$B127:$M127)</f>
        <v>0</v>
      </c>
      <c r="P127" s="74">
        <f t="shared" si="8"/>
        <v>0</v>
      </c>
    </row>
    <row r="128" ht="12.75" customHeight="1">
      <c r="A128" s="180" t="s">
        <v>125</v>
      </c>
      <c r="B128" s="74">
        <v>0.0</v>
      </c>
      <c r="C128" s="150">
        <v>0.0</v>
      </c>
      <c r="D128" s="150">
        <v>0.0</v>
      </c>
      <c r="E128" s="74">
        <v>0.0</v>
      </c>
      <c r="F128" s="74">
        <v>0.0</v>
      </c>
      <c r="G128" s="74"/>
      <c r="H128" s="74"/>
      <c r="J128" s="74"/>
      <c r="K128" s="74"/>
      <c r="L128" s="74"/>
      <c r="M128" s="74"/>
      <c r="N128" s="74">
        <f t="shared" si="7"/>
        <v>0</v>
      </c>
      <c r="O128" s="74">
        <f>SUMIF($B$5:$M$5,'P&amp;L Summary'!$A$6,$B128:$M128)</f>
        <v>0</v>
      </c>
      <c r="P128" s="74">
        <f t="shared" si="8"/>
        <v>0</v>
      </c>
    </row>
    <row r="129" ht="12.75" customHeight="1">
      <c r="A129" t="s">
        <v>126</v>
      </c>
      <c r="B129" s="183">
        <v>401.33</v>
      </c>
      <c r="C129" s="150">
        <v>-463.96</v>
      </c>
      <c r="D129" s="150">
        <v>1976.76</v>
      </c>
      <c r="E129" s="183">
        <v>1537.95</v>
      </c>
      <c r="F129">
        <v>580.51</v>
      </c>
      <c r="G129" s="183"/>
      <c r="H129" s="183"/>
      <c r="I129" s="183"/>
      <c r="L129" s="183"/>
      <c r="M129" s="183"/>
      <c r="N129" s="74">
        <f t="shared" si="7"/>
        <v>4032.59</v>
      </c>
      <c r="O129" s="74">
        <f>SUMIF($B$5:$M$5,'P&amp;L Summary'!$A$6,$B129:$M129)</f>
        <v>580.51</v>
      </c>
      <c r="P129" s="74">
        <f t="shared" si="8"/>
        <v>4032.59</v>
      </c>
    </row>
    <row r="130" ht="12.75" customHeight="1">
      <c r="A130" s="180"/>
      <c r="B130" s="74"/>
      <c r="C130" s="150"/>
      <c r="D130" s="150"/>
      <c r="E130" s="74"/>
      <c r="F130" s="74"/>
      <c r="G130" s="74"/>
      <c r="H130" s="74"/>
      <c r="J130" s="74"/>
      <c r="K130" s="74"/>
      <c r="L130" s="74"/>
      <c r="M130" s="74"/>
      <c r="N130" s="74">
        <f t="shared" si="7"/>
        <v>0</v>
      </c>
      <c r="O130" s="74">
        <f>SUMIF($B$5:$M$5,'P&amp;L Summary'!$A$6,$B130:$M130)</f>
        <v>0</v>
      </c>
      <c r="P130" s="74">
        <f t="shared" si="8"/>
        <v>0</v>
      </c>
    </row>
    <row r="131" ht="12.75" customHeight="1">
      <c r="A131" s="180" t="s">
        <v>153</v>
      </c>
      <c r="B131" s="74">
        <v>53312.7</v>
      </c>
      <c r="C131" s="150">
        <v>55214.95</v>
      </c>
      <c r="D131" s="150">
        <v>56145.82</v>
      </c>
      <c r="E131" s="74">
        <v>44898.02</v>
      </c>
      <c r="F131" s="74">
        <v>55328.42</v>
      </c>
      <c r="G131" s="74"/>
      <c r="H131" s="74"/>
      <c r="I131" s="183"/>
      <c r="J131" s="74"/>
      <c r="K131" s="74"/>
      <c r="L131" s="74"/>
      <c r="M131" s="74"/>
      <c r="N131" s="74">
        <f t="shared" si="7"/>
        <v>264899.91</v>
      </c>
      <c r="O131" s="74">
        <f>SUMIF($B$5:$M$5,'P&amp;L Summary'!$A$6,$B131:$M131)</f>
        <v>55328.42</v>
      </c>
      <c r="P131" s="74">
        <f t="shared" si="8"/>
        <v>264899.91</v>
      </c>
    </row>
    <row r="132" ht="12.75" customHeight="1">
      <c r="A132" s="180" t="s">
        <v>130</v>
      </c>
      <c r="B132" s="74">
        <v>37344.33</v>
      </c>
      <c r="C132" s="150">
        <v>39383.82</v>
      </c>
      <c r="D132" s="150">
        <v>37651.09</v>
      </c>
      <c r="E132" s="74">
        <v>30327.62</v>
      </c>
      <c r="F132" s="74">
        <v>40298.41</v>
      </c>
      <c r="G132" s="74"/>
      <c r="H132" s="74"/>
      <c r="I132" s="183"/>
      <c r="J132" s="74"/>
      <c r="K132" s="74"/>
      <c r="L132" s="74"/>
      <c r="M132" s="74"/>
      <c r="N132" s="74">
        <f t="shared" si="7"/>
        <v>185005.27</v>
      </c>
      <c r="O132" s="74">
        <f>SUMIF($B$5:$M$5,'P&amp;L Summary'!$A$6,$B132:$M132)</f>
        <v>40298.41</v>
      </c>
      <c r="P132" s="74">
        <f t="shared" si="8"/>
        <v>185005.27</v>
      </c>
    </row>
    <row r="133" ht="12.75" customHeight="1">
      <c r="A133" s="180" t="s">
        <v>132</v>
      </c>
      <c r="B133" s="74">
        <v>0.0</v>
      </c>
      <c r="C133" s="150">
        <v>0.0</v>
      </c>
      <c r="D133" s="150">
        <v>84.15</v>
      </c>
      <c r="E133" s="74">
        <v>16.83</v>
      </c>
      <c r="F133" s="74">
        <v>35.43</v>
      </c>
      <c r="G133" s="74"/>
      <c r="H133" s="74"/>
      <c r="J133" s="74"/>
      <c r="K133" s="74"/>
      <c r="L133" s="74"/>
      <c r="M133" s="74"/>
      <c r="N133" s="74">
        <f t="shared" si="7"/>
        <v>136.41</v>
      </c>
      <c r="O133" s="74">
        <f>SUMIF($B$5:$M$5,'P&amp;L Summary'!$A$6,$B133:$M133)</f>
        <v>35.43</v>
      </c>
      <c r="P133" s="74">
        <f t="shared" si="8"/>
        <v>136.41</v>
      </c>
    </row>
    <row r="134" ht="12.75" customHeight="1">
      <c r="A134" s="180" t="s">
        <v>134</v>
      </c>
      <c r="B134" s="74">
        <v>4951.19</v>
      </c>
      <c r="C134" s="150">
        <v>5057.3</v>
      </c>
      <c r="D134" s="150">
        <v>7277.39</v>
      </c>
      <c r="E134" s="74">
        <v>4373.16</v>
      </c>
      <c r="F134" s="74">
        <v>4536.89</v>
      </c>
      <c r="G134" s="74"/>
      <c r="H134" s="74"/>
      <c r="I134" s="183"/>
      <c r="J134" s="74"/>
      <c r="K134" s="74"/>
      <c r="L134" s="74"/>
      <c r="M134" s="74"/>
      <c r="N134" s="74">
        <f t="shared" si="7"/>
        <v>26195.93</v>
      </c>
      <c r="O134" s="74">
        <f>SUMIF($B$5:$M$5,'P&amp;L Summary'!$A$6,$B134:$M134)</f>
        <v>4536.89</v>
      </c>
      <c r="P134" s="74">
        <f t="shared" si="8"/>
        <v>26195.93</v>
      </c>
    </row>
    <row r="135" ht="12.75" customHeight="1">
      <c r="A135" s="180" t="s">
        <v>136</v>
      </c>
      <c r="B135" s="74">
        <v>2000.0</v>
      </c>
      <c r="C135" s="150">
        <v>2000.0</v>
      </c>
      <c r="D135" s="150">
        <v>2000.0</v>
      </c>
      <c r="E135" s="74">
        <v>2000.0</v>
      </c>
      <c r="F135" s="74">
        <v>2000.0</v>
      </c>
      <c r="G135" s="74"/>
      <c r="H135" s="74"/>
      <c r="I135" s="183"/>
      <c r="J135" s="74"/>
      <c r="K135" s="74"/>
      <c r="L135" s="74"/>
      <c r="M135" s="74"/>
      <c r="N135" s="74">
        <f t="shared" si="7"/>
        <v>10000</v>
      </c>
      <c r="O135" s="74">
        <f>SUMIF($B$5:$M$5,'P&amp;L Summary'!$A$6,$B135:$M135)</f>
        <v>2000</v>
      </c>
      <c r="P135" s="74">
        <f t="shared" si="8"/>
        <v>10000</v>
      </c>
    </row>
    <row r="136" ht="12.75" customHeight="1">
      <c r="A136" s="180" t="s">
        <v>137</v>
      </c>
      <c r="B136" s="74">
        <v>1333.88</v>
      </c>
      <c r="C136" s="150">
        <v>594.21</v>
      </c>
      <c r="D136" s="150">
        <v>1143.17</v>
      </c>
      <c r="E136" s="74">
        <v>1722.68</v>
      </c>
      <c r="F136" s="74">
        <v>660.28</v>
      </c>
      <c r="G136" s="74"/>
      <c r="H136" s="74"/>
      <c r="I136" s="183"/>
      <c r="J136" s="74"/>
      <c r="K136" s="74"/>
      <c r="L136" s="74"/>
      <c r="M136" s="74"/>
      <c r="N136" s="74">
        <f t="shared" si="7"/>
        <v>5454.22</v>
      </c>
      <c r="O136" s="74">
        <f>SUMIF($B$5:$M$5,'P&amp;L Summary'!$A$6,$B136:$M136)</f>
        <v>660.28</v>
      </c>
      <c r="P136" s="74">
        <f t="shared" si="8"/>
        <v>5454.22</v>
      </c>
    </row>
    <row r="137" ht="12.75" customHeight="1">
      <c r="A137" s="180" t="s">
        <v>138</v>
      </c>
      <c r="B137" s="74">
        <v>0.0</v>
      </c>
      <c r="C137" s="150">
        <v>0.0</v>
      </c>
      <c r="D137" s="150">
        <v>0.0</v>
      </c>
      <c r="E137" s="74">
        <v>0.0</v>
      </c>
      <c r="F137" s="74">
        <v>0.0</v>
      </c>
      <c r="G137" s="74"/>
      <c r="H137" s="74"/>
      <c r="I137" s="183"/>
      <c r="J137" s="74"/>
      <c r="K137" s="74"/>
      <c r="L137" s="74"/>
      <c r="M137" s="74"/>
      <c r="N137" s="74">
        <f t="shared" si="7"/>
        <v>0</v>
      </c>
      <c r="O137" s="74">
        <f>SUMIF($B$5:$M$5,'P&amp;L Summary'!$A$6,$B137:$M137)</f>
        <v>0</v>
      </c>
      <c r="P137" s="74">
        <f t="shared" si="8"/>
        <v>0</v>
      </c>
    </row>
    <row r="138" ht="12.75" customHeight="1">
      <c r="A138" s="180" t="s">
        <v>139</v>
      </c>
      <c r="B138" s="74">
        <v>0.0</v>
      </c>
      <c r="C138" s="150">
        <v>0.0</v>
      </c>
      <c r="D138" s="150">
        <v>0.0</v>
      </c>
      <c r="E138" s="74">
        <v>0.0</v>
      </c>
      <c r="F138" s="74">
        <v>0.0</v>
      </c>
      <c r="G138" s="74"/>
      <c r="H138" s="74"/>
      <c r="J138" s="74"/>
      <c r="K138" s="74"/>
      <c r="L138" s="74"/>
      <c r="M138" s="74"/>
      <c r="N138" s="74">
        <f t="shared" si="7"/>
        <v>0</v>
      </c>
      <c r="O138" s="74">
        <f>SUMIF($B$5:$M$5,'P&amp;L Summary'!$A$6,$B138:$M138)</f>
        <v>0</v>
      </c>
      <c r="P138" s="74">
        <f t="shared" si="8"/>
        <v>0</v>
      </c>
    </row>
    <row r="139" ht="12.75" customHeight="1">
      <c r="A139" s="180" t="s">
        <v>140</v>
      </c>
      <c r="B139" s="74">
        <v>-495.0</v>
      </c>
      <c r="C139" s="150">
        <v>-404.0</v>
      </c>
      <c r="D139" s="150">
        <v>-15.0</v>
      </c>
      <c r="E139" s="74">
        <v>-1042.0</v>
      </c>
      <c r="F139" s="74">
        <v>380.0</v>
      </c>
      <c r="G139" s="193"/>
      <c r="H139" s="74"/>
      <c r="J139" s="74"/>
      <c r="K139" s="74"/>
      <c r="L139" s="74"/>
      <c r="M139" s="74"/>
      <c r="N139" s="74">
        <f t="shared" si="7"/>
        <v>-1576</v>
      </c>
      <c r="O139" s="74">
        <f>SUMIF($B$5:$M$5,'P&amp;L Summary'!$A$6,$B139:$M139)</f>
        <v>380</v>
      </c>
      <c r="P139" s="74">
        <f t="shared" si="8"/>
        <v>-1576</v>
      </c>
    </row>
    <row r="140" ht="12.75" customHeight="1">
      <c r="A140" t="s">
        <v>142</v>
      </c>
      <c r="B140" s="74">
        <v>4500.01</v>
      </c>
      <c r="C140" s="150">
        <v>4500.01</v>
      </c>
      <c r="D140" s="150">
        <v>4500.01</v>
      </c>
      <c r="E140" s="74">
        <v>4500.01</v>
      </c>
      <c r="F140" s="74">
        <v>4500.01</v>
      </c>
      <c r="G140" s="74"/>
      <c r="H140" s="74"/>
      <c r="I140" s="183"/>
      <c r="J140" s="74"/>
      <c r="K140" s="74"/>
      <c r="L140" s="74"/>
      <c r="M140" s="74"/>
      <c r="N140" s="74">
        <f t="shared" si="7"/>
        <v>22500.05</v>
      </c>
      <c r="O140" s="74">
        <f>SUMIF($B$5:$M$5,'P&amp;L Summary'!$A$6,$B140:$M140)</f>
        <v>4500.01</v>
      </c>
      <c r="P140" s="74">
        <f t="shared" si="8"/>
        <v>22500.05</v>
      </c>
    </row>
    <row r="141" ht="12.75" customHeight="1">
      <c r="A141" s="180"/>
      <c r="B141" s="74"/>
      <c r="C141" s="150"/>
      <c r="D141" s="74"/>
      <c r="E141" s="74"/>
      <c r="F141" s="74"/>
      <c r="G141" s="74"/>
      <c r="H141" s="74"/>
      <c r="J141" s="74"/>
      <c r="K141" s="74"/>
      <c r="L141" s="74"/>
      <c r="M141" s="74"/>
      <c r="N141" s="74">
        <f t="shared" si="7"/>
        <v>0</v>
      </c>
      <c r="O141" s="74">
        <f>SUMIF($B$5:$M$5,'P&amp;L Summary'!$A$6,$B141:$M141)</f>
        <v>0</v>
      </c>
      <c r="P141" s="74">
        <f t="shared" si="8"/>
        <v>0</v>
      </c>
    </row>
    <row r="142" ht="12.75" customHeight="1">
      <c r="A142" s="180" t="s">
        <v>231</v>
      </c>
      <c r="B142" s="74"/>
      <c r="C142" s="150"/>
      <c r="D142" s="74"/>
      <c r="E142" s="74"/>
      <c r="F142" s="74"/>
      <c r="G142" s="74"/>
      <c r="H142" s="74"/>
      <c r="J142" s="74"/>
      <c r="K142" s="74"/>
      <c r="L142" s="74"/>
      <c r="M142" s="74"/>
      <c r="N142" s="74">
        <f t="shared" si="7"/>
        <v>0</v>
      </c>
      <c r="O142" s="74">
        <f>SUMIF($B$5:$M$5,'P&amp;L Summary'!$A$6,$B142:$M142)</f>
        <v>0</v>
      </c>
      <c r="P142" s="74">
        <f t="shared" si="8"/>
        <v>0</v>
      </c>
    </row>
    <row r="143" ht="12.75" customHeight="1">
      <c r="A143" s="180"/>
      <c r="B143" s="74"/>
      <c r="C143" s="150"/>
      <c r="D143" s="74"/>
      <c r="E143" s="74"/>
      <c r="F143" s="74"/>
      <c r="G143" s="74"/>
      <c r="H143" s="74"/>
      <c r="J143" s="74"/>
      <c r="K143" s="74"/>
      <c r="L143" s="74"/>
      <c r="M143" s="74"/>
      <c r="N143" s="74">
        <f t="shared" si="7"/>
        <v>0</v>
      </c>
      <c r="O143" s="74">
        <f>SUMIF($B$5:$M$5,'P&amp;L Summary'!$A$6,$B143:$M143)</f>
        <v>0</v>
      </c>
      <c r="P143" s="74">
        <f t="shared" si="8"/>
        <v>0</v>
      </c>
    </row>
    <row r="144" ht="12.75" customHeight="1">
      <c r="A144" s="180"/>
      <c r="B144" s="74"/>
      <c r="C144" s="150"/>
      <c r="D144" s="74"/>
      <c r="E144" s="74"/>
      <c r="F144" s="74"/>
      <c r="G144" s="74"/>
      <c r="H144" s="74"/>
      <c r="J144" s="74"/>
      <c r="K144" s="74"/>
      <c r="L144" s="74"/>
      <c r="M144" s="74"/>
      <c r="N144" s="74">
        <f t="shared" si="7"/>
        <v>0</v>
      </c>
      <c r="O144" s="74">
        <f>SUMIF($B$5:$M$5,'P&amp;L Summary'!$A$6,$B144:$M144)</f>
        <v>0</v>
      </c>
      <c r="P144" s="74">
        <f t="shared" si="8"/>
        <v>0</v>
      </c>
    </row>
    <row r="145" ht="12.75" customHeight="1">
      <c r="A145" s="180"/>
      <c r="B145" s="74"/>
      <c r="C145" s="150"/>
      <c r="D145" s="74"/>
      <c r="E145" s="74"/>
      <c r="F145" s="74"/>
      <c r="G145" s="74"/>
      <c r="H145" s="74"/>
      <c r="J145" s="74"/>
      <c r="K145" s="74"/>
      <c r="L145" s="74"/>
      <c r="M145" s="74"/>
      <c r="N145" s="74">
        <f t="shared" si="7"/>
        <v>0</v>
      </c>
      <c r="O145" s="74">
        <f>SUMIF($B$5:$M$5,'P&amp;L Summary'!$A$6,$B145:$M145)</f>
        <v>0</v>
      </c>
      <c r="P145" s="74">
        <f t="shared" si="8"/>
        <v>0</v>
      </c>
    </row>
    <row r="146" ht="12.75" customHeight="1">
      <c r="A146" s="180" t="s">
        <v>216</v>
      </c>
      <c r="B146" s="74" t="s">
        <v>232</v>
      </c>
      <c r="C146" s="74" t="s">
        <v>232</v>
      </c>
      <c r="D146" s="74" t="s">
        <v>232</v>
      </c>
      <c r="E146" s="74" t="s">
        <v>232</v>
      </c>
      <c r="F146" s="74" t="s">
        <v>232</v>
      </c>
      <c r="G146" s="74" t="s">
        <v>232</v>
      </c>
      <c r="H146" s="74" t="s">
        <v>232</v>
      </c>
      <c r="I146" t="s">
        <v>232</v>
      </c>
      <c r="J146" s="74" t="s">
        <v>232</v>
      </c>
      <c r="K146" s="74" t="s">
        <v>232</v>
      </c>
      <c r="L146" s="74" t="s">
        <v>232</v>
      </c>
      <c r="M146" s="74" t="s">
        <v>232</v>
      </c>
      <c r="N146" s="74">
        <f t="shared" si="7"/>
        <v>0</v>
      </c>
      <c r="O146" s="74">
        <f>SUMIF($B$5:$M$5,'P&amp;L Summary'!$A$6,$B146:$M146)</f>
        <v>0</v>
      </c>
      <c r="P146" s="74">
        <f t="shared" si="8"/>
        <v>0</v>
      </c>
    </row>
    <row r="147" ht="12.75" customHeight="1">
      <c r="A147" s="180" t="s">
        <v>235</v>
      </c>
      <c r="B147" s="74" t="s">
        <v>218</v>
      </c>
      <c r="C147" s="74" t="s">
        <v>218</v>
      </c>
      <c r="D147" s="74" t="s">
        <v>218</v>
      </c>
      <c r="E147" s="74" t="s">
        <v>218</v>
      </c>
      <c r="F147" s="74" t="s">
        <v>218</v>
      </c>
      <c r="G147" s="74" t="s">
        <v>218</v>
      </c>
      <c r="H147" s="74" t="s">
        <v>218</v>
      </c>
      <c r="I147" t="s">
        <v>218</v>
      </c>
      <c r="J147" s="74" t="s">
        <v>218</v>
      </c>
      <c r="K147" s="74" t="s">
        <v>218</v>
      </c>
      <c r="L147" s="74" t="s">
        <v>218</v>
      </c>
      <c r="M147" s="74" t="s">
        <v>218</v>
      </c>
      <c r="N147" s="74">
        <f t="shared" si="7"/>
        <v>0</v>
      </c>
      <c r="O147" s="74">
        <f>SUMIF($B$5:$M$5,'P&amp;L Summary'!$A$6,$B147:$M147)</f>
        <v>0</v>
      </c>
      <c r="P147" s="74">
        <f t="shared" si="8"/>
        <v>0</v>
      </c>
    </row>
    <row r="148" ht="12.75" customHeight="1">
      <c r="A148" s="180"/>
      <c r="B148" s="119">
        <v>43101.0</v>
      </c>
      <c r="C148" s="119">
        <v>43132.0</v>
      </c>
      <c r="D148" s="119">
        <v>43160.0</v>
      </c>
      <c r="E148" s="119">
        <v>43191.0</v>
      </c>
      <c r="F148" s="119">
        <v>43221.0</v>
      </c>
      <c r="G148" s="119">
        <v>43252.0</v>
      </c>
      <c r="H148" s="119">
        <v>43282.0</v>
      </c>
      <c r="I148" s="119">
        <v>43313.0</v>
      </c>
      <c r="J148" s="119">
        <v>43344.0</v>
      </c>
      <c r="K148" s="119">
        <v>43374.0</v>
      </c>
      <c r="L148" s="119">
        <v>43405.0</v>
      </c>
      <c r="M148" s="119">
        <v>43435.0</v>
      </c>
      <c r="N148" s="74"/>
      <c r="O148" s="74"/>
      <c r="P148" s="74"/>
    </row>
    <row r="149" ht="12.75" customHeight="1">
      <c r="A149" s="180"/>
      <c r="B149" s="74" t="s">
        <v>220</v>
      </c>
      <c r="C149" s="74" t="s">
        <v>220</v>
      </c>
      <c r="D149" s="74" t="s">
        <v>220</v>
      </c>
      <c r="E149" s="74" t="s">
        <v>220</v>
      </c>
      <c r="F149" s="74" t="s">
        <v>220</v>
      </c>
      <c r="G149" s="74" t="s">
        <v>220</v>
      </c>
      <c r="H149" s="74" t="s">
        <v>220</v>
      </c>
      <c r="I149" t="s">
        <v>220</v>
      </c>
      <c r="J149" s="74" t="s">
        <v>220</v>
      </c>
      <c r="K149" s="74" t="s">
        <v>220</v>
      </c>
      <c r="L149" s="74" t="s">
        <v>220</v>
      </c>
      <c r="M149" s="74" t="s">
        <v>220</v>
      </c>
      <c r="N149" s="74">
        <f t="shared" ref="N149:N155" si="9">SUM(B149:M149)</f>
        <v>0</v>
      </c>
      <c r="O149" s="74">
        <f>SUMIF($B$5:$M$5,'P&amp;L Summary'!$A$6,$B149:$M149)</f>
        <v>0</v>
      </c>
      <c r="P149" s="74">
        <f t="shared" ref="P149:P155" si="10">SUMIF($B$6:$M$6,"YTD",$B149:$M149)</f>
        <v>0</v>
      </c>
    </row>
    <row r="150" ht="12.75" customHeight="1">
      <c r="A150" s="180" t="s">
        <v>144</v>
      </c>
      <c r="B150" s="74">
        <v>0.0</v>
      </c>
      <c r="C150" s="150">
        <v>0.0</v>
      </c>
      <c r="D150" s="74">
        <v>0.0</v>
      </c>
      <c r="E150" s="74">
        <v>0.0</v>
      </c>
      <c r="F150" s="74">
        <v>0.0</v>
      </c>
      <c r="G150" s="74"/>
      <c r="H150" s="74"/>
      <c r="I150" s="74"/>
      <c r="J150" s="74"/>
      <c r="K150" s="74"/>
      <c r="L150" s="74"/>
      <c r="M150" s="74"/>
      <c r="N150" s="74">
        <f t="shared" si="9"/>
        <v>0</v>
      </c>
      <c r="O150" s="74">
        <f>SUMIF($B$5:$M$5,'P&amp;L Summary'!$A$6,$B150:$M150)</f>
        <v>0</v>
      </c>
      <c r="P150" s="74">
        <f t="shared" si="10"/>
        <v>0</v>
      </c>
    </row>
    <row r="151" ht="12.75" customHeight="1">
      <c r="A151" s="180" t="s">
        <v>146</v>
      </c>
      <c r="B151" s="74">
        <v>0.0</v>
      </c>
      <c r="C151" s="150">
        <v>0.0</v>
      </c>
      <c r="D151" s="74">
        <v>0.0</v>
      </c>
      <c r="E151" s="74">
        <v>0.0</v>
      </c>
      <c r="F151" s="74">
        <v>0.0</v>
      </c>
      <c r="G151" s="74"/>
      <c r="H151" s="74"/>
      <c r="I151" s="74"/>
      <c r="J151" s="74"/>
      <c r="K151" s="74"/>
      <c r="L151" s="74"/>
      <c r="M151" s="74"/>
      <c r="N151" s="74">
        <f t="shared" si="9"/>
        <v>0</v>
      </c>
      <c r="O151" s="74">
        <f>SUMIF($B$5:$M$5,'P&amp;L Summary'!$A$6,$B151:$M151)</f>
        <v>0</v>
      </c>
      <c r="P151" s="74">
        <f t="shared" si="10"/>
        <v>0</v>
      </c>
    </row>
    <row r="152" ht="12.75" customHeight="1">
      <c r="A152" s="180" t="s">
        <v>148</v>
      </c>
      <c r="B152" s="183">
        <v>6834.29</v>
      </c>
      <c r="C152" s="150">
        <v>6651.51</v>
      </c>
      <c r="D152" s="183">
        <v>3494.48</v>
      </c>
      <c r="E152" s="183">
        <v>9877.7</v>
      </c>
      <c r="F152" s="183">
        <v>1442.8</v>
      </c>
      <c r="G152" s="183"/>
      <c r="H152" s="183"/>
      <c r="I152" s="183"/>
      <c r="L152" s="183"/>
      <c r="M152" s="183"/>
      <c r="N152" s="74">
        <f t="shared" si="9"/>
        <v>28300.78</v>
      </c>
      <c r="O152" s="74">
        <f>SUMIF($B$5:$M$5,'P&amp;L Summary'!$A$6,$B152:$M152)</f>
        <v>1442.8</v>
      </c>
      <c r="P152" s="74">
        <f t="shared" si="10"/>
        <v>28300.78</v>
      </c>
    </row>
    <row r="153" ht="12.75" customHeight="1">
      <c r="A153" s="180" t="s">
        <v>149</v>
      </c>
      <c r="B153" s="183">
        <v>-3353.42</v>
      </c>
      <c r="C153" s="150">
        <v>-2751.08</v>
      </c>
      <c r="D153">
        <v>-188.89</v>
      </c>
      <c r="E153" s="183">
        <v>-7073.28</v>
      </c>
      <c r="F153" s="183">
        <v>1512.13</v>
      </c>
      <c r="H153" s="183"/>
      <c r="I153" s="183"/>
      <c r="L153" s="183"/>
      <c r="M153" s="183"/>
      <c r="N153" s="74">
        <f t="shared" si="9"/>
        <v>-11854.54</v>
      </c>
      <c r="O153" s="74">
        <f>SUMIF($B$5:$M$5,'P&amp;L Summary'!$A$6,$B153:$M153)</f>
        <v>1512.13</v>
      </c>
      <c r="P153" s="74">
        <f t="shared" si="10"/>
        <v>-11854.54</v>
      </c>
    </row>
    <row r="154" ht="12.75" customHeight="1">
      <c r="A154" s="180" t="s">
        <v>151</v>
      </c>
      <c r="B154">
        <v>0.0</v>
      </c>
      <c r="C154" s="150">
        <v>0.0</v>
      </c>
      <c r="D154">
        <v>0.0</v>
      </c>
      <c r="E154">
        <v>0.0</v>
      </c>
      <c r="F154">
        <v>0.0</v>
      </c>
      <c r="N154" s="74">
        <f t="shared" si="9"/>
        <v>0</v>
      </c>
      <c r="O154" s="74">
        <f>SUMIF($B$5:$M$5,'P&amp;L Summary'!$A$6,$B154:$M154)</f>
        <v>0</v>
      </c>
      <c r="P154" s="74">
        <f t="shared" si="10"/>
        <v>0</v>
      </c>
    </row>
    <row r="155" ht="12.75" customHeight="1">
      <c r="A155" s="180" t="s">
        <v>152</v>
      </c>
      <c r="B155" s="183">
        <v>197.42</v>
      </c>
      <c r="C155" s="150">
        <v>183.18</v>
      </c>
      <c r="D155">
        <v>199.42</v>
      </c>
      <c r="E155">
        <v>195.3</v>
      </c>
      <c r="F155">
        <v>-37.53</v>
      </c>
      <c r="M155" s="183"/>
      <c r="N155" s="74">
        <f t="shared" si="9"/>
        <v>737.79</v>
      </c>
      <c r="O155" s="74">
        <f>SUMIF($B$5:$M$5,'P&amp;L Summary'!$A$6,$B155:$M155)</f>
        <v>-37.53</v>
      </c>
      <c r="P155" s="74">
        <f t="shared" si="10"/>
        <v>737.79</v>
      </c>
    </row>
    <row r="156" ht="12.75" customHeight="1">
      <c r="A156" s="180"/>
      <c r="P156" s="74"/>
    </row>
    <row r="157" ht="12.75" customHeight="1">
      <c r="A157" s="180"/>
      <c r="P157" s="74"/>
    </row>
    <row r="158" ht="12.75" customHeight="1">
      <c r="A158" s="180"/>
      <c r="P158" s="74"/>
    </row>
    <row r="159" ht="12.75" customHeight="1">
      <c r="A159" s="180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P159" s="74"/>
    </row>
    <row r="160" ht="12.75" customHeight="1">
      <c r="A160" s="180"/>
      <c r="P160" s="74"/>
    </row>
    <row r="161" ht="12.75" customHeight="1">
      <c r="A161" s="180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</row>
    <row r="162" ht="12.75" customHeight="1">
      <c r="A162" s="180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</row>
    <row r="163" ht="12.75" customHeight="1">
      <c r="A163" s="180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</row>
    <row r="164" ht="12.75" customHeight="1">
      <c r="A164" s="180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P164" s="74"/>
    </row>
    <row r="165" ht="12.75" customHeight="1">
      <c r="A165" s="180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</row>
    <row r="166" ht="12.75" customHeight="1"/>
    <row r="167" ht="12.75" customHeight="1"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</row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34.29"/>
    <col customWidth="1" min="2" max="3" width="11.0"/>
    <col customWidth="1" min="4" max="4" width="12.43"/>
    <col customWidth="1" min="5" max="5" width="13.14"/>
    <col customWidth="1" min="6" max="13" width="11.0"/>
    <col customWidth="1" min="14" max="14" width="14.14"/>
    <col customWidth="1" min="15" max="15" width="9.57"/>
    <col customWidth="1" min="16" max="16" width="10.57"/>
    <col customWidth="1" min="17" max="26" width="8.71"/>
  </cols>
  <sheetData>
    <row r="1" ht="12.75" hidden="1" customHeight="1">
      <c r="A1" s="180"/>
      <c r="D1" t="s">
        <v>205</v>
      </c>
      <c r="E1" t="s">
        <v>206</v>
      </c>
      <c r="M1" t="s">
        <v>207</v>
      </c>
      <c r="N1" t="s">
        <v>208</v>
      </c>
      <c r="O1" s="74"/>
      <c r="P1" s="74"/>
    </row>
    <row r="2" ht="12.75" hidden="1" customHeight="1">
      <c r="A2" s="180"/>
      <c r="D2" t="s">
        <v>209</v>
      </c>
      <c r="E2" t="s">
        <v>210</v>
      </c>
      <c r="F2" t="s">
        <v>211</v>
      </c>
      <c r="N2" t="s">
        <v>212</v>
      </c>
      <c r="O2" s="74"/>
      <c r="P2" s="74"/>
    </row>
    <row r="3" ht="12.75" hidden="1" customHeight="1">
      <c r="A3" s="180"/>
      <c r="D3" t="s">
        <v>213</v>
      </c>
      <c r="E3" t="s">
        <v>214</v>
      </c>
      <c r="F3" t="s">
        <v>215</v>
      </c>
      <c r="O3" s="74"/>
      <c r="P3" s="74"/>
    </row>
    <row r="4" ht="12.75" hidden="1" customHeight="1">
      <c r="A4" s="180" t="s">
        <v>35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O4" s="194">
        <f>SUMIF($B$5:$M$5,'P&amp;L Summary'!$A$6,$B$4:$M$4)</f>
        <v>0</v>
      </c>
      <c r="P4" s="194">
        <f>SUMIF($B$6:$M$6,"YTD",$B$4:$M$4)</f>
        <v>0</v>
      </c>
    </row>
    <row r="5" ht="12.75" hidden="1" customHeight="1">
      <c r="A5" s="180" t="s">
        <v>216</v>
      </c>
      <c r="B5">
        <v>1.0</v>
      </c>
      <c r="C5">
        <v>2.0</v>
      </c>
      <c r="D5">
        <v>3.0</v>
      </c>
      <c r="E5">
        <v>4.0</v>
      </c>
      <c r="F5">
        <v>5.0</v>
      </c>
      <c r="G5">
        <v>6.0</v>
      </c>
      <c r="H5">
        <v>7.0</v>
      </c>
      <c r="I5">
        <v>8.0</v>
      </c>
      <c r="J5">
        <v>9.0</v>
      </c>
      <c r="K5">
        <v>10.0</v>
      </c>
      <c r="L5">
        <v>11.0</v>
      </c>
      <c r="M5">
        <v>12.0</v>
      </c>
      <c r="O5" s="74"/>
      <c r="P5" s="74"/>
    </row>
    <row r="6" ht="12.75" hidden="1" customHeight="1">
      <c r="A6" s="180" t="s">
        <v>217</v>
      </c>
      <c r="B6" s="182" t="str">
        <f>IF('P&amp;L Summary'!$A$6&gt;=MONTH(B8),"YTD","")</f>
        <v>YTD</v>
      </c>
      <c r="C6" t="str">
        <f>IF('P&amp;L Summary'!$A$6&gt;=MONTH(C8),"YTD","")</f>
        <v>YTD</v>
      </c>
      <c r="D6" t="str">
        <f>IF('P&amp;L Summary'!$A$6&gt;=MONTH(D8),"YTD","")</f>
        <v>YTD</v>
      </c>
      <c r="E6" t="str">
        <f>IF('P&amp;L Summary'!$A$6&gt;=MONTH(E8),"YTD","")</f>
        <v>YTD</v>
      </c>
      <c r="F6" t="str">
        <f>IF('P&amp;L Summary'!$A$6&gt;=MONTH(F8),"YTD","")</f>
        <v>YTD</v>
      </c>
      <c r="G6" t="str">
        <f>IF('P&amp;L Summary'!$A$6&gt;=MONTH(G8),"YTD","")</f>
        <v/>
      </c>
      <c r="H6" t="str">
        <f>IF('P&amp;L Summary'!$A$6&gt;=MONTH(H8),"YTD","")</f>
        <v/>
      </c>
      <c r="I6" t="str">
        <f>IF('P&amp;L Summary'!$A$6&gt;=MONTH(I8),"YTD","")</f>
        <v/>
      </c>
      <c r="J6" t="str">
        <f>IF('P&amp;L Summary'!$A$6&gt;=MONTH(J8),"YTD","")</f>
        <v/>
      </c>
      <c r="K6" t="str">
        <f>IF('P&amp;L Summary'!$A$6&gt;=MONTH(K8),"YTD","")</f>
        <v/>
      </c>
      <c r="L6" t="str">
        <f>IF('P&amp;L Summary'!$A$6&gt;=MONTH(L8),"YTD","")</f>
        <v/>
      </c>
      <c r="M6" t="str">
        <f>IF('P&amp;L Summary'!$A$6&gt;=MONTH(M8),"YTD","")</f>
        <v/>
      </c>
      <c r="O6" s="74"/>
      <c r="P6" s="74"/>
    </row>
    <row r="7" ht="12.75" customHeight="1">
      <c r="A7" s="195" t="s">
        <v>2</v>
      </c>
      <c r="B7" t="s">
        <v>236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  <c r="N7" t="s">
        <v>40</v>
      </c>
      <c r="O7" s="74" t="s">
        <v>219</v>
      </c>
      <c r="P7" s="74" t="s">
        <v>4</v>
      </c>
    </row>
    <row r="8" ht="12.75" customHeight="1">
      <c r="A8" s="196" t="s">
        <v>237</v>
      </c>
      <c r="B8" s="119">
        <v>43101.0</v>
      </c>
      <c r="C8" s="119">
        <v>43132.0</v>
      </c>
      <c r="D8" s="119">
        <v>43160.0</v>
      </c>
      <c r="E8" s="119">
        <v>43191.0</v>
      </c>
      <c r="F8" s="119">
        <v>43221.0</v>
      </c>
      <c r="G8" s="119">
        <v>43252.0</v>
      </c>
      <c r="H8" s="119">
        <v>43282.0</v>
      </c>
      <c r="I8" s="119">
        <v>43313.0</v>
      </c>
      <c r="J8" s="119">
        <v>43344.0</v>
      </c>
      <c r="K8" s="119">
        <v>43374.0</v>
      </c>
      <c r="L8" s="119">
        <v>43405.0</v>
      </c>
      <c r="M8" s="119">
        <v>43435.0</v>
      </c>
      <c r="O8" s="74"/>
      <c r="P8" s="74"/>
    </row>
    <row r="9" ht="12.75" hidden="1" customHeight="1">
      <c r="A9" s="180"/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223</v>
      </c>
      <c r="O9" s="74"/>
      <c r="P9" s="74"/>
    </row>
    <row r="10" ht="3.0" customHeight="1">
      <c r="A10" s="180" t="s">
        <v>15</v>
      </c>
      <c r="B10" s="74">
        <v>315000.0</v>
      </c>
      <c r="C10" s="74">
        <v>440000.0</v>
      </c>
      <c r="D10" s="74">
        <v>430000.0</v>
      </c>
      <c r="E10" s="74">
        <v>400000.0</v>
      </c>
      <c r="F10" s="74">
        <v>430000.0</v>
      </c>
      <c r="G10" s="74">
        <v>420000.0</v>
      </c>
      <c r="H10" s="74">
        <v>400000.0</v>
      </c>
      <c r="I10" s="74">
        <v>420000.0</v>
      </c>
      <c r="J10" s="74">
        <v>390000.0</v>
      </c>
      <c r="K10" s="74">
        <v>440000.0</v>
      </c>
      <c r="L10" s="74">
        <v>420000.0</v>
      </c>
      <c r="M10" s="74">
        <v>340000.0</v>
      </c>
      <c r="N10" s="74">
        <v>4845000.0</v>
      </c>
      <c r="O10" s="74">
        <f>SUMIF($B$5:$M$5,'P&amp;L Summary'!$A$6,$B10:$M10)</f>
        <v>430000</v>
      </c>
      <c r="P10" s="74">
        <f t="shared" ref="P10:P23" si="1">SUMIF($B$6:$M$6,"YTD",$B10:$M10)</f>
        <v>2015000</v>
      </c>
    </row>
    <row r="11" ht="12.75" customHeight="1">
      <c r="A11" s="180" t="s">
        <v>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 s="74">
        <f>SUMIF($B$5:$M$5,'P&amp;L Summary'!$A$6,$B11:$M11)</f>
        <v>0</v>
      </c>
      <c r="P11" s="74">
        <f t="shared" si="1"/>
        <v>0</v>
      </c>
    </row>
    <row r="12" ht="12.75" customHeight="1">
      <c r="A12" s="180" t="s">
        <v>19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 s="74">
        <f>SUMIF($B$5:$M$5,'P&amp;L Summary'!$A$6,$B12:$M12)</f>
        <v>0</v>
      </c>
      <c r="P12" s="74">
        <f t="shared" si="1"/>
        <v>0</v>
      </c>
    </row>
    <row r="13" ht="12.75" customHeight="1">
      <c r="A13" s="180" t="s">
        <v>20</v>
      </c>
      <c r="B13" s="74">
        <v>315000.0</v>
      </c>
      <c r="C13" s="74">
        <v>440000.0</v>
      </c>
      <c r="D13" s="74">
        <v>430000.0</v>
      </c>
      <c r="E13" s="74">
        <v>400000.0</v>
      </c>
      <c r="F13" s="74">
        <v>430000.0</v>
      </c>
      <c r="G13" s="74">
        <v>420000.0</v>
      </c>
      <c r="H13" s="74">
        <v>400000.0</v>
      </c>
      <c r="I13" s="74">
        <v>420000.0</v>
      </c>
      <c r="J13" s="74">
        <v>390000.0</v>
      </c>
      <c r="K13" s="74">
        <v>440000.0</v>
      </c>
      <c r="L13" s="74">
        <v>420000.0</v>
      </c>
      <c r="M13" s="74">
        <v>340000.0</v>
      </c>
      <c r="N13" s="74">
        <v>4845000.0</v>
      </c>
      <c r="O13" s="74">
        <f>SUMIF($B$5:$M$5,'P&amp;L Summary'!$A$6,$B13:$M13)</f>
        <v>430000</v>
      </c>
      <c r="P13" s="74">
        <f t="shared" si="1"/>
        <v>2015000</v>
      </c>
    </row>
    <row r="14" ht="12.75" customHeight="1">
      <c r="A14" s="180" t="s">
        <v>23</v>
      </c>
      <c r="B14" s="74">
        <v>17414.0</v>
      </c>
      <c r="C14" s="74">
        <v>22024.0</v>
      </c>
      <c r="D14" s="74">
        <v>27087.0</v>
      </c>
      <c r="E14" s="74">
        <v>15788.0</v>
      </c>
      <c r="F14" s="74">
        <v>20445.0</v>
      </c>
      <c r="G14" s="74">
        <v>16973.0</v>
      </c>
      <c r="H14" s="74">
        <v>27150.0</v>
      </c>
      <c r="I14" s="74">
        <v>25180.0</v>
      </c>
      <c r="J14" s="74">
        <v>25180.0</v>
      </c>
      <c r="K14" s="74">
        <v>25180.0</v>
      </c>
      <c r="L14" s="74">
        <v>25180.0</v>
      </c>
      <c r="M14" s="74">
        <v>25180.0</v>
      </c>
      <c r="N14" s="74">
        <v>272780.0</v>
      </c>
      <c r="O14" s="74">
        <f>SUMIF($B$5:$M$5,'P&amp;L Summary'!$A$6,$B14:$M14)</f>
        <v>20445</v>
      </c>
      <c r="P14" s="74">
        <f t="shared" si="1"/>
        <v>102758</v>
      </c>
    </row>
    <row r="15" ht="12.75" customHeight="1">
      <c r="A15" s="180" t="s">
        <v>25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 s="74">
        <f>SUMIF($B$5:$M$5,'P&amp;L Summary'!$A$6,$B15:$M15)</f>
        <v>0</v>
      </c>
      <c r="P15" s="74">
        <f t="shared" si="1"/>
        <v>0</v>
      </c>
    </row>
    <row r="16" ht="12.75" customHeight="1">
      <c r="A16" s="180" t="s">
        <v>27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 s="74">
        <f>SUMIF($B$5:$M$5,'P&amp;L Summary'!$A$6,$B16:$M16)</f>
        <v>0</v>
      </c>
      <c r="P16" s="74">
        <f t="shared" si="1"/>
        <v>0</v>
      </c>
    </row>
    <row r="17" ht="12.75" customHeight="1">
      <c r="A17" s="180" t="s">
        <v>28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 s="74">
        <f>SUMIF($B$5:$M$5,'P&amp;L Summary'!$A$6,$B17:$M17)</f>
        <v>0</v>
      </c>
      <c r="P17" s="74">
        <f t="shared" si="1"/>
        <v>0</v>
      </c>
    </row>
    <row r="18" ht="12.75" customHeight="1">
      <c r="A18" s="180" t="s">
        <v>30</v>
      </c>
      <c r="B18" s="74">
        <v>17414.0</v>
      </c>
      <c r="C18" s="74">
        <v>22024.0</v>
      </c>
      <c r="D18" s="74">
        <v>27087.0</v>
      </c>
      <c r="E18" s="74">
        <v>15788.0</v>
      </c>
      <c r="F18" s="74">
        <v>20445.0</v>
      </c>
      <c r="G18" s="74">
        <v>16973.0</v>
      </c>
      <c r="H18" s="74">
        <v>27150.0</v>
      </c>
      <c r="I18" s="74">
        <v>25180.0</v>
      </c>
      <c r="J18" s="74">
        <v>25180.0</v>
      </c>
      <c r="K18" s="74">
        <v>25180.0</v>
      </c>
      <c r="L18" s="74">
        <v>25180.0</v>
      </c>
      <c r="M18" s="74">
        <v>25180.0</v>
      </c>
      <c r="N18" s="74">
        <v>272780.0</v>
      </c>
      <c r="O18" s="74">
        <f>SUMIF($B$5:$M$5,'P&amp;L Summary'!$A$6,$B18:$M18)</f>
        <v>20445</v>
      </c>
      <c r="P18" s="74">
        <f t="shared" si="1"/>
        <v>102758</v>
      </c>
    </row>
    <row r="19" ht="12.75" customHeight="1">
      <c r="O19" s="74">
        <f>SUMIF($B$5:$M$5,'P&amp;L Summary'!$A$6,$B19:$M19)</f>
        <v>0</v>
      </c>
      <c r="P19" s="74">
        <f t="shared" si="1"/>
        <v>0</v>
      </c>
    </row>
    <row r="20" ht="12.75" customHeight="1">
      <c r="A20" s="180" t="s">
        <v>32</v>
      </c>
      <c r="B20" s="74">
        <v>332414.0</v>
      </c>
      <c r="C20" s="74">
        <v>462024.0</v>
      </c>
      <c r="D20" s="74">
        <v>457087.0</v>
      </c>
      <c r="E20" s="74">
        <v>415788.0</v>
      </c>
      <c r="F20" s="74">
        <v>450445.0</v>
      </c>
      <c r="G20" s="74">
        <v>436973.0</v>
      </c>
      <c r="H20" s="74">
        <v>427150.0</v>
      </c>
      <c r="I20" s="74">
        <v>445180.0</v>
      </c>
      <c r="J20" s="74">
        <v>415180.0</v>
      </c>
      <c r="K20" s="74">
        <v>465180.0</v>
      </c>
      <c r="L20" s="74">
        <v>445180.0</v>
      </c>
      <c r="M20" s="74">
        <v>365180.0</v>
      </c>
      <c r="N20" s="74">
        <v>5117780.0</v>
      </c>
      <c r="O20" s="74">
        <f>SUMIF($B$5:$M$5,'P&amp;L Summary'!$A$6,$B20:$M20)</f>
        <v>450445</v>
      </c>
      <c r="P20" s="74">
        <f t="shared" si="1"/>
        <v>2117758</v>
      </c>
    </row>
    <row r="21" ht="12.75" customHeight="1">
      <c r="O21" s="74">
        <f>SUMIF($B$5:$M$5,'P&amp;L Summary'!$A$6,$B21:$M21)</f>
        <v>0</v>
      </c>
      <c r="P21" s="74">
        <f t="shared" si="1"/>
        <v>0</v>
      </c>
    </row>
    <row r="22" ht="12.75" customHeight="1">
      <c r="A22" s="180" t="s">
        <v>38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 s="74">
        <f>SUMIF($B$5:$M$5,'P&amp;L Summary'!$A$6,$B22:$M22)</f>
        <v>0</v>
      </c>
      <c r="P22" s="74">
        <f t="shared" si="1"/>
        <v>0</v>
      </c>
    </row>
    <row r="23" ht="12.75" customHeight="1">
      <c r="A23" s="180" t="s">
        <v>41</v>
      </c>
      <c r="B23" s="74">
        <v>117907.0</v>
      </c>
      <c r="C23" s="74">
        <v>163880.0</v>
      </c>
      <c r="D23" s="74">
        <v>162128.0</v>
      </c>
      <c r="E23" s="74">
        <v>147480.0</v>
      </c>
      <c r="F23" s="74">
        <v>159772.0</v>
      </c>
      <c r="G23" s="74">
        <v>154994.0</v>
      </c>
      <c r="H23" s="74">
        <v>151510.0</v>
      </c>
      <c r="I23" s="74">
        <v>157905.0</v>
      </c>
      <c r="J23" s="74">
        <v>147264.0</v>
      </c>
      <c r="K23" s="74">
        <v>164999.0</v>
      </c>
      <c r="L23" s="74">
        <v>157905.0</v>
      </c>
      <c r="M23" s="74">
        <v>129529.0</v>
      </c>
      <c r="N23" s="74">
        <v>1815271.0</v>
      </c>
      <c r="O23" s="74">
        <f>SUMIF($B$5:$M$5,'P&amp;L Summary'!$A$6,$B23:$M23)</f>
        <v>159772</v>
      </c>
      <c r="P23" s="74">
        <f t="shared" si="1"/>
        <v>751167</v>
      </c>
    </row>
    <row r="24" ht="12.75" customHeight="1">
      <c r="A24" s="180" t="s">
        <v>42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 s="74"/>
      <c r="P24" s="74"/>
    </row>
    <row r="25" ht="12.75" customHeight="1">
      <c r="A25" s="180" t="s">
        <v>43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 s="74">
        <f>SUMIF($B$5:$M$5,'P&amp;L Summary'!$A$6,$B25:$M25)</f>
        <v>0</v>
      </c>
      <c r="P25" s="74">
        <f t="shared" ref="P25:P58" si="2">SUMIF($B$6:$M$6,"YTD",$B25:$M25)</f>
        <v>0</v>
      </c>
    </row>
    <row r="26" ht="12.75" customHeight="1">
      <c r="O26" s="74">
        <f>SUMIF($B$5:$M$5,'P&amp;L Summary'!$A$6,$B26:$M26)</f>
        <v>0</v>
      </c>
      <c r="P26" s="74">
        <f t="shared" si="2"/>
        <v>0</v>
      </c>
    </row>
    <row r="27" ht="12.75" customHeight="1">
      <c r="A27" s="180" t="s">
        <v>46</v>
      </c>
      <c r="B27" s="74">
        <v>117907.0</v>
      </c>
      <c r="C27" s="74">
        <v>163880.0</v>
      </c>
      <c r="D27" s="74">
        <v>162128.0</v>
      </c>
      <c r="E27" s="74">
        <v>147480.0</v>
      </c>
      <c r="F27" s="74">
        <v>159772.0</v>
      </c>
      <c r="G27" s="74">
        <v>154994.0</v>
      </c>
      <c r="H27" s="74">
        <v>151510.0</v>
      </c>
      <c r="I27" s="74">
        <v>157905.0</v>
      </c>
      <c r="J27" s="74">
        <v>147264.0</v>
      </c>
      <c r="K27" s="74">
        <v>164999.0</v>
      </c>
      <c r="L27" s="74">
        <v>157905.0</v>
      </c>
      <c r="M27" s="74">
        <v>129529.0</v>
      </c>
      <c r="N27" s="74">
        <v>1815271.0</v>
      </c>
      <c r="O27" s="74">
        <f>SUMIF($B$5:$M$5,'P&amp;L Summary'!$A$6,$B27:$M27)</f>
        <v>159772</v>
      </c>
      <c r="P27" s="74">
        <f t="shared" si="2"/>
        <v>751167</v>
      </c>
    </row>
    <row r="28" ht="12.75" customHeight="1">
      <c r="O28" s="74">
        <f>SUMIF($B$5:$M$5,'P&amp;L Summary'!$A$6,$B28:$M28)</f>
        <v>0</v>
      </c>
      <c r="P28" s="74">
        <f t="shared" si="2"/>
        <v>0</v>
      </c>
    </row>
    <row r="29" ht="12.75" customHeight="1">
      <c r="A29" s="180" t="s">
        <v>48</v>
      </c>
      <c r="B29" s="74">
        <v>214507.0</v>
      </c>
      <c r="C29" s="74">
        <v>298145.0</v>
      </c>
      <c r="D29" s="74">
        <v>294958.0</v>
      </c>
      <c r="E29" s="74">
        <v>268309.0</v>
      </c>
      <c r="F29" s="74">
        <v>290672.0</v>
      </c>
      <c r="G29" s="74">
        <v>281979.0</v>
      </c>
      <c r="H29" s="74">
        <v>275641.0</v>
      </c>
      <c r="I29" s="74">
        <v>287275.0</v>
      </c>
      <c r="J29" s="74">
        <v>267916.0</v>
      </c>
      <c r="K29" s="74">
        <v>300181.0</v>
      </c>
      <c r="L29" s="74">
        <v>287275.0</v>
      </c>
      <c r="M29" s="74">
        <v>235651.0</v>
      </c>
      <c r="N29" s="74">
        <v>3302509.0</v>
      </c>
      <c r="O29" s="74">
        <f>SUMIF($B$5:$M$5,'P&amp;L Summary'!$A$6,$B29:$M29)</f>
        <v>290672</v>
      </c>
      <c r="P29" s="74">
        <f t="shared" si="2"/>
        <v>1366591</v>
      </c>
    </row>
    <row r="30" ht="12.75" customHeight="1">
      <c r="O30" s="74">
        <f>SUMIF($B$5:$M$5,'P&amp;L Summary'!$A$6,$B30:$M30)</f>
        <v>0</v>
      </c>
      <c r="P30" s="74">
        <f t="shared" si="2"/>
        <v>0</v>
      </c>
    </row>
    <row r="31" ht="12.75" customHeight="1">
      <c r="A31" s="180" t="s">
        <v>2</v>
      </c>
      <c r="B31" s="74">
        <v>173602.0</v>
      </c>
      <c r="C31" s="74">
        <v>177966.0</v>
      </c>
      <c r="D31" s="74">
        <v>181120.0</v>
      </c>
      <c r="E31" s="74">
        <v>202472.0</v>
      </c>
      <c r="F31" s="74">
        <v>199197.0</v>
      </c>
      <c r="G31" s="74">
        <v>194961.0</v>
      </c>
      <c r="H31" s="74">
        <v>194469.0</v>
      </c>
      <c r="I31" s="74">
        <v>197122.0</v>
      </c>
      <c r="J31" s="74">
        <v>196811.0</v>
      </c>
      <c r="K31" s="74">
        <v>203017.0</v>
      </c>
      <c r="L31" s="74">
        <v>214117.0</v>
      </c>
      <c r="M31" s="74">
        <v>222001.0</v>
      </c>
      <c r="N31" s="74">
        <v>2356856.0</v>
      </c>
      <c r="O31" s="74">
        <f>SUMIF($B$5:$M$5,'P&amp;L Summary'!$A$6,$B31:$M31)</f>
        <v>199197</v>
      </c>
      <c r="P31" s="74">
        <f t="shared" si="2"/>
        <v>934357</v>
      </c>
    </row>
    <row r="32" ht="12.75" customHeight="1">
      <c r="O32" s="74">
        <f>SUMIF($B$5:$M$5,'P&amp;L Summary'!$A$6,$B32:$M32)</f>
        <v>0</v>
      </c>
      <c r="P32" s="74">
        <f t="shared" si="2"/>
        <v>0</v>
      </c>
    </row>
    <row r="33" ht="12.75" customHeight="1">
      <c r="A33" s="180" t="s">
        <v>50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 s="74">
        <f>SUMIF($B$5:$M$5,'P&amp;L Summary'!$A$6,$B33:$M33)</f>
        <v>0</v>
      </c>
      <c r="P33" s="74">
        <f t="shared" si="2"/>
        <v>0</v>
      </c>
    </row>
    <row r="34" ht="12.75" customHeight="1">
      <c r="O34" s="74">
        <f>SUMIF($B$5:$M$5,'P&amp;L Summary'!$A$6,$B34:$M34)</f>
        <v>0</v>
      </c>
      <c r="P34" s="74">
        <f t="shared" si="2"/>
        <v>0</v>
      </c>
    </row>
    <row r="35" ht="12.75" customHeight="1">
      <c r="A35" s="180" t="s">
        <v>51</v>
      </c>
      <c r="B35" s="74">
        <v>40905.0</v>
      </c>
      <c r="C35" s="74">
        <v>120179.0</v>
      </c>
      <c r="D35" s="74">
        <v>113838.0</v>
      </c>
      <c r="E35" s="74">
        <v>65837.0</v>
      </c>
      <c r="F35" s="74">
        <v>91475.0</v>
      </c>
      <c r="G35" s="74">
        <v>87018.0</v>
      </c>
      <c r="H35" s="74">
        <v>81171.0</v>
      </c>
      <c r="I35" s="74">
        <v>90153.0</v>
      </c>
      <c r="J35" s="74">
        <v>71105.0</v>
      </c>
      <c r="K35" s="74">
        <v>97163.0</v>
      </c>
      <c r="L35" s="74">
        <v>73158.0</v>
      </c>
      <c r="M35" s="74">
        <v>13650.0</v>
      </c>
      <c r="N35" s="74">
        <v>945652.0</v>
      </c>
      <c r="O35" s="74">
        <f>SUMIF($B$5:$M$5,'P&amp;L Summary'!$A$6,$B35:$M35)</f>
        <v>91475</v>
      </c>
      <c r="P35" s="74">
        <f t="shared" si="2"/>
        <v>432234</v>
      </c>
    </row>
    <row r="36" ht="12.75" customHeight="1">
      <c r="O36" s="74">
        <f>SUMIF($B$5:$M$5,'P&amp;L Summary'!$A$6,$B36:$M36)</f>
        <v>0</v>
      </c>
      <c r="P36" s="74">
        <f t="shared" si="2"/>
        <v>0</v>
      </c>
    </row>
    <row r="37" ht="12.75" customHeight="1">
      <c r="A37" s="180" t="s">
        <v>52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 s="74">
        <f>SUMIF($B$5:$M$5,'P&amp;L Summary'!$A$6,$B37:$M37)</f>
        <v>0</v>
      </c>
      <c r="P37" s="74">
        <f t="shared" si="2"/>
        <v>0</v>
      </c>
    </row>
    <row r="38" ht="12.75" customHeight="1">
      <c r="O38" s="74">
        <f>SUMIF($B$5:$M$5,'P&amp;L Summary'!$A$6,$B38:$M38)</f>
        <v>0</v>
      </c>
      <c r="P38" s="74">
        <f t="shared" si="2"/>
        <v>0</v>
      </c>
    </row>
    <row r="39" ht="12.75" customHeight="1">
      <c r="A39" s="180" t="s">
        <v>226</v>
      </c>
      <c r="B39" s="74">
        <v>40905.0</v>
      </c>
      <c r="C39" s="74">
        <v>120179.0</v>
      </c>
      <c r="D39" s="74">
        <v>113838.0</v>
      </c>
      <c r="E39" s="74">
        <v>65837.0</v>
      </c>
      <c r="F39" s="74">
        <v>91475.0</v>
      </c>
      <c r="G39" s="74">
        <v>87018.0</v>
      </c>
      <c r="H39" s="74">
        <v>81171.0</v>
      </c>
      <c r="I39" s="74">
        <v>90153.0</v>
      </c>
      <c r="J39" s="74">
        <v>71105.0</v>
      </c>
      <c r="K39" s="74">
        <v>97163.0</v>
      </c>
      <c r="L39" s="74">
        <v>73158.0</v>
      </c>
      <c r="M39" s="74">
        <v>13650.0</v>
      </c>
      <c r="N39" s="74">
        <v>945652.0</v>
      </c>
      <c r="O39" s="74">
        <f>SUMIF($B$5:$M$5,'P&amp;L Summary'!$A$6,$B39:$M39)</f>
        <v>91475</v>
      </c>
      <c r="P39" s="74">
        <f t="shared" si="2"/>
        <v>432234</v>
      </c>
    </row>
    <row r="40" ht="12.75" customHeight="1">
      <c r="O40" s="74">
        <f>SUMIF($B$5:$M$5,'P&amp;L Summary'!$A$6,$B40:$M40)</f>
        <v>0</v>
      </c>
      <c r="P40" s="74">
        <f t="shared" si="2"/>
        <v>0</v>
      </c>
    </row>
    <row r="41" ht="12.75" customHeight="1">
      <c r="A41" s="180" t="s">
        <v>44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 s="74">
        <f>SUMIF($B$5:$M$5,'P&amp;L Summary'!$A$6,$B41:$M41)</f>
        <v>0</v>
      </c>
      <c r="P41" s="74">
        <f t="shared" si="2"/>
        <v>0</v>
      </c>
    </row>
    <row r="42" ht="12.75" customHeight="1">
      <c r="O42" s="74">
        <f>SUMIF($B$5:$M$5,'P&amp;L Summary'!$A$6,$B42:$M42)</f>
        <v>0</v>
      </c>
      <c r="P42" s="74">
        <f t="shared" si="2"/>
        <v>0</v>
      </c>
    </row>
    <row r="43" ht="12.75" customHeight="1">
      <c r="A43" s="180" t="s">
        <v>54</v>
      </c>
      <c r="B43" s="74">
        <v>40905.0</v>
      </c>
      <c r="C43" s="74">
        <v>120179.0</v>
      </c>
      <c r="D43" s="74">
        <v>113838.0</v>
      </c>
      <c r="E43" s="74">
        <v>65837.0</v>
      </c>
      <c r="F43" s="74">
        <v>91475.0</v>
      </c>
      <c r="G43" s="74">
        <v>87018.0</v>
      </c>
      <c r="H43" s="74">
        <v>81171.0</v>
      </c>
      <c r="I43" s="74">
        <v>90153.0</v>
      </c>
      <c r="J43" s="74">
        <v>71105.0</v>
      </c>
      <c r="K43" s="74">
        <v>97163.0</v>
      </c>
      <c r="L43" s="74">
        <v>73158.0</v>
      </c>
      <c r="M43" s="74">
        <v>13650.0</v>
      </c>
      <c r="N43" s="74">
        <v>945652.0</v>
      </c>
      <c r="O43" s="74">
        <f>SUMIF($B$5:$M$5,'P&amp;L Summary'!$A$6,$B43:$M43)</f>
        <v>91475</v>
      </c>
      <c r="P43" s="74">
        <f t="shared" si="2"/>
        <v>432234</v>
      </c>
    </row>
    <row r="44" ht="12.75" customHeight="1">
      <c r="A44" s="180" t="s">
        <v>55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 s="74">
        <f>SUMIF($B$5:$M$5,'P&amp;L Summary'!$A$6,$B44:$M44)</f>
        <v>0</v>
      </c>
      <c r="P44" s="74">
        <f t="shared" si="2"/>
        <v>0</v>
      </c>
    </row>
    <row r="45" ht="12.75" customHeight="1">
      <c r="O45" s="74">
        <f>SUMIF($B$5:$M$5,'P&amp;L Summary'!$A$6,$B45:$M45)</f>
        <v>0</v>
      </c>
      <c r="P45" s="74">
        <f t="shared" si="2"/>
        <v>0</v>
      </c>
    </row>
    <row r="46" ht="12.75" customHeight="1">
      <c r="A46" s="180" t="s">
        <v>56</v>
      </c>
      <c r="B46" s="74">
        <v>40905.0</v>
      </c>
      <c r="C46" s="74">
        <v>120179.0</v>
      </c>
      <c r="D46" s="74">
        <v>113838.0</v>
      </c>
      <c r="E46" s="74">
        <v>65837.0</v>
      </c>
      <c r="F46" s="74">
        <v>91475.0</v>
      </c>
      <c r="G46" s="74">
        <v>87018.0</v>
      </c>
      <c r="H46" s="74">
        <v>81171.0</v>
      </c>
      <c r="I46" s="74">
        <v>90153.0</v>
      </c>
      <c r="J46" s="74">
        <v>71105.0</v>
      </c>
      <c r="K46" s="74">
        <v>97163.0</v>
      </c>
      <c r="L46" s="74">
        <v>73158.0</v>
      </c>
      <c r="M46" s="74">
        <v>13650.0</v>
      </c>
      <c r="N46" s="74">
        <v>945652.0</v>
      </c>
      <c r="O46" s="74">
        <f>SUMIF($B$5:$M$5,'P&amp;L Summary'!$A$6,$B46:$M46)</f>
        <v>91475</v>
      </c>
      <c r="P46" s="74">
        <f t="shared" si="2"/>
        <v>432234</v>
      </c>
    </row>
    <row r="47" ht="12.75" customHeight="1">
      <c r="O47" s="74">
        <f>SUMIF($B$5:$M$5,'P&amp;L Summary'!$A$6,$B47:$M47)</f>
        <v>0</v>
      </c>
      <c r="P47" s="74">
        <f t="shared" si="2"/>
        <v>0</v>
      </c>
    </row>
    <row r="48" ht="12.75" customHeight="1">
      <c r="A48" s="180" t="s">
        <v>57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 s="74">
        <f>SUMIF($B$5:$M$5,'P&amp;L Summary'!$A$6,$B48:$M48)</f>
        <v>0</v>
      </c>
      <c r="P48" s="74">
        <f t="shared" si="2"/>
        <v>0</v>
      </c>
    </row>
    <row r="49" ht="12.75" customHeight="1">
      <c r="O49" s="74">
        <f>SUMIF($B$5:$M$5,'P&amp;L Summary'!$A$6,$B49:$M49)</f>
        <v>0</v>
      </c>
      <c r="P49" s="74">
        <f t="shared" si="2"/>
        <v>0</v>
      </c>
    </row>
    <row r="50" ht="12.75" customHeight="1">
      <c r="A50" s="180" t="s">
        <v>58</v>
      </c>
      <c r="B50" s="74">
        <v>40905.0</v>
      </c>
      <c r="C50" s="74">
        <v>120179.0</v>
      </c>
      <c r="D50" s="74">
        <v>113838.0</v>
      </c>
      <c r="E50" s="74">
        <v>65837.0</v>
      </c>
      <c r="F50" s="74">
        <v>91475.0</v>
      </c>
      <c r="G50" s="74">
        <v>87018.0</v>
      </c>
      <c r="H50" s="74">
        <v>81171.0</v>
      </c>
      <c r="I50" s="74">
        <v>90153.0</v>
      </c>
      <c r="J50" s="74">
        <v>71105.0</v>
      </c>
      <c r="K50" s="74">
        <v>97163.0</v>
      </c>
      <c r="L50" s="74">
        <v>73158.0</v>
      </c>
      <c r="M50" s="74">
        <v>13650.0</v>
      </c>
      <c r="N50" s="74">
        <v>945652.0</v>
      </c>
      <c r="O50" s="74">
        <f>SUMIF($B$5:$M$5,'P&amp;L Summary'!$A$6,$B50:$M50)</f>
        <v>91475</v>
      </c>
      <c r="P50" s="74">
        <f t="shared" si="2"/>
        <v>432234</v>
      </c>
    </row>
    <row r="51" ht="12.75" customHeight="1">
      <c r="O51" s="74">
        <f>SUMIF($B$5:$M$5,'P&amp;L Summary'!$A$6,$B51:$M51)</f>
        <v>0</v>
      </c>
      <c r="P51" s="74">
        <f t="shared" si="2"/>
        <v>0</v>
      </c>
    </row>
    <row r="52" ht="12.75" customHeight="1">
      <c r="A52" s="180" t="s">
        <v>228</v>
      </c>
      <c r="B52" s="74">
        <v>40905.0</v>
      </c>
      <c r="C52" s="74">
        <v>120179.0</v>
      </c>
      <c r="D52" s="74">
        <v>113838.0</v>
      </c>
      <c r="E52" s="74">
        <v>65837.0</v>
      </c>
      <c r="F52" s="74">
        <v>91475.0</v>
      </c>
      <c r="G52" s="74">
        <v>87018.0</v>
      </c>
      <c r="H52" s="74">
        <v>81171.0</v>
      </c>
      <c r="I52" s="74">
        <v>90153.0</v>
      </c>
      <c r="J52" s="74">
        <v>71105.0</v>
      </c>
      <c r="K52" s="74">
        <v>97163.0</v>
      </c>
      <c r="L52" s="74">
        <v>73158.0</v>
      </c>
      <c r="M52" s="74">
        <v>13650.0</v>
      </c>
      <c r="N52" s="74">
        <v>945652.0</v>
      </c>
      <c r="O52" s="74">
        <f>SUMIF($B$5:$M$5,'P&amp;L Summary'!$A$6,$B52:$M52)</f>
        <v>91475</v>
      </c>
      <c r="P52" s="74">
        <f t="shared" si="2"/>
        <v>432234</v>
      </c>
    </row>
    <row r="53" ht="12.75" customHeight="1">
      <c r="A53" s="180" t="s">
        <v>229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 s="74">
        <f>SUMIF($B$5:$M$5,'P&amp;L Summary'!$A$6,$B53:$M53)</f>
        <v>0</v>
      </c>
      <c r="P53" s="74">
        <f t="shared" si="2"/>
        <v>0</v>
      </c>
    </row>
    <row r="54" ht="12.75" customHeight="1">
      <c r="O54" s="74">
        <f>SUMIF($B$5:$M$5,'P&amp;L Summary'!$A$6,$B54:$M54)</f>
        <v>0</v>
      </c>
      <c r="P54" s="74">
        <f t="shared" si="2"/>
        <v>0</v>
      </c>
    </row>
    <row r="55" ht="12.75" customHeight="1">
      <c r="A55" s="180" t="s">
        <v>230</v>
      </c>
      <c r="B55" s="74">
        <v>-40905.0</v>
      </c>
      <c r="C55" s="74">
        <v>-120179.0</v>
      </c>
      <c r="D55" s="74">
        <v>-113838.0</v>
      </c>
      <c r="E55" s="74">
        <v>-65837.0</v>
      </c>
      <c r="F55" s="74">
        <v>-91475.0</v>
      </c>
      <c r="G55" s="74">
        <v>-87018.0</v>
      </c>
      <c r="H55" s="74">
        <v>-81171.0</v>
      </c>
      <c r="I55" s="74">
        <v>-90153.0</v>
      </c>
      <c r="J55" s="74">
        <v>-71105.0</v>
      </c>
      <c r="K55" s="74">
        <v>-97163.0</v>
      </c>
      <c r="L55" s="74">
        <v>-73158.0</v>
      </c>
      <c r="M55" s="74">
        <v>-13650.0</v>
      </c>
      <c r="N55" s="74">
        <v>-945652.0</v>
      </c>
      <c r="O55" s="74">
        <f>SUMIF($B$5:$M$5,'P&amp;L Summary'!$A$6,$B55:$M55)</f>
        <v>-91475</v>
      </c>
      <c r="P55" s="74">
        <f t="shared" si="2"/>
        <v>-432234</v>
      </c>
    </row>
    <row r="56" ht="12.75" customHeight="1">
      <c r="E56" t="s">
        <v>238</v>
      </c>
      <c r="M56" t="s">
        <v>239</v>
      </c>
      <c r="N56" t="s">
        <v>240</v>
      </c>
      <c r="O56" s="74">
        <f>SUMIF($B$5:$M$5,'P&amp;L Summary'!$A$6,$B56:$M56)</f>
        <v>0</v>
      </c>
      <c r="P56" s="74">
        <f t="shared" si="2"/>
        <v>0</v>
      </c>
    </row>
    <row r="57" ht="12.75" customHeight="1">
      <c r="C57" t="s">
        <v>241</v>
      </c>
      <c r="D57" t="s">
        <v>242</v>
      </c>
      <c r="E57" t="s">
        <v>243</v>
      </c>
      <c r="F57" t="s">
        <v>244</v>
      </c>
      <c r="G57" t="s">
        <v>245</v>
      </c>
      <c r="N57" t="s">
        <v>246</v>
      </c>
      <c r="O57" s="74">
        <f>SUMIF($B$5:$M$5,'P&amp;L Summary'!$A$6,$B57:$M57)</f>
        <v>0</v>
      </c>
      <c r="P57" s="74">
        <f t="shared" si="2"/>
        <v>0</v>
      </c>
    </row>
    <row r="58" ht="12.75" customHeight="1">
      <c r="A58" s="186" t="s">
        <v>35</v>
      </c>
      <c r="B58" s="186">
        <v>21.0</v>
      </c>
      <c r="C58" s="186">
        <v>20.0</v>
      </c>
      <c r="D58" s="186">
        <v>21.0</v>
      </c>
      <c r="E58" s="186">
        <v>21.0</v>
      </c>
      <c r="F58" s="186">
        <v>23.0</v>
      </c>
      <c r="G58" s="186"/>
      <c r="H58" s="186"/>
      <c r="I58" s="186"/>
      <c r="J58" s="186"/>
      <c r="K58" s="186"/>
      <c r="L58" s="186"/>
      <c r="M58" s="186"/>
      <c r="N58" s="186"/>
      <c r="O58" s="74">
        <f>SUMIF($B$5:$M$5,'P&amp;L Summary'!$A$6,$B58:$M58)</f>
        <v>23</v>
      </c>
      <c r="P58" s="74">
        <f t="shared" si="2"/>
        <v>106</v>
      </c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 ht="12.75" customHeight="1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8"/>
      <c r="P59" s="198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ht="12.75" customHeight="1">
      <c r="A60" s="180" t="s">
        <v>216</v>
      </c>
      <c r="O60" s="74"/>
      <c r="P60" s="74"/>
    </row>
    <row r="61" ht="12.75" customHeight="1">
      <c r="A61" s="180" t="s">
        <v>217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t="s">
        <v>252</v>
      </c>
      <c r="H61" t="s">
        <v>253</v>
      </c>
      <c r="I61" t="s">
        <v>254</v>
      </c>
      <c r="O61" s="74"/>
      <c r="P61" s="74"/>
    </row>
    <row r="62" ht="12.75" customHeight="1">
      <c r="A62" s="180"/>
      <c r="B62" t="s">
        <v>236</v>
      </c>
      <c r="C62" t="s">
        <v>236</v>
      </c>
      <c r="D62" t="s">
        <v>236</v>
      </c>
      <c r="E62" t="s">
        <v>236</v>
      </c>
      <c r="F62" t="s">
        <v>236</v>
      </c>
      <c r="G62" t="s">
        <v>236</v>
      </c>
      <c r="H62" t="s">
        <v>236</v>
      </c>
      <c r="I62" t="s">
        <v>236</v>
      </c>
      <c r="J62" t="s">
        <v>236</v>
      </c>
      <c r="K62" t="s">
        <v>236</v>
      </c>
      <c r="L62" t="s">
        <v>236</v>
      </c>
      <c r="M62" t="s">
        <v>236</v>
      </c>
      <c r="N62" t="s">
        <v>40</v>
      </c>
      <c r="O62" s="74"/>
      <c r="P62" s="74"/>
    </row>
    <row r="63" ht="12.75" customHeight="1">
      <c r="A63" s="180"/>
      <c r="B63" s="119">
        <v>43101.0</v>
      </c>
      <c r="C63" s="119">
        <v>43132.0</v>
      </c>
      <c r="D63" s="119">
        <v>43160.0</v>
      </c>
      <c r="E63" s="119">
        <v>43191.0</v>
      </c>
      <c r="F63" s="119">
        <v>43221.0</v>
      </c>
      <c r="G63" s="119">
        <v>43252.0</v>
      </c>
      <c r="H63" s="119">
        <v>43282.0</v>
      </c>
      <c r="I63" s="119">
        <v>43313.0</v>
      </c>
      <c r="J63" s="119">
        <v>43344.0</v>
      </c>
      <c r="K63" s="119">
        <v>43374.0</v>
      </c>
      <c r="L63" s="119">
        <v>43405.0</v>
      </c>
      <c r="M63" s="119">
        <v>43435.0</v>
      </c>
      <c r="O63" s="74"/>
      <c r="P63" s="74"/>
    </row>
    <row r="64" ht="12.75" customHeight="1">
      <c r="A64" s="180"/>
      <c r="B64" t="s">
        <v>222</v>
      </c>
      <c r="C64" t="s">
        <v>222</v>
      </c>
      <c r="D64" t="s">
        <v>222</v>
      </c>
      <c r="E64" t="s">
        <v>222</v>
      </c>
      <c r="F64" t="s">
        <v>222</v>
      </c>
      <c r="G64" t="s">
        <v>222</v>
      </c>
      <c r="H64" t="s">
        <v>222</v>
      </c>
      <c r="I64" t="s">
        <v>222</v>
      </c>
      <c r="J64" t="s">
        <v>222</v>
      </c>
      <c r="K64" t="s">
        <v>222</v>
      </c>
      <c r="L64" t="s">
        <v>222</v>
      </c>
      <c r="M64" t="s">
        <v>222</v>
      </c>
      <c r="N64" t="s">
        <v>223</v>
      </c>
      <c r="O64" s="74"/>
      <c r="P64" s="74"/>
    </row>
    <row r="65" ht="12.75" customHeight="1">
      <c r="A65" s="180" t="s">
        <v>2</v>
      </c>
      <c r="B65" s="74">
        <v>173602.0</v>
      </c>
      <c r="C65" s="74">
        <v>177966.0</v>
      </c>
      <c r="D65" s="74">
        <v>181120.0</v>
      </c>
      <c r="E65" s="74">
        <v>202472.0</v>
      </c>
      <c r="F65" s="74">
        <v>199197.0</v>
      </c>
      <c r="G65" s="74">
        <v>194961.0</v>
      </c>
      <c r="H65" s="74">
        <v>194469.0</v>
      </c>
      <c r="I65" s="74">
        <v>197122.0</v>
      </c>
      <c r="J65" s="74">
        <v>196811.0</v>
      </c>
      <c r="K65" s="74">
        <v>203017.0</v>
      </c>
      <c r="L65" s="74">
        <v>214117.0</v>
      </c>
      <c r="M65" s="74">
        <v>222001.0</v>
      </c>
      <c r="N65" s="74">
        <v>2356856.0</v>
      </c>
      <c r="O65" s="74"/>
      <c r="P65" s="74"/>
    </row>
    <row r="66" ht="12.75" customHeight="1">
      <c r="A66" s="180" t="s">
        <v>16</v>
      </c>
      <c r="B66" s="74">
        <v>10088.0</v>
      </c>
      <c r="C66" s="74">
        <v>10088.0</v>
      </c>
      <c r="D66" s="74">
        <v>10088.0</v>
      </c>
      <c r="E66" s="74">
        <v>10088.0</v>
      </c>
      <c r="F66" s="74">
        <v>10088.0</v>
      </c>
      <c r="G66" s="74">
        <v>10088.0</v>
      </c>
      <c r="H66" s="74">
        <v>10088.0</v>
      </c>
      <c r="I66" s="74">
        <v>10088.0</v>
      </c>
      <c r="J66" s="74">
        <v>10088.0</v>
      </c>
      <c r="K66" s="74">
        <v>10088.0</v>
      </c>
      <c r="L66" s="74">
        <v>10088.0</v>
      </c>
      <c r="M66" s="74">
        <v>10088.0</v>
      </c>
      <c r="N66" s="74">
        <v>121052.0</v>
      </c>
      <c r="O66" s="74">
        <f>SUMIF($B$5:$M$5,'P&amp;L Summary'!$A$6,$B66:$M66)</f>
        <v>10088</v>
      </c>
      <c r="P66" s="74">
        <f t="shared" ref="P66:P77" si="3">SUMIF($B$6:$M$6,"YTD",$B66:$M66)</f>
        <v>50440</v>
      </c>
    </row>
    <row r="67" ht="12.75" customHeight="1">
      <c r="A67" s="189" t="s">
        <v>18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 s="74">
        <f>SUMIF($B$5:$M$5,'P&amp;L Summary'!$A$6,$B67:$M67)</f>
        <v>0</v>
      </c>
      <c r="P67" s="74">
        <f t="shared" si="3"/>
        <v>0</v>
      </c>
    </row>
    <row r="68" ht="12.75" customHeight="1">
      <c r="A68" s="180" t="s">
        <v>21</v>
      </c>
      <c r="B68" s="74">
        <v>681.0</v>
      </c>
      <c r="C68" s="74">
        <v>946.0</v>
      </c>
      <c r="D68" s="74">
        <v>936.0</v>
      </c>
      <c r="E68" s="74">
        <v>851.0</v>
      </c>
      <c r="F68" s="74">
        <v>922.0</v>
      </c>
      <c r="G68" s="74">
        <v>895.0</v>
      </c>
      <c r="H68" s="74">
        <v>875.0</v>
      </c>
      <c r="I68" s="74">
        <v>911.0</v>
      </c>
      <c r="J68" s="74">
        <v>850.0</v>
      </c>
      <c r="K68" s="74">
        <v>952.0</v>
      </c>
      <c r="L68" s="74">
        <v>911.0</v>
      </c>
      <c r="M68" s="74">
        <v>748.0</v>
      </c>
      <c r="N68" s="74">
        <v>10478.0</v>
      </c>
      <c r="O68" s="74">
        <f>SUMIF($B$5:$M$5,'P&amp;L Summary'!$A$6,$B68:$M68)</f>
        <v>922</v>
      </c>
      <c r="P68" s="74">
        <f t="shared" si="3"/>
        <v>4336</v>
      </c>
    </row>
    <row r="69" ht="12.75" customHeight="1">
      <c r="A69" s="180" t="s">
        <v>22</v>
      </c>
      <c r="B69">
        <v>546.0</v>
      </c>
      <c r="C69">
        <v>546.0</v>
      </c>
      <c r="D69">
        <v>546.0</v>
      </c>
      <c r="E69">
        <v>546.0</v>
      </c>
      <c r="F69">
        <v>546.0</v>
      </c>
      <c r="G69">
        <v>546.0</v>
      </c>
      <c r="H69">
        <v>546.0</v>
      </c>
      <c r="I69">
        <v>546.0</v>
      </c>
      <c r="J69">
        <v>546.0</v>
      </c>
      <c r="K69">
        <v>546.0</v>
      </c>
      <c r="L69">
        <v>546.0</v>
      </c>
      <c r="M69">
        <v>546.0</v>
      </c>
      <c r="N69" s="74">
        <v>6552.0</v>
      </c>
      <c r="O69" s="74">
        <f>SUMIF($B$5:$M$5,'P&amp;L Summary'!$A$6,$B69:$M69)</f>
        <v>546</v>
      </c>
      <c r="P69" s="74">
        <f t="shared" si="3"/>
        <v>2730</v>
      </c>
    </row>
    <row r="70" ht="12.75" customHeight="1">
      <c r="A70" s="180" t="s">
        <v>24</v>
      </c>
      <c r="B70" s="74">
        <v>2671.0</v>
      </c>
      <c r="C70" s="74">
        <v>2671.0</v>
      </c>
      <c r="D70" s="74">
        <v>2671.0</v>
      </c>
      <c r="E70" s="74">
        <v>2671.0</v>
      </c>
      <c r="F70" s="74">
        <v>2671.0</v>
      </c>
      <c r="G70" s="74">
        <v>2671.0</v>
      </c>
      <c r="H70" s="74">
        <v>2671.0</v>
      </c>
      <c r="I70" s="74">
        <v>2671.0</v>
      </c>
      <c r="J70" s="74">
        <v>2671.0</v>
      </c>
      <c r="K70" s="74">
        <v>2671.0</v>
      </c>
      <c r="L70" s="74">
        <v>2671.0</v>
      </c>
      <c r="M70" s="74">
        <v>2671.0</v>
      </c>
      <c r="N70" s="74">
        <v>32053.0</v>
      </c>
      <c r="O70" s="74">
        <f>SUMIF($B$5:$M$5,'P&amp;L Summary'!$A$6,$B70:$M70)</f>
        <v>2671</v>
      </c>
      <c r="P70" s="74">
        <f t="shared" si="3"/>
        <v>13355</v>
      </c>
    </row>
    <row r="71" ht="12.75" customHeight="1">
      <c r="A71" s="180" t="s">
        <v>26</v>
      </c>
      <c r="B71">
        <v>62.0</v>
      </c>
      <c r="C71">
        <v>62.0</v>
      </c>
      <c r="D71">
        <v>62.0</v>
      </c>
      <c r="E71">
        <v>62.0</v>
      </c>
      <c r="F71">
        <v>62.0</v>
      </c>
      <c r="G71">
        <v>62.0</v>
      </c>
      <c r="H71">
        <v>62.0</v>
      </c>
      <c r="I71">
        <v>62.0</v>
      </c>
      <c r="J71">
        <v>62.0</v>
      </c>
      <c r="K71">
        <v>62.0</v>
      </c>
      <c r="L71">
        <v>62.0</v>
      </c>
      <c r="M71">
        <v>62.0</v>
      </c>
      <c r="N71">
        <v>749.0</v>
      </c>
      <c r="O71" s="74">
        <f>SUMIF($B$5:$M$5,'P&amp;L Summary'!$A$6,$B71:$M71)</f>
        <v>62</v>
      </c>
      <c r="P71" s="74">
        <f t="shared" si="3"/>
        <v>310</v>
      </c>
    </row>
    <row r="72" ht="12.75" customHeight="1">
      <c r="A72" s="180" t="s">
        <v>29</v>
      </c>
      <c r="B72" s="74">
        <v>59889.0</v>
      </c>
      <c r="C72" s="74">
        <v>61595.0</v>
      </c>
      <c r="D72" s="74">
        <v>64774.0</v>
      </c>
      <c r="E72" s="74">
        <v>84856.0</v>
      </c>
      <c r="F72" s="74">
        <v>79045.0</v>
      </c>
      <c r="G72" s="74">
        <v>76069.0</v>
      </c>
      <c r="H72" s="74">
        <v>77626.0</v>
      </c>
      <c r="I72" s="74">
        <v>77777.0</v>
      </c>
      <c r="J72" s="74">
        <v>80078.0</v>
      </c>
      <c r="K72" s="74">
        <v>88647.0</v>
      </c>
      <c r="L72" s="74">
        <v>97367.0</v>
      </c>
      <c r="M72" s="74">
        <v>107879.0</v>
      </c>
      <c r="N72" s="74">
        <v>955601.0</v>
      </c>
      <c r="O72" s="74">
        <f>SUMIF($B$5:$M$5,'P&amp;L Summary'!$A$6,$B72:$M72)</f>
        <v>79045</v>
      </c>
      <c r="P72" s="74">
        <f t="shared" si="3"/>
        <v>350159</v>
      </c>
    </row>
    <row r="73" ht="12.75" customHeight="1">
      <c r="A73" s="180" t="s">
        <v>31</v>
      </c>
      <c r="B73">
        <v>31944.0</v>
      </c>
      <c r="C73">
        <v>32305.0</v>
      </c>
      <c r="D73">
        <v>32305.0</v>
      </c>
      <c r="E73">
        <v>32968.0</v>
      </c>
      <c r="F73">
        <v>33339.0</v>
      </c>
      <c r="G73">
        <v>33153.0</v>
      </c>
      <c r="H73">
        <v>32686.0</v>
      </c>
      <c r="I73">
        <v>33058.0</v>
      </c>
      <c r="J73">
        <v>31576.0</v>
      </c>
      <c r="K73">
        <v>31204.0</v>
      </c>
      <c r="L73">
        <v>31576.0</v>
      </c>
      <c r="M73">
        <v>31204.0</v>
      </c>
      <c r="N73" s="74">
        <v>387320.0</v>
      </c>
      <c r="O73" s="74">
        <f>SUMIF($B$5:$M$5,'P&amp;L Summary'!$A$6,$B73:$M73)</f>
        <v>33339</v>
      </c>
      <c r="P73" s="74">
        <f t="shared" si="3"/>
        <v>162861</v>
      </c>
    </row>
    <row r="74" ht="12.75" customHeight="1">
      <c r="A74" s="180" t="s">
        <v>33</v>
      </c>
      <c r="B74" s="74">
        <v>63148.0</v>
      </c>
      <c r="C74" s="74">
        <v>65180.0</v>
      </c>
      <c r="D74" s="74">
        <v>65180.0</v>
      </c>
      <c r="E74" s="74">
        <v>65887.0</v>
      </c>
      <c r="F74" s="74">
        <v>67980.0</v>
      </c>
      <c r="G74" s="74">
        <v>66933.0</v>
      </c>
      <c r="H74" s="74">
        <v>65306.0</v>
      </c>
      <c r="I74" s="74">
        <v>67399.0</v>
      </c>
      <c r="J74" s="74">
        <v>66352.0</v>
      </c>
      <c r="K74" s="74">
        <v>64260.0</v>
      </c>
      <c r="L74" s="74">
        <v>66352.0</v>
      </c>
      <c r="M74" s="74">
        <v>64260.0</v>
      </c>
      <c r="N74" s="74">
        <v>788238.0</v>
      </c>
      <c r="O74" s="74">
        <f>SUMIF($B$5:$M$5,'P&amp;L Summary'!$A$6,$B74:$M74)</f>
        <v>67980</v>
      </c>
      <c r="P74" s="74">
        <f t="shared" si="3"/>
        <v>327375</v>
      </c>
    </row>
    <row r="75" ht="12.75" customHeight="1">
      <c r="A75" s="180" t="s">
        <v>34</v>
      </c>
      <c r="B75">
        <v>3148.0</v>
      </c>
      <c r="C75">
        <v>3148.0</v>
      </c>
      <c r="D75">
        <v>3133.0</v>
      </c>
      <c r="E75">
        <v>3118.0</v>
      </c>
      <c r="F75">
        <v>3118.0</v>
      </c>
      <c r="G75">
        <v>3118.0</v>
      </c>
      <c r="H75" s="74">
        <v>3185.0</v>
      </c>
      <c r="I75" s="74">
        <v>3185.0</v>
      </c>
      <c r="J75" s="74">
        <v>3162.0</v>
      </c>
      <c r="K75" s="74">
        <v>3162.0</v>
      </c>
      <c r="L75" s="74">
        <v>3118.0</v>
      </c>
      <c r="M75" s="74">
        <v>3118.0</v>
      </c>
      <c r="N75" s="74">
        <v>37711.0</v>
      </c>
      <c r="O75" s="74">
        <f>SUMIF($B$5:$M$5,'P&amp;L Summary'!$A$6,$B75:$M75)</f>
        <v>3118</v>
      </c>
      <c r="P75" s="74">
        <f t="shared" si="3"/>
        <v>15665</v>
      </c>
    </row>
    <row r="76" ht="12.75" customHeight="1">
      <c r="A76" s="180" t="s">
        <v>37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 s="74">
        <f>SUMIF($B$5:$M$5,'P&amp;L Summary'!$A$6,$B76:$M76)</f>
        <v>0</v>
      </c>
      <c r="P76" s="74">
        <f t="shared" si="3"/>
        <v>0</v>
      </c>
    </row>
    <row r="77" ht="12.75" customHeight="1">
      <c r="A77" s="180" t="s">
        <v>39</v>
      </c>
      <c r="B77" s="74">
        <v>1425.0</v>
      </c>
      <c r="C77" s="74">
        <v>1425.0</v>
      </c>
      <c r="D77" s="74">
        <v>1425.0</v>
      </c>
      <c r="E77" s="74">
        <v>1425.0</v>
      </c>
      <c r="F77" s="74">
        <v>1425.0</v>
      </c>
      <c r="G77" s="74">
        <v>1425.0</v>
      </c>
      <c r="H77" s="74">
        <v>1425.0</v>
      </c>
      <c r="I77" s="74">
        <v>1425.0</v>
      </c>
      <c r="J77" s="74">
        <v>1425.0</v>
      </c>
      <c r="K77" s="74">
        <v>1425.0</v>
      </c>
      <c r="L77" s="74">
        <v>1425.0</v>
      </c>
      <c r="M77" s="74">
        <v>1425.0</v>
      </c>
      <c r="N77" s="74">
        <v>17103.0</v>
      </c>
      <c r="O77" s="74">
        <f>SUMIF($B$5:$M$5,'P&amp;L Summary'!$A$6,$B77:$M77)</f>
        <v>1425</v>
      </c>
      <c r="P77" s="74">
        <f t="shared" si="3"/>
        <v>7125</v>
      </c>
    </row>
    <row r="78" ht="12.75" customHeight="1">
      <c r="O78" s="74"/>
      <c r="P78" s="74"/>
    </row>
    <row r="79" ht="12.75" customHeight="1">
      <c r="A79" s="180" t="s">
        <v>44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 s="74"/>
      <c r="P79" s="74"/>
    </row>
    <row r="80" ht="12.75" customHeight="1">
      <c r="A80" s="180" t="s">
        <v>45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 s="74">
        <f>SUMIF($B$5:$M$5,'P&amp;L Summary'!$A$6,$B80:$M80)</f>
        <v>0</v>
      </c>
      <c r="P80" s="74">
        <f t="shared" ref="P80:P82" si="4">SUMIF($B$6:$M$6,"YTD",$B80:$M80)</f>
        <v>0</v>
      </c>
    </row>
    <row r="81" ht="12.75" customHeight="1">
      <c r="A81" s="180" t="s">
        <v>47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 s="74">
        <f>SUMIF($B$5:$M$5,'P&amp;L Summary'!$A$6,$B81:$M81)</f>
        <v>0</v>
      </c>
      <c r="P81" s="74">
        <f t="shared" si="4"/>
        <v>0</v>
      </c>
    </row>
    <row r="82" ht="12.75" customHeight="1">
      <c r="A82" s="180" t="s">
        <v>49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 s="74">
        <f>SUMIF($B$5:$M$5,'P&amp;L Summary'!$A$6,$B82:$M82)</f>
        <v>0</v>
      </c>
      <c r="P82" s="74">
        <f t="shared" si="4"/>
        <v>0</v>
      </c>
    </row>
    <row r="83" ht="12.75" customHeight="1">
      <c r="E83" t="s">
        <v>238</v>
      </c>
      <c r="M83" t="s">
        <v>239</v>
      </c>
      <c r="N83" t="s">
        <v>240</v>
      </c>
      <c r="O83" s="74"/>
      <c r="P83" s="74"/>
    </row>
    <row r="84" ht="12.75" customHeight="1">
      <c r="A84" s="180"/>
      <c r="C84" t="s">
        <v>241</v>
      </c>
      <c r="D84" t="s">
        <v>242</v>
      </c>
      <c r="E84" t="s">
        <v>243</v>
      </c>
      <c r="F84" t="s">
        <v>244</v>
      </c>
      <c r="G84" t="s">
        <v>245</v>
      </c>
      <c r="N84" t="s">
        <v>255</v>
      </c>
      <c r="O84" s="74"/>
      <c r="P84" s="74"/>
    </row>
    <row r="85" ht="12.75" customHeight="1">
      <c r="A85" s="180"/>
      <c r="D85" t="s">
        <v>213</v>
      </c>
      <c r="E85" t="s">
        <v>214</v>
      </c>
      <c r="F85" t="s">
        <v>256</v>
      </c>
      <c r="O85" s="74"/>
      <c r="P85" s="74"/>
    </row>
    <row r="86" ht="12.75" customHeight="1">
      <c r="A86" s="199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92"/>
      <c r="P86" s="192"/>
      <c r="Q86" s="186"/>
      <c r="R86" s="186"/>
      <c r="S86" s="186"/>
      <c r="T86" s="186"/>
      <c r="U86" s="186"/>
      <c r="V86" s="186"/>
      <c r="W86" s="186"/>
      <c r="X86" s="186"/>
      <c r="Y86" s="186"/>
      <c r="Z86" s="186"/>
    </row>
    <row r="87" ht="12.75" customHeight="1">
      <c r="A87" s="180" t="s">
        <v>216</v>
      </c>
      <c r="O87" s="74"/>
      <c r="P87" s="74"/>
    </row>
    <row r="88" ht="12.75" customHeight="1">
      <c r="A88" s="180" t="s">
        <v>217</v>
      </c>
      <c r="B88" t="s">
        <v>247</v>
      </c>
      <c r="C88" t="s">
        <v>248</v>
      </c>
      <c r="D88" t="s">
        <v>249</v>
      </c>
      <c r="E88" t="s">
        <v>250</v>
      </c>
      <c r="F88" t="s">
        <v>251</v>
      </c>
      <c r="G88" t="s">
        <v>252</v>
      </c>
      <c r="H88" t="s">
        <v>253</v>
      </c>
      <c r="I88" t="s">
        <v>254</v>
      </c>
      <c r="O88" s="74"/>
      <c r="P88" s="74"/>
    </row>
    <row r="89" ht="12.75" customHeight="1">
      <c r="A89" s="180"/>
      <c r="B89" t="s">
        <v>236</v>
      </c>
      <c r="C89" t="s">
        <v>236</v>
      </c>
      <c r="D89" t="s">
        <v>236</v>
      </c>
      <c r="E89" t="s">
        <v>236</v>
      </c>
      <c r="F89" t="s">
        <v>236</v>
      </c>
      <c r="G89" t="s">
        <v>236</v>
      </c>
      <c r="H89" t="s">
        <v>236</v>
      </c>
      <c r="I89" t="s">
        <v>236</v>
      </c>
      <c r="J89" t="s">
        <v>236</v>
      </c>
      <c r="K89" t="s">
        <v>236</v>
      </c>
      <c r="L89" t="s">
        <v>236</v>
      </c>
      <c r="M89" t="s">
        <v>236</v>
      </c>
      <c r="N89" t="s">
        <v>40</v>
      </c>
      <c r="O89" s="74"/>
      <c r="P89" s="74"/>
    </row>
    <row r="90" ht="12.75" customHeight="1">
      <c r="A90" s="180"/>
      <c r="B90" s="119">
        <v>43101.0</v>
      </c>
      <c r="C90" s="119">
        <v>43132.0</v>
      </c>
      <c r="D90" s="119">
        <v>43160.0</v>
      </c>
      <c r="E90" s="119">
        <v>43191.0</v>
      </c>
      <c r="F90" s="119">
        <v>43221.0</v>
      </c>
      <c r="G90" s="119">
        <v>43252.0</v>
      </c>
      <c r="H90" s="119">
        <v>43282.0</v>
      </c>
      <c r="I90" s="119">
        <v>43313.0</v>
      </c>
      <c r="J90" s="119">
        <v>43344.0</v>
      </c>
      <c r="K90" s="119">
        <v>43374.0</v>
      </c>
      <c r="L90" s="119">
        <v>43405.0</v>
      </c>
      <c r="M90" s="119">
        <v>43435.0</v>
      </c>
      <c r="O90" s="74"/>
      <c r="P90" s="74"/>
    </row>
    <row r="91" ht="12.75" customHeight="1">
      <c r="A91" s="180"/>
      <c r="B91" t="s">
        <v>222</v>
      </c>
      <c r="C91" t="s">
        <v>222</v>
      </c>
      <c r="D91" t="s">
        <v>222</v>
      </c>
      <c r="E91" t="s">
        <v>222</v>
      </c>
      <c r="F91" t="s">
        <v>222</v>
      </c>
      <c r="G91" t="s">
        <v>222</v>
      </c>
      <c r="H91" t="s">
        <v>222</v>
      </c>
      <c r="I91" t="s">
        <v>222</v>
      </c>
      <c r="J91" t="s">
        <v>222</v>
      </c>
      <c r="K91" t="s">
        <v>222</v>
      </c>
      <c r="L91" t="s">
        <v>222</v>
      </c>
      <c r="M91" t="s">
        <v>222</v>
      </c>
      <c r="N91" t="s">
        <v>223</v>
      </c>
      <c r="O91" s="74"/>
      <c r="P91" s="74"/>
    </row>
    <row r="92" ht="12.75" customHeight="1">
      <c r="A92" s="180"/>
      <c r="O92" s="74"/>
      <c r="P92" s="74"/>
    </row>
    <row r="93" ht="12.75" customHeight="1">
      <c r="A93" s="180" t="s">
        <v>78</v>
      </c>
      <c r="B93">
        <v>31944.0</v>
      </c>
      <c r="C93">
        <v>32305.0</v>
      </c>
      <c r="D93">
        <v>32305.0</v>
      </c>
      <c r="E93">
        <v>32968.0</v>
      </c>
      <c r="F93">
        <v>33339.0</v>
      </c>
      <c r="G93">
        <v>33153.0</v>
      </c>
      <c r="H93">
        <v>32686.0</v>
      </c>
      <c r="I93">
        <v>33058.0</v>
      </c>
      <c r="J93">
        <v>31576.0</v>
      </c>
      <c r="K93">
        <v>31204.0</v>
      </c>
      <c r="L93">
        <v>31576.0</v>
      </c>
      <c r="M93">
        <v>31204.0</v>
      </c>
      <c r="N93" s="74">
        <v>387320.0</v>
      </c>
      <c r="O93" s="74"/>
      <c r="P93" s="74"/>
    </row>
    <row r="94" ht="12.75" customHeight="1">
      <c r="A94" s="180" t="s">
        <v>79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 s="74">
        <f>SUMIF($B$5:$M$5,'P&amp;L Summary'!$A$6,$B94:$M94)</f>
        <v>0</v>
      </c>
      <c r="P94" s="74">
        <f t="shared" ref="P94:P115" si="5">SUMIF($B$6:$M$6,"YTD",$B94:$M94)</f>
        <v>0</v>
      </c>
    </row>
    <row r="95" ht="12.75" customHeight="1">
      <c r="A95" s="180" t="s">
        <v>80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 s="74">
        <f>SUMIF($B$5:$M$5,'P&amp;L Summary'!$A$6,$B95:$M95)</f>
        <v>0</v>
      </c>
      <c r="P95" s="74">
        <f t="shared" si="5"/>
        <v>0</v>
      </c>
    </row>
    <row r="96" ht="12.75" customHeight="1">
      <c r="A96" s="180" t="s">
        <v>81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 s="74">
        <f>SUMIF($B$5:$M$5,'P&amp;L Summary'!$A$6,$B96:$M96)</f>
        <v>0</v>
      </c>
      <c r="P96" s="74">
        <f t="shared" si="5"/>
        <v>0</v>
      </c>
    </row>
    <row r="97" ht="12.75" customHeight="1">
      <c r="A97" s="180" t="s">
        <v>82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 s="74">
        <f>SUMIF($B$5:$M$5,'P&amp;L Summary'!$A$6,$B97:$M97)</f>
        <v>0</v>
      </c>
      <c r="P97" s="74">
        <f t="shared" si="5"/>
        <v>0</v>
      </c>
    </row>
    <row r="98" ht="12.75" customHeight="1">
      <c r="A98" s="180" t="s">
        <v>83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 s="74">
        <f>SUMIF($B$5:$M$5,'P&amp;L Summary'!$A$6,$B98:$M98)</f>
        <v>0</v>
      </c>
      <c r="P98" s="74">
        <f t="shared" si="5"/>
        <v>0</v>
      </c>
    </row>
    <row r="99" ht="12.75" customHeight="1">
      <c r="A99" s="180" t="s">
        <v>84</v>
      </c>
      <c r="B99">
        <v>188.0</v>
      </c>
      <c r="C99">
        <v>188.0</v>
      </c>
      <c r="D99">
        <v>188.0</v>
      </c>
      <c r="E99">
        <v>188.0</v>
      </c>
      <c r="F99">
        <v>188.0</v>
      </c>
      <c r="G99">
        <v>188.0</v>
      </c>
      <c r="H99">
        <v>188.0</v>
      </c>
      <c r="I99">
        <v>188.0</v>
      </c>
      <c r="J99">
        <v>188.0</v>
      </c>
      <c r="K99">
        <v>188.0</v>
      </c>
      <c r="L99">
        <v>188.0</v>
      </c>
      <c r="M99">
        <v>188.0</v>
      </c>
      <c r="N99" s="74">
        <v>2259.0</v>
      </c>
      <c r="O99" s="74">
        <f>SUMIF($B$5:$M$5,'P&amp;L Summary'!$A$6,$B99:$M99)</f>
        <v>188</v>
      </c>
      <c r="P99" s="74">
        <f t="shared" si="5"/>
        <v>940</v>
      </c>
    </row>
    <row r="100" ht="12.75" customHeight="1">
      <c r="A100" s="180" t="s">
        <v>85</v>
      </c>
      <c r="B100">
        <v>7.0</v>
      </c>
      <c r="C100">
        <v>7.0</v>
      </c>
      <c r="D100">
        <v>7.0</v>
      </c>
      <c r="E100">
        <v>7.0</v>
      </c>
      <c r="F100">
        <v>7.0</v>
      </c>
      <c r="G100">
        <v>7.0</v>
      </c>
      <c r="H100">
        <v>7.0</v>
      </c>
      <c r="I100">
        <v>7.0</v>
      </c>
      <c r="J100">
        <v>7.0</v>
      </c>
      <c r="K100">
        <v>7.0</v>
      </c>
      <c r="L100">
        <v>7.0</v>
      </c>
      <c r="M100">
        <v>7.0</v>
      </c>
      <c r="N100">
        <v>86.0</v>
      </c>
      <c r="O100" s="74">
        <f>SUMIF($B$5:$M$5,'P&amp;L Summary'!$A$6,$B100:$M100)</f>
        <v>7</v>
      </c>
      <c r="P100" s="74">
        <f t="shared" si="5"/>
        <v>35</v>
      </c>
    </row>
    <row r="101" ht="12.75" customHeight="1">
      <c r="A101" s="180" t="s">
        <v>87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 s="74">
        <f>SUMIF($B$5:$M$5,'P&amp;L Summary'!$A$6,$B101:$M101)</f>
        <v>0</v>
      </c>
      <c r="P101" s="74">
        <f t="shared" si="5"/>
        <v>0</v>
      </c>
    </row>
    <row r="102" ht="12.75" customHeight="1">
      <c r="A102" s="180" t="s">
        <v>88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 s="74">
        <v>0.0</v>
      </c>
      <c r="O102" s="74">
        <f>SUMIF($B$5:$M$5,'P&amp;L Summary'!$A$6,$B102:$M102)</f>
        <v>0</v>
      </c>
      <c r="P102" s="74">
        <f t="shared" si="5"/>
        <v>0</v>
      </c>
    </row>
    <row r="103" ht="12.75" customHeight="1">
      <c r="A103" s="180" t="s">
        <v>91</v>
      </c>
      <c r="B103">
        <v>202.0</v>
      </c>
      <c r="C103">
        <v>202.0</v>
      </c>
      <c r="D103">
        <v>202.0</v>
      </c>
      <c r="E103">
        <v>202.0</v>
      </c>
      <c r="F103">
        <v>202.0</v>
      </c>
      <c r="G103">
        <v>202.0</v>
      </c>
      <c r="H103">
        <v>202.0</v>
      </c>
      <c r="I103">
        <v>202.0</v>
      </c>
      <c r="J103">
        <v>202.0</v>
      </c>
      <c r="K103">
        <v>202.0</v>
      </c>
      <c r="L103">
        <v>202.0</v>
      </c>
      <c r="M103">
        <v>202.0</v>
      </c>
      <c r="N103">
        <v>2420.0</v>
      </c>
      <c r="O103" s="74">
        <f>SUMIF($B$5:$M$5,'P&amp;L Summary'!$A$6,$B103:$M103)</f>
        <v>202</v>
      </c>
      <c r="P103" s="74">
        <f t="shared" si="5"/>
        <v>1010</v>
      </c>
    </row>
    <row r="104" ht="12.75" customHeight="1">
      <c r="A104" s="180" t="s">
        <v>94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 s="74">
        <f>SUMIF($B$5:$M$5,'P&amp;L Summary'!$A$6,$B104:$M104)</f>
        <v>0</v>
      </c>
      <c r="P104" s="74">
        <f t="shared" si="5"/>
        <v>0</v>
      </c>
    </row>
    <row r="105" ht="12.75" customHeight="1">
      <c r="A105" s="180" t="s">
        <v>95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 s="74">
        <f>SUMIF($B$5:$M$5,'P&amp;L Summary'!$A$6,$B105:$M105)</f>
        <v>0</v>
      </c>
      <c r="P105" s="74">
        <f t="shared" si="5"/>
        <v>0</v>
      </c>
    </row>
    <row r="106" ht="12.75" customHeight="1">
      <c r="A106" s="180" t="s">
        <v>96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 s="74">
        <f>SUMIF($B$5:$M$5,'P&amp;L Summary'!$A$6,$B106:$M106)</f>
        <v>0</v>
      </c>
      <c r="P106" s="74">
        <f t="shared" si="5"/>
        <v>0</v>
      </c>
    </row>
    <row r="107" ht="12.75" customHeight="1">
      <c r="A107" s="189" t="s">
        <v>97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 s="74">
        <f>SUMIF($B$5:$M$5,'P&amp;L Summary'!$A$6,$B107:$M107)</f>
        <v>0</v>
      </c>
      <c r="P107" s="74">
        <f t="shared" si="5"/>
        <v>0</v>
      </c>
    </row>
    <row r="108" ht="12.75" customHeight="1">
      <c r="A108" s="189" t="s">
        <v>99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 s="74">
        <f>SUMIF($B$5:$M$5,'P&amp;L Summary'!$A$6,$B108:$M108)</f>
        <v>0</v>
      </c>
      <c r="P108" s="74">
        <f t="shared" si="5"/>
        <v>0</v>
      </c>
    </row>
    <row r="109" ht="12.75" customHeight="1">
      <c r="A109" s="180" t="s">
        <v>101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 s="74">
        <f>SUMIF($B$5:$M$5,'P&amp;L Summary'!$A$6,$B109:$M109)</f>
        <v>0</v>
      </c>
      <c r="P109" s="74">
        <f t="shared" si="5"/>
        <v>0</v>
      </c>
    </row>
    <row r="110" ht="12.75" customHeight="1">
      <c r="A110" s="180" t="s">
        <v>102</v>
      </c>
      <c r="B110">
        <v>-1667.0</v>
      </c>
      <c r="C110">
        <v>-1667.0</v>
      </c>
      <c r="D110">
        <v>-1667.0</v>
      </c>
      <c r="E110">
        <v>-1667.0</v>
      </c>
      <c r="F110">
        <v>-1667.0</v>
      </c>
      <c r="G110">
        <v>-1667.0</v>
      </c>
      <c r="H110">
        <v>-1667.0</v>
      </c>
      <c r="I110">
        <v>-1667.0</v>
      </c>
      <c r="J110">
        <v>-1667.0</v>
      </c>
      <c r="K110">
        <v>-1667.0</v>
      </c>
      <c r="L110">
        <v>-1667.0</v>
      </c>
      <c r="M110">
        <v>-1667.0</v>
      </c>
      <c r="N110">
        <v>-20000.0</v>
      </c>
      <c r="O110" s="74">
        <f>SUMIF($B$5:$M$5,'P&amp;L Summary'!$A$6,$B110:$M110)</f>
        <v>-1667</v>
      </c>
      <c r="P110" s="74">
        <f t="shared" si="5"/>
        <v>-8335</v>
      </c>
    </row>
    <row r="111" ht="12.75" customHeight="1">
      <c r="A111" s="180" t="s">
        <v>103</v>
      </c>
      <c r="B111">
        <v>32174.0</v>
      </c>
      <c r="C111">
        <v>32535.0</v>
      </c>
      <c r="D111">
        <v>32535.0</v>
      </c>
      <c r="E111">
        <v>33197.0</v>
      </c>
      <c r="F111">
        <v>33569.0</v>
      </c>
      <c r="G111">
        <v>33383.0</v>
      </c>
      <c r="H111">
        <v>32916.0</v>
      </c>
      <c r="I111">
        <v>33288.0</v>
      </c>
      <c r="J111">
        <v>31806.0</v>
      </c>
      <c r="K111">
        <v>31434.0</v>
      </c>
      <c r="L111">
        <v>31806.0</v>
      </c>
      <c r="M111">
        <v>31434.0</v>
      </c>
      <c r="N111">
        <v>390079.0</v>
      </c>
      <c r="O111" s="74">
        <f>SUMIF($B$5:$M$5,'P&amp;L Summary'!$A$6,$B111:$M111)</f>
        <v>33569</v>
      </c>
      <c r="P111" s="74">
        <f t="shared" si="5"/>
        <v>164010</v>
      </c>
    </row>
    <row r="112" ht="12.75" customHeight="1">
      <c r="A112" s="180" t="s">
        <v>107</v>
      </c>
      <c r="B112">
        <v>56.0</v>
      </c>
      <c r="C112">
        <v>56.0</v>
      </c>
      <c r="D112">
        <v>56.0</v>
      </c>
      <c r="E112">
        <v>56.0</v>
      </c>
      <c r="F112">
        <v>56.0</v>
      </c>
      <c r="G112">
        <v>56.0</v>
      </c>
      <c r="H112">
        <v>56.0</v>
      </c>
      <c r="I112">
        <v>56.0</v>
      </c>
      <c r="J112">
        <v>56.0</v>
      </c>
      <c r="K112">
        <v>56.0</v>
      </c>
      <c r="L112">
        <v>56.0</v>
      </c>
      <c r="M112">
        <v>56.0</v>
      </c>
      <c r="N112">
        <v>677.0</v>
      </c>
      <c r="O112" s="74">
        <f>SUMIF($B$5:$M$5,'P&amp;L Summary'!$A$6,$B112:$M112)</f>
        <v>56</v>
      </c>
      <c r="P112" s="74">
        <f t="shared" si="5"/>
        <v>280</v>
      </c>
    </row>
    <row r="113" ht="12.75" customHeight="1">
      <c r="A113" s="180" t="s">
        <v>109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 s="74">
        <f>SUMIF($B$5:$M$5,'P&amp;L Summary'!$A$6,$B113:$M113)</f>
        <v>0</v>
      </c>
      <c r="P113" s="74">
        <f t="shared" si="5"/>
        <v>0</v>
      </c>
    </row>
    <row r="114" ht="12.75" customHeight="1">
      <c r="A114" s="180" t="s">
        <v>110</v>
      </c>
      <c r="B114">
        <v>983.0</v>
      </c>
      <c r="C114">
        <v>983.0</v>
      </c>
      <c r="D114">
        <v>983.0</v>
      </c>
      <c r="E114">
        <v>983.0</v>
      </c>
      <c r="F114">
        <v>983.0</v>
      </c>
      <c r="G114">
        <v>983.0</v>
      </c>
      <c r="H114">
        <v>983.0</v>
      </c>
      <c r="I114">
        <v>983.0</v>
      </c>
      <c r="J114">
        <v>983.0</v>
      </c>
      <c r="K114">
        <v>983.0</v>
      </c>
      <c r="L114">
        <v>983.0</v>
      </c>
      <c r="M114">
        <v>983.0</v>
      </c>
      <c r="N114" s="74">
        <v>11799.0</v>
      </c>
      <c r="O114" s="74">
        <f>SUMIF($B$5:$M$5,'P&amp;L Summary'!$A$6,$B114:$M114)</f>
        <v>983</v>
      </c>
      <c r="P114" s="74">
        <f t="shared" si="5"/>
        <v>4915</v>
      </c>
    </row>
    <row r="115" ht="12.75" customHeight="1">
      <c r="A115" s="180" t="s">
        <v>111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 s="74">
        <f>SUMIF($B$5:$M$5,'P&amp;L Summary'!$A$6,$B115:$M115)</f>
        <v>0</v>
      </c>
      <c r="P115" s="74">
        <f t="shared" si="5"/>
        <v>0</v>
      </c>
    </row>
    <row r="116" ht="12.75" customHeight="1">
      <c r="O116" s="74"/>
      <c r="P116" s="74"/>
    </row>
    <row r="117" ht="12.75" customHeight="1">
      <c r="O117" s="74"/>
      <c r="P117" s="74"/>
    </row>
    <row r="118" ht="12.75" customHeight="1">
      <c r="A118" s="180" t="s">
        <v>33</v>
      </c>
      <c r="B118" s="74">
        <v>63148.0</v>
      </c>
      <c r="C118" s="74">
        <v>65180.0</v>
      </c>
      <c r="D118" s="74">
        <v>65180.0</v>
      </c>
      <c r="E118" s="74">
        <v>65887.0</v>
      </c>
      <c r="F118" s="74">
        <v>67980.0</v>
      </c>
      <c r="G118" s="74">
        <v>66933.0</v>
      </c>
      <c r="H118" s="74">
        <v>65306.0</v>
      </c>
      <c r="I118" s="74">
        <v>67399.0</v>
      </c>
      <c r="J118" s="74">
        <v>66352.0</v>
      </c>
      <c r="K118" s="74">
        <v>64260.0</v>
      </c>
      <c r="L118" s="74">
        <v>66352.0</v>
      </c>
      <c r="M118" s="74">
        <v>64260.0</v>
      </c>
      <c r="N118" s="74">
        <v>788238.0</v>
      </c>
      <c r="O118" s="74"/>
      <c r="P118" s="74"/>
    </row>
    <row r="119" ht="12.75" customHeight="1">
      <c r="O119" s="74">
        <f>SUMIF($B$5:$M$5,'P&amp;L Summary'!$A$6,$B119:$M119)</f>
        <v>0</v>
      </c>
      <c r="P119" s="74">
        <f t="shared" ref="P119:P129" si="6">SUMIF($B$6:$M$6,"YTD",$B119:$M119)</f>
        <v>0</v>
      </c>
    </row>
    <row r="120" ht="12.75" customHeight="1">
      <c r="A120" s="180" t="s">
        <v>128</v>
      </c>
      <c r="B120" s="74">
        <v>3453.0</v>
      </c>
      <c r="C120" s="74">
        <v>3564.0</v>
      </c>
      <c r="D120" s="74">
        <v>3564.0</v>
      </c>
      <c r="E120" s="74">
        <v>3603.0</v>
      </c>
      <c r="F120" s="74">
        <v>3718.0</v>
      </c>
      <c r="G120" s="74">
        <v>3660.0</v>
      </c>
      <c r="H120" s="74">
        <v>3660.0</v>
      </c>
      <c r="I120" s="74">
        <v>3775.0</v>
      </c>
      <c r="J120" s="74">
        <v>3718.0</v>
      </c>
      <c r="K120" s="74">
        <v>3603.0</v>
      </c>
      <c r="L120" s="74">
        <v>3718.0</v>
      </c>
      <c r="M120" s="74">
        <v>3603.0</v>
      </c>
      <c r="N120" s="74">
        <v>43640.0</v>
      </c>
      <c r="O120" s="74">
        <f>SUMIF($B$5:$M$5,'P&amp;L Summary'!$A$6,$B120:$M120)</f>
        <v>3718</v>
      </c>
      <c r="P120" s="74">
        <f t="shared" si="6"/>
        <v>17902</v>
      </c>
    </row>
    <row r="121" ht="12.75" customHeight="1">
      <c r="A121" s="180" t="s">
        <v>115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 s="74">
        <f>SUMIF($B$5:$M$5,'P&amp;L Summary'!$A$6,$B121:$M121)</f>
        <v>0</v>
      </c>
      <c r="P121" s="74">
        <f t="shared" si="6"/>
        <v>0</v>
      </c>
    </row>
    <row r="122" ht="12.75" customHeight="1">
      <c r="A122" s="180" t="s">
        <v>117</v>
      </c>
      <c r="B122">
        <v>167.0</v>
      </c>
      <c r="C122">
        <v>167.0</v>
      </c>
      <c r="D122">
        <v>167.0</v>
      </c>
      <c r="E122">
        <v>167.0</v>
      </c>
      <c r="F122">
        <v>167.0</v>
      </c>
      <c r="G122">
        <v>167.0</v>
      </c>
      <c r="H122">
        <v>167.0</v>
      </c>
      <c r="I122">
        <v>167.0</v>
      </c>
      <c r="J122">
        <v>167.0</v>
      </c>
      <c r="K122">
        <v>167.0</v>
      </c>
      <c r="L122">
        <v>167.0</v>
      </c>
      <c r="M122">
        <v>167.0</v>
      </c>
      <c r="N122" s="74">
        <v>2001.0</v>
      </c>
      <c r="O122" s="74">
        <f>SUMIF($B$5:$M$5,'P&amp;L Summary'!$A$6,$B122:$M122)</f>
        <v>167</v>
      </c>
      <c r="P122" s="74">
        <f t="shared" si="6"/>
        <v>835</v>
      </c>
    </row>
    <row r="123" ht="12.75" customHeight="1">
      <c r="A123" s="180" t="s">
        <v>118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 s="74">
        <f>SUMIF($B$5:$M$5,'P&amp;L Summary'!$A$6,$B123:$M123)</f>
        <v>0</v>
      </c>
      <c r="P123" s="74">
        <f t="shared" si="6"/>
        <v>0</v>
      </c>
    </row>
    <row r="124" ht="12.75" customHeight="1">
      <c r="A124" s="180" t="s">
        <v>120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 s="74">
        <f>SUMIF($B$5:$M$5,'P&amp;L Summary'!$A$6,$B124:$M124)</f>
        <v>0</v>
      </c>
      <c r="P124" s="74">
        <f t="shared" si="6"/>
        <v>0</v>
      </c>
    </row>
    <row r="125" ht="12.75" customHeight="1">
      <c r="A125" s="180" t="s">
        <v>100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 s="74">
        <f>SUMIF($B$5:$M$5,'P&amp;L Summary'!$A$6,$B125:$M125)</f>
        <v>0</v>
      </c>
      <c r="P125" s="74">
        <f t="shared" si="6"/>
        <v>0</v>
      </c>
    </row>
    <row r="126" ht="12.75" customHeight="1">
      <c r="A126" s="180" t="s">
        <v>122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 s="74">
        <f>SUMIF($B$5:$M$5,'P&amp;L Summary'!$A$6,$B126:$M126)</f>
        <v>0</v>
      </c>
      <c r="P126" s="74">
        <f t="shared" si="6"/>
        <v>0</v>
      </c>
    </row>
    <row r="127" ht="12.75" customHeight="1">
      <c r="A127" s="180" t="s">
        <v>123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 s="74">
        <f>SUMIF($B$5:$M$5,'P&amp;L Summary'!$A$6,$B127:$M127)</f>
        <v>0</v>
      </c>
      <c r="P127" s="74">
        <f t="shared" si="6"/>
        <v>0</v>
      </c>
    </row>
    <row r="128" ht="12.75" customHeight="1">
      <c r="A128" s="180" t="s">
        <v>125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 s="74">
        <f>SUMIF($B$5:$M$5,'P&amp;L Summary'!$A$6,$B128:$M128)</f>
        <v>0</v>
      </c>
      <c r="P128" s="74">
        <f t="shared" si="6"/>
        <v>0</v>
      </c>
    </row>
    <row r="129" ht="12.75" customHeight="1">
      <c r="A129" s="180" t="s">
        <v>126</v>
      </c>
      <c r="B129" s="74">
        <v>3286.0</v>
      </c>
      <c r="C129" s="74">
        <v>3398.0</v>
      </c>
      <c r="D129" s="74">
        <v>3398.0</v>
      </c>
      <c r="E129" s="74">
        <v>3436.0</v>
      </c>
      <c r="F129" s="74">
        <v>3551.0</v>
      </c>
      <c r="G129" s="74">
        <v>3494.0</v>
      </c>
      <c r="H129" s="74">
        <v>3494.0</v>
      </c>
      <c r="I129" s="74">
        <v>3609.0</v>
      </c>
      <c r="J129" s="74">
        <v>3551.0</v>
      </c>
      <c r="K129" s="74">
        <v>3436.0</v>
      </c>
      <c r="L129" s="74">
        <v>3551.0</v>
      </c>
      <c r="M129" s="74">
        <v>3436.0</v>
      </c>
      <c r="N129" s="74">
        <v>41640.0</v>
      </c>
      <c r="O129" s="74">
        <f>SUMIF($B$5:$M$5,'P&amp;L Summary'!$A$6,$B129:$M129)</f>
        <v>3551</v>
      </c>
      <c r="P129" s="74">
        <f t="shared" si="6"/>
        <v>17069</v>
      </c>
    </row>
    <row r="130" ht="12.75" customHeight="1">
      <c r="O130" s="74"/>
      <c r="P130" s="74"/>
    </row>
    <row r="131" ht="12.75" customHeight="1">
      <c r="A131" s="180" t="s">
        <v>153</v>
      </c>
      <c r="B131" s="74">
        <v>59695.0</v>
      </c>
      <c r="C131" s="74">
        <v>61616.0</v>
      </c>
      <c r="D131" s="74">
        <v>61616.0</v>
      </c>
      <c r="E131" s="74">
        <v>62284.0</v>
      </c>
      <c r="F131" s="74">
        <v>64262.0</v>
      </c>
      <c r="G131" s="74">
        <v>63273.0</v>
      </c>
      <c r="H131" s="74">
        <v>61646.0</v>
      </c>
      <c r="I131" s="74">
        <v>63624.0</v>
      </c>
      <c r="J131" s="74">
        <v>62635.0</v>
      </c>
      <c r="K131" s="74">
        <v>60657.0</v>
      </c>
      <c r="L131" s="74">
        <v>62635.0</v>
      </c>
      <c r="M131" s="74">
        <v>60657.0</v>
      </c>
      <c r="N131" s="74">
        <v>744597.0</v>
      </c>
      <c r="O131" s="74"/>
      <c r="P131" s="74"/>
    </row>
    <row r="132" ht="12.75" customHeight="1">
      <c r="A132" s="180" t="s">
        <v>130</v>
      </c>
      <c r="B132" s="74">
        <v>47820.0</v>
      </c>
      <c r="C132" s="74">
        <v>49542.0</v>
      </c>
      <c r="D132" s="74">
        <v>49542.0</v>
      </c>
      <c r="E132" s="74">
        <v>50141.0</v>
      </c>
      <c r="F132" s="74">
        <v>51915.0</v>
      </c>
      <c r="G132" s="74">
        <v>51028.0</v>
      </c>
      <c r="H132" s="74">
        <v>51028.0</v>
      </c>
      <c r="I132" s="74">
        <v>52802.0</v>
      </c>
      <c r="J132" s="74">
        <v>51915.0</v>
      </c>
      <c r="K132" s="74">
        <v>50141.0</v>
      </c>
      <c r="L132" s="74">
        <v>51915.0</v>
      </c>
      <c r="M132" s="74">
        <v>50141.0</v>
      </c>
      <c r="N132" s="74">
        <v>607934.0</v>
      </c>
      <c r="O132" s="74">
        <f>SUMIF($B$5:$M$5,'P&amp;L Summary'!$A$6,$B132:$M132)</f>
        <v>51915</v>
      </c>
      <c r="P132" s="74">
        <f t="shared" ref="P132:P141" si="7">SUMIF($B$6:$M$6,"YTD",$B132:$M132)</f>
        <v>248960</v>
      </c>
    </row>
    <row r="133" ht="12.75" customHeight="1">
      <c r="A133" s="180" t="s">
        <v>132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 s="74">
        <f>SUMIF($B$5:$M$5,'P&amp;L Summary'!$A$6,$B133:$M133)</f>
        <v>0</v>
      </c>
      <c r="P133" s="74">
        <f t="shared" si="7"/>
        <v>0</v>
      </c>
    </row>
    <row r="134" ht="12.75" customHeight="1">
      <c r="A134" s="180" t="s">
        <v>134</v>
      </c>
      <c r="B134" s="74">
        <v>4836.0</v>
      </c>
      <c r="C134" s="74">
        <v>4999.0</v>
      </c>
      <c r="D134" s="74">
        <v>4999.0</v>
      </c>
      <c r="E134" s="74">
        <v>5056.0</v>
      </c>
      <c r="F134" s="74">
        <v>5225.0</v>
      </c>
      <c r="G134" s="74">
        <v>5141.0</v>
      </c>
      <c r="H134" s="74">
        <v>5141.0</v>
      </c>
      <c r="I134" s="74">
        <v>5309.0</v>
      </c>
      <c r="J134" s="74">
        <v>5225.0</v>
      </c>
      <c r="K134" s="74">
        <v>5056.0</v>
      </c>
      <c r="L134" s="74">
        <v>5225.0</v>
      </c>
      <c r="M134" s="74">
        <v>5056.0</v>
      </c>
      <c r="N134" s="74">
        <v>61269.0</v>
      </c>
      <c r="O134" s="74">
        <f>SUMIF($B$5:$M$5,'P&amp;L Summary'!$A$6,$B134:$M134)</f>
        <v>5225</v>
      </c>
      <c r="P134" s="74">
        <f t="shared" si="7"/>
        <v>25115</v>
      </c>
    </row>
    <row r="135" ht="12.75" customHeight="1">
      <c r="A135" s="180" t="s">
        <v>136</v>
      </c>
      <c r="B135">
        <v>2000.0</v>
      </c>
      <c r="C135">
        <v>2000.0</v>
      </c>
      <c r="D135">
        <v>2000.0</v>
      </c>
      <c r="E135">
        <v>2000.0</v>
      </c>
      <c r="F135">
        <v>2000.0</v>
      </c>
      <c r="G135">
        <v>2000.0</v>
      </c>
      <c r="H135">
        <v>2000.0</v>
      </c>
      <c r="I135">
        <v>2000.0</v>
      </c>
      <c r="J135">
        <v>2000.0</v>
      </c>
      <c r="K135">
        <v>2000.0</v>
      </c>
      <c r="L135">
        <v>2000.0</v>
      </c>
      <c r="M135">
        <v>2000.0</v>
      </c>
      <c r="N135">
        <v>24000.0</v>
      </c>
      <c r="O135" s="74">
        <f>SUMIF($B$5:$M$5,'P&amp;L Summary'!$A$6,$B135:$M135)</f>
        <v>2000</v>
      </c>
      <c r="P135" s="74">
        <f t="shared" si="7"/>
        <v>10000</v>
      </c>
    </row>
    <row r="136" ht="12.75" customHeight="1">
      <c r="A136" s="180" t="s">
        <v>137</v>
      </c>
      <c r="B136">
        <v>838.0</v>
      </c>
      <c r="C136">
        <v>838.0</v>
      </c>
      <c r="D136">
        <v>838.0</v>
      </c>
      <c r="E136">
        <v>838.0</v>
      </c>
      <c r="F136">
        <v>838.0</v>
      </c>
      <c r="G136">
        <v>838.0</v>
      </c>
      <c r="H136">
        <v>838.0</v>
      </c>
      <c r="I136">
        <v>838.0</v>
      </c>
      <c r="J136">
        <v>838.0</v>
      </c>
      <c r="K136">
        <v>838.0</v>
      </c>
      <c r="L136">
        <v>838.0</v>
      </c>
      <c r="M136">
        <v>838.0</v>
      </c>
      <c r="N136">
        <v>10056.0</v>
      </c>
      <c r="O136" s="74">
        <f>SUMIF($B$5:$M$5,'P&amp;L Summary'!$A$6,$B136:$M136)</f>
        <v>838</v>
      </c>
      <c r="P136" s="74">
        <f t="shared" si="7"/>
        <v>4190</v>
      </c>
    </row>
    <row r="137" ht="12.75" customHeight="1">
      <c r="A137" s="180" t="s">
        <v>138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 s="74">
        <f>SUMIF($B$5:$M$5,'P&amp;L Summary'!$A$6,$B137:$M137)</f>
        <v>0</v>
      </c>
      <c r="P137" s="74">
        <f t="shared" si="7"/>
        <v>0</v>
      </c>
    </row>
    <row r="138" ht="12.75" customHeight="1">
      <c r="A138" s="180" t="s">
        <v>139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 s="74">
        <f>SUMIF($B$5:$M$5,'P&amp;L Summary'!$A$6,$B138:$M138)</f>
        <v>0</v>
      </c>
      <c r="P138" s="74">
        <f t="shared" si="7"/>
        <v>0</v>
      </c>
    </row>
    <row r="139" ht="12.75" customHeight="1">
      <c r="A139" s="180" t="s">
        <v>140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 s="74">
        <f>SUMIF($B$5:$M$5,'P&amp;L Summary'!$A$6,$B139:$M139)</f>
        <v>0</v>
      </c>
      <c r="P139" s="74">
        <f t="shared" si="7"/>
        <v>0</v>
      </c>
    </row>
    <row r="140" ht="12.75" customHeight="1">
      <c r="A140" s="180" t="s">
        <v>142</v>
      </c>
      <c r="B140">
        <v>3083.0</v>
      </c>
      <c r="C140">
        <v>3083.0</v>
      </c>
      <c r="D140">
        <v>3083.0</v>
      </c>
      <c r="E140">
        <v>3083.0</v>
      </c>
      <c r="F140">
        <v>3083.0</v>
      </c>
      <c r="G140">
        <v>3083.0</v>
      </c>
      <c r="H140">
        <v>3083.0</v>
      </c>
      <c r="I140">
        <v>3083.0</v>
      </c>
      <c r="J140">
        <v>3083.0</v>
      </c>
      <c r="K140">
        <v>3083.0</v>
      </c>
      <c r="L140">
        <v>3083.0</v>
      </c>
      <c r="M140">
        <v>3083.0</v>
      </c>
      <c r="N140" s="74">
        <v>37000.0</v>
      </c>
      <c r="O140" s="74">
        <f>SUMIF($B$5:$M$5,'P&amp;L Summary'!$A$6,$B140:$M140)</f>
        <v>3083</v>
      </c>
      <c r="P140" s="74">
        <f t="shared" si="7"/>
        <v>15415</v>
      </c>
    </row>
    <row r="141" ht="12.75" customHeight="1">
      <c r="E141" t="s">
        <v>238</v>
      </c>
      <c r="M141" t="s">
        <v>239</v>
      </c>
      <c r="N141" s="200" t="s">
        <v>240</v>
      </c>
      <c r="O141" s="74">
        <f>SUMIF($B$5:$M$5,'P&amp;L Summary'!$A$6,$B141:$M141)</f>
        <v>0</v>
      </c>
      <c r="P141" s="74">
        <f t="shared" si="7"/>
        <v>0</v>
      </c>
    </row>
    <row r="142" ht="12.75" customHeight="1">
      <c r="A142" s="180" t="s">
        <v>231</v>
      </c>
      <c r="C142" t="s">
        <v>241</v>
      </c>
      <c r="D142" t="s">
        <v>242</v>
      </c>
      <c r="E142" t="s">
        <v>243</v>
      </c>
      <c r="F142" t="s">
        <v>244</v>
      </c>
      <c r="G142" t="s">
        <v>245</v>
      </c>
      <c r="N142" t="s">
        <v>257</v>
      </c>
      <c r="O142" s="74"/>
      <c r="P142" s="74"/>
    </row>
    <row r="143" ht="12.75" customHeight="1">
      <c r="A143" s="180"/>
      <c r="D143" t="s">
        <v>213</v>
      </c>
      <c r="E143" t="s">
        <v>214</v>
      </c>
      <c r="F143" t="s">
        <v>256</v>
      </c>
      <c r="O143" s="74"/>
      <c r="P143" s="74"/>
    </row>
    <row r="144" ht="12.75" customHeight="1">
      <c r="A144" s="180"/>
      <c r="O144" s="74"/>
      <c r="P144" s="74"/>
    </row>
    <row r="145" ht="12.75" customHeight="1">
      <c r="A145" s="180" t="s">
        <v>216</v>
      </c>
      <c r="O145" s="74"/>
      <c r="P145" s="74"/>
    </row>
    <row r="146" ht="12.75" customHeight="1">
      <c r="A146" s="180" t="s">
        <v>217</v>
      </c>
      <c r="B146" t="s">
        <v>247</v>
      </c>
      <c r="C146" t="s">
        <v>248</v>
      </c>
      <c r="D146" t="s">
        <v>249</v>
      </c>
      <c r="E146" t="s">
        <v>250</v>
      </c>
      <c r="F146" t="s">
        <v>251</v>
      </c>
      <c r="G146" t="s">
        <v>252</v>
      </c>
      <c r="H146" t="s">
        <v>253</v>
      </c>
      <c r="I146" t="s">
        <v>254</v>
      </c>
      <c r="O146" s="74"/>
      <c r="P146" s="74"/>
    </row>
    <row r="147" ht="12.75" customHeight="1">
      <c r="A147" s="180"/>
      <c r="B147" t="s">
        <v>236</v>
      </c>
      <c r="C147" t="s">
        <v>236</v>
      </c>
      <c r="D147" t="s">
        <v>236</v>
      </c>
      <c r="E147" t="s">
        <v>236</v>
      </c>
      <c r="F147" t="s">
        <v>236</v>
      </c>
      <c r="G147" t="s">
        <v>236</v>
      </c>
      <c r="H147" t="s">
        <v>236</v>
      </c>
      <c r="I147" t="s">
        <v>236</v>
      </c>
      <c r="J147" t="s">
        <v>236</v>
      </c>
      <c r="K147" t="s">
        <v>236</v>
      </c>
      <c r="L147" t="s">
        <v>236</v>
      </c>
      <c r="M147" t="s">
        <v>236</v>
      </c>
      <c r="N147" t="s">
        <v>40</v>
      </c>
      <c r="O147" s="74"/>
      <c r="P147" s="74"/>
    </row>
    <row r="148" ht="12.75" customHeight="1">
      <c r="A148" s="180"/>
      <c r="B148" s="119">
        <v>43101.0</v>
      </c>
      <c r="C148" s="119">
        <v>43132.0</v>
      </c>
      <c r="D148" s="119">
        <v>43160.0</v>
      </c>
      <c r="E148" s="119">
        <v>43191.0</v>
      </c>
      <c r="F148" s="119">
        <v>43221.0</v>
      </c>
      <c r="G148" s="119">
        <v>43252.0</v>
      </c>
      <c r="H148" s="119">
        <v>43282.0</v>
      </c>
      <c r="I148" s="119">
        <v>43313.0</v>
      </c>
      <c r="J148" s="119">
        <v>43344.0</v>
      </c>
      <c r="K148" s="119">
        <v>43374.0</v>
      </c>
      <c r="L148" s="119">
        <v>43405.0</v>
      </c>
      <c r="M148" s="119">
        <v>43435.0</v>
      </c>
      <c r="O148" s="74"/>
      <c r="P148" s="74"/>
    </row>
    <row r="149" ht="12.75" customHeight="1">
      <c r="A149" s="180"/>
      <c r="B149" t="s">
        <v>222</v>
      </c>
      <c r="C149" t="s">
        <v>222</v>
      </c>
      <c r="D149" t="s">
        <v>222</v>
      </c>
      <c r="E149" t="s">
        <v>222</v>
      </c>
      <c r="F149" t="s">
        <v>222</v>
      </c>
      <c r="G149" t="s">
        <v>222</v>
      </c>
      <c r="H149" t="s">
        <v>222</v>
      </c>
      <c r="I149" t="s">
        <v>222</v>
      </c>
      <c r="J149" t="s">
        <v>222</v>
      </c>
      <c r="K149" t="s">
        <v>222</v>
      </c>
      <c r="L149" t="s">
        <v>222</v>
      </c>
      <c r="M149" t="s">
        <v>222</v>
      </c>
      <c r="N149" t="s">
        <v>223</v>
      </c>
      <c r="O149" s="74"/>
      <c r="P149" s="74"/>
    </row>
    <row r="150" ht="12.75" customHeight="1">
      <c r="A150" s="180" t="s">
        <v>144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 s="74">
        <f>SUMIF($B$5:$M$5,'P&amp;L Summary'!$A$6,$B150:$M150)</f>
        <v>0</v>
      </c>
      <c r="P150" s="74">
        <f t="shared" ref="P150:P155" si="8">SUMIF($B$6:$M$6,"YTD",$B150:$M150)</f>
        <v>0</v>
      </c>
    </row>
    <row r="151" ht="12.75" customHeight="1">
      <c r="A151" s="180" t="s">
        <v>146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 s="74">
        <f>SUMIF($B$5:$M$5,'P&amp;L Summary'!$A$6,$B151:$M151)</f>
        <v>0</v>
      </c>
      <c r="P151" s="74">
        <f t="shared" si="8"/>
        <v>0</v>
      </c>
    </row>
    <row r="152" ht="12.75" customHeight="1">
      <c r="A152" s="180" t="s">
        <v>148</v>
      </c>
      <c r="B152">
        <v>956.0</v>
      </c>
      <c r="C152">
        <v>991.0</v>
      </c>
      <c r="D152">
        <v>991.0</v>
      </c>
      <c r="E152">
        <v>1003.0</v>
      </c>
      <c r="F152">
        <v>1038.0</v>
      </c>
      <c r="G152">
        <v>1021.0</v>
      </c>
      <c r="H152">
        <v>1021.0</v>
      </c>
      <c r="I152">
        <v>1056.0</v>
      </c>
      <c r="J152">
        <v>1038.0</v>
      </c>
      <c r="K152">
        <v>1003.0</v>
      </c>
      <c r="L152">
        <v>1038.0</v>
      </c>
      <c r="M152">
        <v>1003.0</v>
      </c>
      <c r="N152" s="74">
        <v>12159.0</v>
      </c>
      <c r="O152" s="74">
        <f>SUMIF($B$5:$M$5,'P&amp;L Summary'!$A$6,$B152:$M152)</f>
        <v>1038</v>
      </c>
      <c r="P152" s="74">
        <f t="shared" si="8"/>
        <v>4979</v>
      </c>
    </row>
    <row r="153" ht="12.75" customHeight="1">
      <c r="A153" s="180" t="s">
        <v>149</v>
      </c>
      <c r="B153">
        <v>-109.0</v>
      </c>
      <c r="C153">
        <v>-109.0</v>
      </c>
      <c r="D153">
        <v>-109.0</v>
      </c>
      <c r="E153">
        <v>-109.0</v>
      </c>
      <c r="F153">
        <v>-109.0</v>
      </c>
      <c r="G153">
        <v>-109.0</v>
      </c>
      <c r="H153">
        <v>-109.0</v>
      </c>
      <c r="I153">
        <v>-109.0</v>
      </c>
      <c r="J153">
        <v>-109.0</v>
      </c>
      <c r="K153">
        <v>-109.0</v>
      </c>
      <c r="L153">
        <v>-109.0</v>
      </c>
      <c r="M153">
        <v>-109.0</v>
      </c>
      <c r="N153">
        <v>-1303.0</v>
      </c>
      <c r="O153" s="74">
        <f>SUMIF($B$5:$M$5,'P&amp;L Summary'!$A$6,$B153:$M153)</f>
        <v>-109</v>
      </c>
      <c r="P153" s="74">
        <f t="shared" si="8"/>
        <v>-545</v>
      </c>
    </row>
    <row r="154" ht="12.75" customHeight="1">
      <c r="A154" s="180" t="s">
        <v>151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 s="74">
        <v>0.0</v>
      </c>
      <c r="O154" s="74">
        <f>SUMIF($B$5:$M$5,'P&amp;L Summary'!$A$6,$B154:$M154)</f>
        <v>0</v>
      </c>
      <c r="P154" s="74">
        <f t="shared" si="8"/>
        <v>0</v>
      </c>
    </row>
    <row r="155" ht="12.75" customHeight="1">
      <c r="A155" s="180" t="s">
        <v>152</v>
      </c>
      <c r="B155">
        <v>271.0</v>
      </c>
      <c r="C155">
        <v>271.0</v>
      </c>
      <c r="D155">
        <v>271.0</v>
      </c>
      <c r="E155">
        <v>271.0</v>
      </c>
      <c r="F155">
        <v>271.0</v>
      </c>
      <c r="G155">
        <v>271.0</v>
      </c>
      <c r="H155">
        <v>-1357.0</v>
      </c>
      <c r="I155">
        <v>-1357.0</v>
      </c>
      <c r="J155">
        <v>-1357.0</v>
      </c>
      <c r="K155">
        <v>-1357.0</v>
      </c>
      <c r="L155">
        <v>-1357.0</v>
      </c>
      <c r="M155">
        <v>-1357.0</v>
      </c>
      <c r="N155">
        <v>-6517.0</v>
      </c>
      <c r="O155" s="74">
        <f>SUMIF($B$5:$M$5,'P&amp;L Summary'!$A$6,$B155:$M155)</f>
        <v>271</v>
      </c>
      <c r="P155" s="74">
        <f t="shared" si="8"/>
        <v>1355</v>
      </c>
    </row>
    <row r="156" ht="12.75" customHeight="1">
      <c r="O156" s="74"/>
      <c r="P156" s="74"/>
    </row>
    <row r="157" ht="12.75" customHeight="1">
      <c r="O157" s="74"/>
      <c r="P157" s="74"/>
    </row>
    <row r="158" ht="12.75" customHeight="1">
      <c r="O158" s="74"/>
      <c r="P158" s="74"/>
    </row>
    <row r="159" ht="12.75" customHeight="1">
      <c r="O159" s="74"/>
      <c r="P159" s="74"/>
    </row>
    <row r="160" ht="12.75" customHeight="1">
      <c r="O160" s="74"/>
      <c r="P160" s="74"/>
    </row>
    <row r="161" ht="12.75" customHeight="1">
      <c r="O161" s="74"/>
      <c r="P161" s="74"/>
    </row>
    <row r="162" ht="12.75" customHeight="1">
      <c r="O162" s="74"/>
      <c r="P162" s="74"/>
    </row>
    <row r="163" ht="12.75" customHeight="1">
      <c r="O163" s="74"/>
      <c r="P163" s="74"/>
    </row>
    <row r="164" ht="12.75" customHeight="1">
      <c r="O164" s="74"/>
      <c r="P164" s="74"/>
    </row>
    <row r="165" ht="12.75" customHeight="1">
      <c r="O165" s="74"/>
      <c r="P165" s="74"/>
    </row>
    <row r="166" ht="12.75" customHeight="1">
      <c r="O166" s="74"/>
      <c r="P166" s="74"/>
    </row>
    <row r="167" ht="12.75" customHeight="1">
      <c r="O167" s="74"/>
      <c r="P167" s="74"/>
    </row>
    <row r="168" ht="12.75" customHeight="1">
      <c r="O168" s="74"/>
      <c r="P168" s="74"/>
    </row>
    <row r="169" ht="12.75" customHeight="1">
      <c r="O169" s="74"/>
      <c r="P169" s="74"/>
    </row>
    <row r="170" ht="12.75" customHeight="1">
      <c r="O170" s="74"/>
      <c r="P170" s="74"/>
    </row>
    <row r="171" ht="12.75" customHeight="1">
      <c r="O171" s="74"/>
      <c r="P171" s="74"/>
    </row>
    <row r="172" ht="12.75" customHeight="1">
      <c r="O172" s="74"/>
      <c r="P172" s="74"/>
    </row>
    <row r="173" ht="12.75" customHeight="1">
      <c r="O173" s="74"/>
      <c r="P173" s="74"/>
    </row>
    <row r="174" ht="12.75" customHeight="1">
      <c r="O174" s="74"/>
      <c r="P174" s="74"/>
    </row>
    <row r="175" ht="12.75" customHeight="1">
      <c r="O175" s="74"/>
      <c r="P175" s="74"/>
    </row>
    <row r="176" ht="12.75" customHeight="1">
      <c r="O176" s="74"/>
      <c r="P176" s="74"/>
    </row>
    <row r="177" ht="12.75" customHeight="1">
      <c r="O177" s="74"/>
      <c r="P177" s="74"/>
    </row>
    <row r="178" ht="12.75" customHeight="1">
      <c r="O178" s="74"/>
      <c r="P178" s="74"/>
    </row>
    <row r="179" ht="12.75" customHeight="1">
      <c r="O179" s="74"/>
      <c r="P179" s="74"/>
    </row>
    <row r="180" ht="12.75" customHeight="1">
      <c r="O180" s="74"/>
      <c r="P180" s="74"/>
    </row>
    <row r="181" ht="12.75" customHeight="1">
      <c r="O181" s="74"/>
      <c r="P181" s="74"/>
    </row>
    <row r="182" ht="12.75" customHeight="1">
      <c r="O182" s="74"/>
      <c r="P182" s="74"/>
    </row>
    <row r="183" ht="12.75" customHeight="1">
      <c r="O183" s="74"/>
      <c r="P183" s="74"/>
    </row>
    <row r="184" ht="12.75" customHeight="1">
      <c r="O184" s="74"/>
      <c r="P184" s="74"/>
    </row>
    <row r="185" ht="12.75" customHeight="1">
      <c r="O185" s="74"/>
      <c r="P185" s="74"/>
    </row>
    <row r="186" ht="12.75" customHeight="1">
      <c r="O186" s="74"/>
      <c r="P186" s="74"/>
    </row>
    <row r="187" ht="12.75" customHeight="1">
      <c r="O187" s="74"/>
      <c r="P187" s="74"/>
    </row>
    <row r="188" ht="12.75" customHeight="1">
      <c r="O188" s="74"/>
      <c r="P188" s="74"/>
    </row>
    <row r="189" ht="12.75" customHeight="1">
      <c r="O189" s="74"/>
      <c r="P189" s="74"/>
    </row>
    <row r="190" ht="12.75" customHeight="1">
      <c r="O190" s="74"/>
      <c r="P190" s="74"/>
    </row>
    <row r="191" ht="12.75" customHeight="1">
      <c r="O191" s="74"/>
      <c r="P191" s="74"/>
    </row>
    <row r="192" ht="12.75" customHeight="1">
      <c r="O192" s="74"/>
      <c r="P192" s="74"/>
    </row>
    <row r="193" ht="12.75" customHeight="1">
      <c r="O193" s="74"/>
      <c r="P193" s="74"/>
    </row>
    <row r="194" ht="12.75" customHeight="1">
      <c r="O194" s="74"/>
      <c r="P194" s="74"/>
    </row>
    <row r="195" ht="12.75" customHeight="1">
      <c r="O195" s="74"/>
      <c r="P195" s="74"/>
    </row>
    <row r="196" ht="12.75" customHeight="1">
      <c r="O196" s="74"/>
      <c r="P196" s="74"/>
    </row>
    <row r="197" ht="12.75" customHeight="1">
      <c r="O197" s="74"/>
      <c r="P197" s="74"/>
    </row>
    <row r="198" ht="12.75" customHeight="1">
      <c r="O198" s="74"/>
      <c r="P198" s="74"/>
    </row>
    <row r="199" ht="12.75" customHeight="1">
      <c r="O199" s="74"/>
      <c r="P199" s="74"/>
    </row>
    <row r="200" ht="12.75" customHeight="1">
      <c r="O200" s="74"/>
      <c r="P200" s="74"/>
    </row>
    <row r="201" ht="12.75" customHeight="1">
      <c r="O201" s="74"/>
      <c r="P201" s="74"/>
    </row>
    <row r="202" ht="12.75" customHeight="1">
      <c r="O202" s="74"/>
      <c r="P202" s="74"/>
    </row>
    <row r="203" ht="12.75" customHeight="1">
      <c r="O203" s="74"/>
      <c r="P203" s="74"/>
    </row>
    <row r="204" ht="12.75" customHeight="1">
      <c r="O204" s="74"/>
      <c r="P204" s="74"/>
    </row>
    <row r="205" ht="12.75" customHeight="1">
      <c r="O205" s="74"/>
      <c r="P205" s="74"/>
    </row>
    <row r="206" ht="12.75" customHeight="1">
      <c r="O206" s="74"/>
      <c r="P206" s="74"/>
    </row>
    <row r="207" ht="12.75" customHeight="1">
      <c r="O207" s="74"/>
      <c r="P207" s="74"/>
    </row>
    <row r="208" ht="12.75" customHeight="1">
      <c r="O208" s="74"/>
      <c r="P208" s="74"/>
    </row>
    <row r="209" ht="12.75" customHeight="1">
      <c r="O209" s="74"/>
      <c r="P209" s="74"/>
    </row>
    <row r="210" ht="12.75" customHeight="1">
      <c r="O210" s="74"/>
      <c r="P210" s="74"/>
    </row>
    <row r="211" ht="12.75" customHeight="1">
      <c r="O211" s="74"/>
      <c r="P211" s="74"/>
    </row>
    <row r="212" ht="12.75" customHeight="1">
      <c r="O212" s="74"/>
      <c r="P212" s="74"/>
    </row>
    <row r="213" ht="12.75" customHeight="1">
      <c r="O213" s="74"/>
      <c r="P213" s="74"/>
    </row>
    <row r="214" ht="12.75" customHeight="1">
      <c r="O214" s="74"/>
      <c r="P214" s="74"/>
    </row>
    <row r="215" ht="12.75" customHeight="1">
      <c r="O215" s="74"/>
      <c r="P215" s="74"/>
    </row>
    <row r="216" ht="12.75" customHeight="1">
      <c r="O216" s="74"/>
      <c r="P216" s="74"/>
    </row>
    <row r="217" ht="12.75" customHeight="1">
      <c r="O217" s="74"/>
      <c r="P217" s="74"/>
    </row>
    <row r="218" ht="12.75" customHeight="1">
      <c r="O218" s="74"/>
      <c r="P218" s="74"/>
    </row>
    <row r="219" ht="12.75" customHeight="1">
      <c r="O219" s="74"/>
      <c r="P219" s="74"/>
    </row>
    <row r="220" ht="12.75" customHeight="1">
      <c r="O220" s="74"/>
      <c r="P220" s="74"/>
    </row>
    <row r="221" ht="12.75" customHeight="1">
      <c r="O221" s="74"/>
      <c r="P221" s="74"/>
    </row>
    <row r="222" ht="12.75" customHeight="1">
      <c r="O222" s="74"/>
      <c r="P222" s="74"/>
    </row>
    <row r="223" ht="12.75" customHeight="1">
      <c r="O223" s="74"/>
      <c r="P223" s="74"/>
    </row>
    <row r="224" ht="12.75" customHeight="1">
      <c r="O224" s="74"/>
      <c r="P224" s="74"/>
    </row>
    <row r="225" ht="12.75" customHeight="1">
      <c r="O225" s="74"/>
      <c r="P225" s="74"/>
    </row>
    <row r="226" ht="12.75" customHeight="1">
      <c r="O226" s="74"/>
      <c r="P226" s="74"/>
    </row>
    <row r="227" ht="12.75" customHeight="1">
      <c r="O227" s="74"/>
      <c r="P227" s="74"/>
    </row>
    <row r="228" ht="12.75" customHeight="1">
      <c r="O228" s="74"/>
      <c r="P228" s="74"/>
    </row>
    <row r="229" ht="12.75" customHeight="1">
      <c r="O229" s="74"/>
      <c r="P229" s="74"/>
    </row>
    <row r="230" ht="12.75" customHeight="1">
      <c r="O230" s="74"/>
      <c r="P230" s="74"/>
    </row>
    <row r="231" ht="12.75" customHeight="1">
      <c r="O231" s="74"/>
      <c r="P231" s="74"/>
    </row>
    <row r="232" ht="12.75" customHeight="1">
      <c r="O232" s="74"/>
      <c r="P232" s="74"/>
    </row>
    <row r="233" ht="12.75" customHeight="1">
      <c r="O233" s="74"/>
      <c r="P233" s="74"/>
    </row>
    <row r="234" ht="12.75" customHeight="1">
      <c r="O234" s="74"/>
      <c r="P234" s="74"/>
    </row>
    <row r="235" ht="12.75" customHeight="1">
      <c r="O235" s="74"/>
      <c r="P235" s="74"/>
    </row>
    <row r="236" ht="12.75" customHeight="1">
      <c r="O236" s="74"/>
      <c r="P236" s="74"/>
    </row>
    <row r="237" ht="12.75" customHeight="1">
      <c r="O237" s="74"/>
      <c r="P237" s="74"/>
    </row>
    <row r="238" ht="12.75" customHeight="1">
      <c r="O238" s="74"/>
      <c r="P238" s="74"/>
    </row>
    <row r="239" ht="12.75" customHeight="1">
      <c r="O239" s="74"/>
      <c r="P239" s="74"/>
    </row>
    <row r="240" ht="12.75" customHeight="1">
      <c r="O240" s="74"/>
      <c r="P240" s="74"/>
    </row>
    <row r="241" ht="12.75" customHeight="1">
      <c r="O241" s="74"/>
      <c r="P241" s="74"/>
    </row>
    <row r="242" ht="12.75" customHeight="1">
      <c r="O242" s="74"/>
      <c r="P242" s="74"/>
    </row>
    <row r="243" ht="12.75" customHeight="1">
      <c r="O243" s="74"/>
      <c r="P243" s="74"/>
    </row>
    <row r="244" ht="12.75" customHeight="1">
      <c r="O244" s="74"/>
      <c r="P244" s="74"/>
    </row>
    <row r="245" ht="12.75" customHeight="1">
      <c r="O245" s="74"/>
      <c r="P245" s="74"/>
    </row>
    <row r="246" ht="12.75" customHeight="1">
      <c r="O246" s="74"/>
      <c r="P246" s="74"/>
    </row>
    <row r="247" ht="12.75" customHeight="1">
      <c r="O247" s="74"/>
      <c r="P247" s="74"/>
    </row>
    <row r="248" ht="12.75" customHeight="1">
      <c r="O248" s="74"/>
      <c r="P248" s="74"/>
    </row>
    <row r="249" ht="12.75" customHeight="1">
      <c r="O249" s="74"/>
      <c r="P249" s="74"/>
    </row>
    <row r="250" ht="12.75" customHeight="1">
      <c r="O250" s="74"/>
      <c r="P250" s="74"/>
    </row>
    <row r="251" ht="12.75" customHeight="1">
      <c r="O251" s="74"/>
      <c r="P251" s="74"/>
    </row>
    <row r="252" ht="12.75" customHeight="1">
      <c r="O252" s="74"/>
      <c r="P252" s="74"/>
    </row>
    <row r="253" ht="12.75" customHeight="1">
      <c r="O253" s="74"/>
      <c r="P253" s="74"/>
    </row>
    <row r="254" ht="12.75" customHeight="1">
      <c r="O254" s="74"/>
      <c r="P254" s="74"/>
    </row>
    <row r="255" ht="12.75" customHeight="1">
      <c r="O255" s="74"/>
      <c r="P255" s="74"/>
    </row>
    <row r="256" ht="12.75" customHeight="1">
      <c r="O256" s="74"/>
      <c r="P256" s="74"/>
    </row>
    <row r="257" ht="12.75" customHeight="1">
      <c r="O257" s="74"/>
      <c r="P257" s="74"/>
    </row>
    <row r="258" ht="12.75" customHeight="1">
      <c r="O258" s="74"/>
      <c r="P258" s="74"/>
    </row>
    <row r="259" ht="12.75" customHeight="1">
      <c r="O259" s="74"/>
      <c r="P259" s="74"/>
    </row>
    <row r="260" ht="12.75" customHeight="1">
      <c r="O260" s="74"/>
      <c r="P260" s="74"/>
    </row>
    <row r="261" ht="12.75" customHeight="1">
      <c r="O261" s="74"/>
      <c r="P261" s="74"/>
    </row>
    <row r="262" ht="12.75" customHeight="1">
      <c r="O262" s="74"/>
      <c r="P262" s="74"/>
    </row>
    <row r="263" ht="12.75" customHeight="1">
      <c r="O263" s="74"/>
      <c r="P263" s="74"/>
    </row>
    <row r="264" ht="12.75" customHeight="1">
      <c r="O264" s="74"/>
      <c r="P264" s="74"/>
    </row>
    <row r="265" ht="12.75" customHeight="1">
      <c r="O265" s="74"/>
      <c r="P265" s="74"/>
    </row>
    <row r="266" ht="12.75" customHeight="1">
      <c r="O266" s="74"/>
      <c r="P266" s="74"/>
    </row>
    <row r="267" ht="12.75" customHeight="1">
      <c r="O267" s="74"/>
      <c r="P267" s="74"/>
    </row>
    <row r="268" ht="12.75" customHeight="1">
      <c r="O268" s="74"/>
      <c r="P268" s="74"/>
    </row>
    <row r="269" ht="12.75" customHeight="1">
      <c r="O269" s="74"/>
      <c r="P269" s="74"/>
    </row>
    <row r="270" ht="12.75" customHeight="1">
      <c r="O270" s="74"/>
      <c r="P270" s="74"/>
    </row>
    <row r="271" ht="12.75" customHeight="1">
      <c r="O271" s="74"/>
      <c r="P271" s="74"/>
    </row>
    <row r="272" ht="12.75" customHeight="1">
      <c r="O272" s="74"/>
      <c r="P272" s="74"/>
    </row>
    <row r="273" ht="12.75" customHeight="1">
      <c r="O273" s="74"/>
      <c r="P273" s="74"/>
    </row>
    <row r="274" ht="12.75" customHeight="1">
      <c r="O274" s="74"/>
      <c r="P274" s="74"/>
    </row>
    <row r="275" ht="12.75" customHeight="1">
      <c r="O275" s="74"/>
      <c r="P275" s="74"/>
    </row>
    <row r="276" ht="12.75" customHeight="1">
      <c r="O276" s="74"/>
      <c r="P276" s="74"/>
    </row>
    <row r="277" ht="12.75" customHeight="1">
      <c r="O277" s="74"/>
      <c r="P277" s="74"/>
    </row>
    <row r="278" ht="12.75" customHeight="1">
      <c r="O278" s="74"/>
      <c r="P278" s="74"/>
    </row>
    <row r="279" ht="12.75" customHeight="1">
      <c r="O279" s="74"/>
      <c r="P279" s="74"/>
    </row>
    <row r="280" ht="12.75" customHeight="1">
      <c r="O280" s="74"/>
      <c r="P280" s="74"/>
    </row>
    <row r="281" ht="12.75" customHeight="1">
      <c r="O281" s="74"/>
      <c r="P281" s="74"/>
    </row>
    <row r="282" ht="12.75" customHeight="1">
      <c r="O282" s="74"/>
      <c r="P282" s="74"/>
    </row>
    <row r="283" ht="12.75" customHeight="1">
      <c r="O283" s="74"/>
      <c r="P283" s="74"/>
    </row>
    <row r="284" ht="12.75" customHeight="1">
      <c r="O284" s="74"/>
      <c r="P284" s="74"/>
    </row>
    <row r="285" ht="12.75" customHeight="1">
      <c r="O285" s="74"/>
      <c r="P285" s="74"/>
    </row>
    <row r="286" ht="12.75" customHeight="1">
      <c r="O286" s="74"/>
      <c r="P286" s="74"/>
    </row>
    <row r="287" ht="12.75" customHeight="1">
      <c r="O287" s="74"/>
      <c r="P287" s="74"/>
    </row>
    <row r="288" ht="12.75" customHeight="1">
      <c r="O288" s="74"/>
      <c r="P288" s="74"/>
    </row>
    <row r="289" ht="12.75" customHeight="1">
      <c r="O289" s="74"/>
      <c r="P289" s="74"/>
    </row>
    <row r="290" ht="12.75" customHeight="1">
      <c r="O290" s="74"/>
      <c r="P290" s="74"/>
    </row>
    <row r="291" ht="12.75" customHeight="1">
      <c r="O291" s="74"/>
      <c r="P291" s="74"/>
    </row>
    <row r="292" ht="12.75" customHeight="1">
      <c r="O292" s="74"/>
      <c r="P292" s="74"/>
    </row>
    <row r="293" ht="12.75" customHeight="1">
      <c r="O293" s="74"/>
      <c r="P293" s="74"/>
    </row>
    <row r="294" ht="12.75" customHeight="1">
      <c r="O294" s="74"/>
      <c r="P294" s="74"/>
    </row>
    <row r="295" ht="12.75" customHeight="1">
      <c r="O295" s="74"/>
      <c r="P295" s="74"/>
    </row>
    <row r="296" ht="12.75" customHeight="1">
      <c r="O296" s="74"/>
      <c r="P296" s="74"/>
    </row>
    <row r="297" ht="12.75" customHeight="1">
      <c r="O297" s="74"/>
      <c r="P297" s="74"/>
    </row>
    <row r="298" ht="12.75" customHeight="1">
      <c r="O298" s="74"/>
      <c r="P298" s="74"/>
    </row>
    <row r="299" ht="12.75" customHeight="1">
      <c r="O299" s="74"/>
      <c r="P299" s="74"/>
    </row>
    <row r="300" ht="12.75" customHeight="1">
      <c r="O300" s="74"/>
      <c r="P300" s="74"/>
    </row>
    <row r="301" ht="12.75" customHeight="1">
      <c r="O301" s="74"/>
      <c r="P301" s="74"/>
    </row>
    <row r="302" ht="12.75" customHeight="1">
      <c r="O302" s="74"/>
      <c r="P302" s="74"/>
    </row>
    <row r="303" ht="12.75" customHeight="1">
      <c r="O303" s="74"/>
      <c r="P303" s="74"/>
    </row>
    <row r="304" ht="12.75" customHeight="1">
      <c r="O304" s="74"/>
      <c r="P304" s="74"/>
    </row>
    <row r="305" ht="12.75" customHeight="1">
      <c r="O305" s="74"/>
      <c r="P305" s="74"/>
    </row>
    <row r="306" ht="12.75" customHeight="1">
      <c r="O306" s="74"/>
      <c r="P306" s="74"/>
    </row>
    <row r="307" ht="12.75" customHeight="1">
      <c r="O307" s="74"/>
      <c r="P307" s="74"/>
    </row>
    <row r="308" ht="12.75" customHeight="1">
      <c r="O308" s="74"/>
      <c r="P308" s="74"/>
    </row>
    <row r="309" ht="12.75" customHeight="1">
      <c r="O309" s="74"/>
      <c r="P309" s="74"/>
    </row>
    <row r="310" ht="12.75" customHeight="1">
      <c r="O310" s="74"/>
      <c r="P310" s="74"/>
    </row>
    <row r="311" ht="12.75" customHeight="1">
      <c r="O311" s="74"/>
      <c r="P311" s="74"/>
    </row>
    <row r="312" ht="12.75" customHeight="1">
      <c r="O312" s="74"/>
      <c r="P312" s="74"/>
    </row>
    <row r="313" ht="12.75" customHeight="1">
      <c r="O313" s="74"/>
      <c r="P313" s="74"/>
    </row>
    <row r="314" ht="12.75" customHeight="1">
      <c r="O314" s="74"/>
      <c r="P314" s="74"/>
    </row>
    <row r="315" ht="12.75" customHeight="1">
      <c r="O315" s="74"/>
      <c r="P315" s="74"/>
    </row>
    <row r="316" ht="12.75" customHeight="1">
      <c r="O316" s="74"/>
      <c r="P316" s="74"/>
    </row>
    <row r="317" ht="12.75" customHeight="1">
      <c r="O317" s="74"/>
      <c r="P317" s="74"/>
    </row>
    <row r="318" ht="12.75" customHeight="1">
      <c r="O318" s="74"/>
      <c r="P318" s="74"/>
    </row>
    <row r="319" ht="12.75" customHeight="1">
      <c r="O319" s="74"/>
      <c r="P319" s="74"/>
    </row>
    <row r="320" ht="12.75" customHeight="1">
      <c r="O320" s="74"/>
      <c r="P320" s="74"/>
    </row>
    <row r="321" ht="12.75" customHeight="1">
      <c r="O321" s="74"/>
      <c r="P321" s="74"/>
    </row>
    <row r="322" ht="12.75" customHeight="1">
      <c r="O322" s="74"/>
      <c r="P322" s="74"/>
    </row>
    <row r="323" ht="12.75" customHeight="1">
      <c r="O323" s="74"/>
      <c r="P323" s="74"/>
    </row>
    <row r="324" ht="12.75" customHeight="1">
      <c r="O324" s="74"/>
      <c r="P324" s="74"/>
    </row>
    <row r="325" ht="12.75" customHeight="1">
      <c r="O325" s="74"/>
      <c r="P325" s="74"/>
    </row>
    <row r="326" ht="12.75" customHeight="1">
      <c r="O326" s="74"/>
      <c r="P326" s="74"/>
    </row>
    <row r="327" ht="12.75" customHeight="1">
      <c r="O327" s="74"/>
      <c r="P327" s="74"/>
    </row>
    <row r="328" ht="12.75" customHeight="1">
      <c r="O328" s="74"/>
      <c r="P328" s="74"/>
    </row>
    <row r="329" ht="12.75" customHeight="1">
      <c r="O329" s="74"/>
      <c r="P329" s="74"/>
    </row>
    <row r="330" ht="12.75" customHeight="1">
      <c r="O330" s="74"/>
      <c r="P330" s="74"/>
    </row>
    <row r="331" ht="12.75" customHeight="1">
      <c r="O331" s="74"/>
      <c r="P331" s="74"/>
    </row>
    <row r="332" ht="12.75" customHeight="1">
      <c r="O332" s="74"/>
      <c r="P332" s="74"/>
    </row>
    <row r="333" ht="12.75" customHeight="1">
      <c r="O333" s="74"/>
      <c r="P333" s="74"/>
    </row>
    <row r="334" ht="12.75" customHeight="1">
      <c r="O334" s="74"/>
      <c r="P334" s="74"/>
    </row>
    <row r="335" ht="12.75" customHeight="1">
      <c r="O335" s="74"/>
      <c r="P335" s="74"/>
    </row>
    <row r="336" ht="12.75" customHeight="1">
      <c r="O336" s="74"/>
      <c r="P336" s="74"/>
    </row>
    <row r="337" ht="12.75" customHeight="1">
      <c r="O337" s="74"/>
      <c r="P337" s="74"/>
    </row>
    <row r="338" ht="12.75" customHeight="1">
      <c r="O338" s="74"/>
      <c r="P338" s="74"/>
    </row>
    <row r="339" ht="12.75" customHeight="1">
      <c r="O339" s="74"/>
      <c r="P339" s="74"/>
    </row>
    <row r="340" ht="12.75" customHeight="1">
      <c r="O340" s="74"/>
      <c r="P340" s="74"/>
    </row>
    <row r="341" ht="12.75" customHeight="1">
      <c r="O341" s="74"/>
      <c r="P341" s="74"/>
    </row>
    <row r="342" ht="12.75" customHeight="1">
      <c r="O342" s="74"/>
      <c r="P342" s="74"/>
    </row>
    <row r="343" ht="12.75" customHeight="1">
      <c r="O343" s="74"/>
      <c r="P343" s="74"/>
    </row>
    <row r="344" ht="12.75" customHeight="1">
      <c r="O344" s="74"/>
      <c r="P344" s="74"/>
    </row>
    <row r="345" ht="12.75" customHeight="1">
      <c r="O345" s="74"/>
      <c r="P345" s="74"/>
    </row>
    <row r="346" ht="12.75" customHeight="1">
      <c r="O346" s="74"/>
      <c r="P346" s="74"/>
    </row>
    <row r="347" ht="12.75" customHeight="1">
      <c r="O347" s="74"/>
      <c r="P347" s="74"/>
    </row>
    <row r="348" ht="12.75" customHeight="1">
      <c r="O348" s="74"/>
      <c r="P348" s="74"/>
    </row>
    <row r="349" ht="12.75" customHeight="1">
      <c r="O349" s="74"/>
      <c r="P349" s="74"/>
    </row>
    <row r="350" ht="12.75" customHeight="1">
      <c r="O350" s="74"/>
      <c r="P350" s="74"/>
    </row>
    <row r="351" ht="12.75" customHeight="1">
      <c r="O351" s="74"/>
      <c r="P351" s="74"/>
    </row>
    <row r="352" ht="12.75" customHeight="1">
      <c r="O352" s="74"/>
      <c r="P352" s="74"/>
    </row>
    <row r="353" ht="12.75" customHeight="1">
      <c r="O353" s="74"/>
      <c r="P353" s="74"/>
    </row>
    <row r="354" ht="12.75" customHeight="1">
      <c r="O354" s="74"/>
      <c r="P354" s="74"/>
    </row>
    <row r="355" ht="12.75" customHeight="1">
      <c r="O355" s="74"/>
      <c r="P355" s="74"/>
    </row>
    <row r="356" ht="12.75" customHeight="1">
      <c r="O356" s="74"/>
      <c r="P356" s="74"/>
    </row>
    <row r="357" ht="12.75" customHeight="1">
      <c r="O357" s="74"/>
      <c r="P357" s="74"/>
    </row>
    <row r="358" ht="12.75" customHeight="1">
      <c r="O358" s="74"/>
      <c r="P358" s="74"/>
    </row>
    <row r="359" ht="12.75" customHeight="1">
      <c r="O359" s="74"/>
      <c r="P359" s="74"/>
    </row>
    <row r="360" ht="12.75" customHeight="1">
      <c r="O360" s="74"/>
      <c r="P360" s="74"/>
    </row>
    <row r="361" ht="12.75" customHeight="1">
      <c r="O361" s="74"/>
      <c r="P361" s="74"/>
    </row>
    <row r="362" ht="12.75" customHeight="1">
      <c r="O362" s="74"/>
      <c r="P362" s="74"/>
    </row>
    <row r="363" ht="12.75" customHeight="1">
      <c r="O363" s="74"/>
      <c r="P363" s="74"/>
    </row>
    <row r="364" ht="12.75" customHeight="1">
      <c r="O364" s="74"/>
      <c r="P364" s="74"/>
    </row>
    <row r="365" ht="12.75" customHeight="1">
      <c r="O365" s="74"/>
      <c r="P365" s="74"/>
    </row>
    <row r="366" ht="12.75" customHeight="1">
      <c r="O366" s="74"/>
      <c r="P366" s="74"/>
    </row>
    <row r="367" ht="12.75" customHeight="1">
      <c r="O367" s="74"/>
      <c r="P367" s="74"/>
    </row>
    <row r="368" ht="12.75" customHeight="1">
      <c r="O368" s="74"/>
      <c r="P368" s="74"/>
    </row>
    <row r="369" ht="12.75" customHeight="1">
      <c r="O369" s="74"/>
      <c r="P369" s="74"/>
    </row>
    <row r="370" ht="12.75" customHeight="1">
      <c r="O370" s="74"/>
      <c r="P370" s="74"/>
    </row>
    <row r="371" ht="12.75" customHeight="1">
      <c r="O371" s="74"/>
      <c r="P371" s="74"/>
    </row>
    <row r="372" ht="12.75" customHeight="1">
      <c r="O372" s="74"/>
      <c r="P372" s="74"/>
    </row>
    <row r="373" ht="12.75" customHeight="1">
      <c r="O373" s="74"/>
      <c r="P373" s="74"/>
    </row>
    <row r="374" ht="12.75" customHeight="1">
      <c r="O374" s="74"/>
      <c r="P374" s="74"/>
    </row>
    <row r="375" ht="12.75" customHeight="1">
      <c r="O375" s="74"/>
      <c r="P375" s="74"/>
    </row>
    <row r="376" ht="12.75" customHeight="1">
      <c r="O376" s="74"/>
      <c r="P376" s="74"/>
    </row>
    <row r="377" ht="12.75" customHeight="1">
      <c r="O377" s="74"/>
      <c r="P377" s="74"/>
    </row>
    <row r="378" ht="12.75" customHeight="1">
      <c r="O378" s="74"/>
      <c r="P378" s="74"/>
    </row>
    <row r="379" ht="12.75" customHeight="1">
      <c r="O379" s="74"/>
      <c r="P379" s="74"/>
    </row>
    <row r="380" ht="12.75" customHeight="1">
      <c r="O380" s="74"/>
      <c r="P380" s="74"/>
    </row>
    <row r="381" ht="12.75" customHeight="1">
      <c r="O381" s="74"/>
      <c r="P381" s="74"/>
    </row>
    <row r="382" ht="12.75" customHeight="1">
      <c r="O382" s="74"/>
      <c r="P382" s="74"/>
    </row>
    <row r="383" ht="12.75" customHeight="1">
      <c r="O383" s="74"/>
      <c r="P383" s="74"/>
    </row>
    <row r="384" ht="12.75" customHeight="1">
      <c r="O384" s="74"/>
      <c r="P384" s="74"/>
    </row>
    <row r="385" ht="12.75" customHeight="1">
      <c r="O385" s="74"/>
      <c r="P385" s="74"/>
    </row>
    <row r="386" ht="12.75" customHeight="1">
      <c r="O386" s="74"/>
      <c r="P386" s="74"/>
    </row>
    <row r="387" ht="12.75" customHeight="1">
      <c r="O387" s="74"/>
      <c r="P387" s="74"/>
    </row>
    <row r="388" ht="12.75" customHeight="1">
      <c r="O388" s="74"/>
      <c r="P388" s="74"/>
    </row>
    <row r="389" ht="12.75" customHeight="1">
      <c r="O389" s="74"/>
      <c r="P389" s="74"/>
    </row>
    <row r="390" ht="12.75" customHeight="1">
      <c r="O390" s="74"/>
      <c r="P390" s="74"/>
    </row>
    <row r="391" ht="12.75" customHeight="1">
      <c r="O391" s="74"/>
      <c r="P391" s="74"/>
    </row>
    <row r="392" ht="12.75" customHeight="1">
      <c r="O392" s="74"/>
      <c r="P392" s="74"/>
    </row>
    <row r="393" ht="12.75" customHeight="1">
      <c r="O393" s="74"/>
      <c r="P393" s="74"/>
    </row>
    <row r="394" ht="12.75" customHeight="1">
      <c r="O394" s="74"/>
      <c r="P394" s="74"/>
    </row>
    <row r="395" ht="12.75" customHeight="1">
      <c r="O395" s="74"/>
      <c r="P395" s="74"/>
    </row>
    <row r="396" ht="12.75" customHeight="1">
      <c r="O396" s="74"/>
      <c r="P396" s="74"/>
    </row>
    <row r="397" ht="12.75" customHeight="1">
      <c r="O397" s="74"/>
      <c r="P397" s="74"/>
    </row>
    <row r="398" ht="12.75" customHeight="1">
      <c r="O398" s="74"/>
      <c r="P398" s="74"/>
    </row>
    <row r="399" ht="12.75" customHeight="1">
      <c r="O399" s="74"/>
      <c r="P399" s="74"/>
    </row>
    <row r="400" ht="12.75" customHeight="1">
      <c r="O400" s="74"/>
      <c r="P400" s="74"/>
    </row>
    <row r="401" ht="12.75" customHeight="1">
      <c r="O401" s="74"/>
      <c r="P401" s="74"/>
    </row>
    <row r="402" ht="12.75" customHeight="1">
      <c r="O402" s="74"/>
      <c r="P402" s="74"/>
    </row>
    <row r="403" ht="12.75" customHeight="1">
      <c r="O403" s="74"/>
      <c r="P403" s="74"/>
    </row>
    <row r="404" ht="12.75" customHeight="1">
      <c r="O404" s="74"/>
      <c r="P404" s="74"/>
    </row>
    <row r="405" ht="12.75" customHeight="1">
      <c r="O405" s="74"/>
      <c r="P405" s="74"/>
    </row>
    <row r="406" ht="12.75" customHeight="1">
      <c r="O406" s="74"/>
      <c r="P406" s="74"/>
    </row>
    <row r="407" ht="12.75" customHeight="1">
      <c r="O407" s="74"/>
      <c r="P407" s="74"/>
    </row>
    <row r="408" ht="12.75" customHeight="1">
      <c r="O408" s="74"/>
      <c r="P408" s="74"/>
    </row>
    <row r="409" ht="12.75" customHeight="1">
      <c r="O409" s="74"/>
      <c r="P409" s="74"/>
    </row>
    <row r="410" ht="12.75" customHeight="1">
      <c r="O410" s="74"/>
      <c r="P410" s="74"/>
    </row>
    <row r="411" ht="12.75" customHeight="1">
      <c r="O411" s="74"/>
      <c r="P411" s="74"/>
    </row>
    <row r="412" ht="12.75" customHeight="1">
      <c r="O412" s="74"/>
      <c r="P412" s="74"/>
    </row>
    <row r="413" ht="12.75" customHeight="1">
      <c r="O413" s="74"/>
      <c r="P413" s="74"/>
    </row>
    <row r="414" ht="12.75" customHeight="1">
      <c r="O414" s="74"/>
      <c r="P414" s="74"/>
    </row>
    <row r="415" ht="12.75" customHeight="1">
      <c r="O415" s="74"/>
      <c r="P415" s="74"/>
    </row>
    <row r="416" ht="12.75" customHeight="1">
      <c r="O416" s="74"/>
      <c r="P416" s="74"/>
    </row>
    <row r="417" ht="12.75" customHeight="1">
      <c r="O417" s="74"/>
      <c r="P417" s="74"/>
    </row>
    <row r="418" ht="12.75" customHeight="1">
      <c r="O418" s="74"/>
      <c r="P418" s="74"/>
    </row>
    <row r="419" ht="12.75" customHeight="1">
      <c r="O419" s="74"/>
      <c r="P419" s="74"/>
    </row>
    <row r="420" ht="12.75" customHeight="1">
      <c r="O420" s="74"/>
      <c r="P420" s="74"/>
    </row>
    <row r="421" ht="12.75" customHeight="1">
      <c r="O421" s="74"/>
      <c r="P421" s="74"/>
    </row>
    <row r="422" ht="12.75" customHeight="1">
      <c r="O422" s="74"/>
      <c r="P422" s="74"/>
    </row>
    <row r="423" ht="12.75" customHeight="1">
      <c r="O423" s="74"/>
      <c r="P423" s="74"/>
    </row>
    <row r="424" ht="12.75" customHeight="1">
      <c r="O424" s="74"/>
      <c r="P424" s="74"/>
    </row>
    <row r="425" ht="12.75" customHeight="1">
      <c r="O425" s="74"/>
      <c r="P425" s="74"/>
    </row>
    <row r="426" ht="12.75" customHeight="1">
      <c r="O426" s="74"/>
      <c r="P426" s="74"/>
    </row>
    <row r="427" ht="12.75" customHeight="1">
      <c r="O427" s="74"/>
      <c r="P427" s="74"/>
    </row>
    <row r="428" ht="12.75" customHeight="1">
      <c r="O428" s="74"/>
      <c r="P428" s="74"/>
    </row>
    <row r="429" ht="12.75" customHeight="1">
      <c r="O429" s="74"/>
      <c r="P429" s="74"/>
    </row>
    <row r="430" ht="12.75" customHeight="1">
      <c r="O430" s="74"/>
      <c r="P430" s="74"/>
    </row>
    <row r="431" ht="12.75" customHeight="1">
      <c r="O431" s="74"/>
      <c r="P431" s="74"/>
    </row>
    <row r="432" ht="12.75" customHeight="1">
      <c r="O432" s="74"/>
      <c r="P432" s="74"/>
    </row>
    <row r="433" ht="12.75" customHeight="1">
      <c r="O433" s="74"/>
      <c r="P433" s="74"/>
    </row>
    <row r="434" ht="12.75" customHeight="1">
      <c r="O434" s="74"/>
      <c r="P434" s="74"/>
    </row>
    <row r="435" ht="12.75" customHeight="1">
      <c r="O435" s="74"/>
      <c r="P435" s="74"/>
    </row>
    <row r="436" ht="12.75" customHeight="1">
      <c r="O436" s="74"/>
      <c r="P436" s="74"/>
    </row>
    <row r="437" ht="12.75" customHeight="1">
      <c r="O437" s="74"/>
      <c r="P437" s="74"/>
    </row>
    <row r="438" ht="12.75" customHeight="1">
      <c r="O438" s="74"/>
      <c r="P438" s="74"/>
    </row>
    <row r="439" ht="12.75" customHeight="1">
      <c r="O439" s="74"/>
      <c r="P439" s="74"/>
    </row>
    <row r="440" ht="12.75" customHeight="1">
      <c r="O440" s="74"/>
      <c r="P440" s="74"/>
    </row>
    <row r="441" ht="12.75" customHeight="1">
      <c r="O441" s="74"/>
      <c r="P441" s="74"/>
    </row>
    <row r="442" ht="12.75" customHeight="1">
      <c r="O442" s="74"/>
      <c r="P442" s="74"/>
    </row>
    <row r="443" ht="12.75" customHeight="1">
      <c r="O443" s="74"/>
      <c r="P443" s="74"/>
    </row>
    <row r="444" ht="12.75" customHeight="1">
      <c r="O444" s="74"/>
      <c r="P444" s="74"/>
    </row>
    <row r="445" ht="12.75" customHeight="1">
      <c r="O445" s="74"/>
      <c r="P445" s="74"/>
    </row>
    <row r="446" ht="12.75" customHeight="1">
      <c r="O446" s="74"/>
      <c r="P446" s="74"/>
    </row>
    <row r="447" ht="12.75" customHeight="1">
      <c r="O447" s="74"/>
      <c r="P447" s="74"/>
    </row>
    <row r="448" ht="12.75" customHeight="1">
      <c r="O448" s="74"/>
      <c r="P448" s="74"/>
    </row>
    <row r="449" ht="12.75" customHeight="1">
      <c r="O449" s="74"/>
      <c r="P449" s="74"/>
    </row>
    <row r="450" ht="12.75" customHeight="1">
      <c r="O450" s="74"/>
      <c r="P450" s="74"/>
    </row>
    <row r="451" ht="12.75" customHeight="1">
      <c r="O451" s="74"/>
      <c r="P451" s="74"/>
    </row>
    <row r="452" ht="12.75" customHeight="1">
      <c r="O452" s="74"/>
      <c r="P452" s="74"/>
    </row>
    <row r="453" ht="12.75" customHeight="1">
      <c r="O453" s="74"/>
      <c r="P453" s="74"/>
    </row>
    <row r="454" ht="12.75" customHeight="1">
      <c r="O454" s="74"/>
      <c r="P454" s="74"/>
    </row>
    <row r="455" ht="12.75" customHeight="1">
      <c r="O455" s="74"/>
      <c r="P455" s="74"/>
    </row>
    <row r="456" ht="12.75" customHeight="1">
      <c r="O456" s="74"/>
      <c r="P456" s="74"/>
    </row>
    <row r="457" ht="12.75" customHeight="1">
      <c r="O457" s="74"/>
      <c r="P457" s="74"/>
    </row>
    <row r="458" ht="12.75" customHeight="1">
      <c r="O458" s="74"/>
      <c r="P458" s="74"/>
    </row>
    <row r="459" ht="12.75" customHeight="1">
      <c r="O459" s="74"/>
      <c r="P459" s="74"/>
    </row>
    <row r="460" ht="12.75" customHeight="1">
      <c r="O460" s="74"/>
      <c r="P460" s="74"/>
    </row>
    <row r="461" ht="12.75" customHeight="1">
      <c r="O461" s="74"/>
      <c r="P461" s="74"/>
    </row>
    <row r="462" ht="12.75" customHeight="1">
      <c r="O462" s="74"/>
      <c r="P462" s="74"/>
    </row>
    <row r="463" ht="12.75" customHeight="1">
      <c r="O463" s="74"/>
      <c r="P463" s="74"/>
    </row>
    <row r="464" ht="12.75" customHeight="1">
      <c r="O464" s="74"/>
      <c r="P464" s="74"/>
    </row>
    <row r="465" ht="12.75" customHeight="1">
      <c r="O465" s="74"/>
      <c r="P465" s="74"/>
    </row>
    <row r="466" ht="12.75" customHeight="1">
      <c r="O466" s="74"/>
      <c r="P466" s="74"/>
    </row>
    <row r="467" ht="12.75" customHeight="1">
      <c r="O467" s="74"/>
      <c r="P467" s="74"/>
    </row>
    <row r="468" ht="12.75" customHeight="1">
      <c r="O468" s="74"/>
      <c r="P468" s="74"/>
    </row>
    <row r="469" ht="12.75" customHeight="1">
      <c r="O469" s="74"/>
      <c r="P469" s="74"/>
    </row>
    <row r="470" ht="12.75" customHeight="1">
      <c r="O470" s="74"/>
      <c r="P470" s="74"/>
    </row>
    <row r="471" ht="12.75" customHeight="1">
      <c r="O471" s="74"/>
      <c r="P471" s="74"/>
    </row>
    <row r="472" ht="12.75" customHeight="1">
      <c r="O472" s="74"/>
      <c r="P472" s="74"/>
    </row>
    <row r="473" ht="12.75" customHeight="1">
      <c r="O473" s="74"/>
      <c r="P473" s="74"/>
    </row>
    <row r="474" ht="12.75" customHeight="1">
      <c r="O474" s="74"/>
      <c r="P474" s="74"/>
    </row>
    <row r="475" ht="12.75" customHeight="1">
      <c r="O475" s="74"/>
      <c r="P475" s="74"/>
    </row>
    <row r="476" ht="12.75" customHeight="1">
      <c r="O476" s="74"/>
      <c r="P476" s="74"/>
    </row>
    <row r="477" ht="12.75" customHeight="1">
      <c r="O477" s="74"/>
      <c r="P477" s="74"/>
    </row>
    <row r="478" ht="12.75" customHeight="1">
      <c r="O478" s="74"/>
      <c r="P478" s="74"/>
    </row>
    <row r="479" ht="12.75" customHeight="1">
      <c r="O479" s="74"/>
      <c r="P479" s="74"/>
    </row>
    <row r="480" ht="12.75" customHeight="1">
      <c r="O480" s="74"/>
      <c r="P480" s="74"/>
    </row>
    <row r="481" ht="12.75" customHeight="1">
      <c r="O481" s="74"/>
      <c r="P481" s="74"/>
    </row>
    <row r="482" ht="12.75" customHeight="1">
      <c r="O482" s="74"/>
      <c r="P482" s="74"/>
    </row>
    <row r="483" ht="12.75" customHeight="1">
      <c r="O483" s="74"/>
      <c r="P483" s="74"/>
    </row>
    <row r="484" ht="12.75" customHeight="1">
      <c r="O484" s="74"/>
      <c r="P484" s="74"/>
    </row>
    <row r="485" ht="12.75" customHeight="1">
      <c r="O485" s="74"/>
      <c r="P485" s="74"/>
    </row>
    <row r="486" ht="12.75" customHeight="1">
      <c r="O486" s="74"/>
      <c r="P486" s="74"/>
    </row>
    <row r="487" ht="12.75" customHeight="1">
      <c r="O487" s="74"/>
      <c r="P487" s="74"/>
    </row>
    <row r="488" ht="12.75" customHeight="1">
      <c r="O488" s="74"/>
      <c r="P488" s="74"/>
    </row>
    <row r="489" ht="12.75" customHeight="1">
      <c r="O489" s="74"/>
      <c r="P489" s="74"/>
    </row>
    <row r="490" ht="12.75" customHeight="1">
      <c r="O490" s="74"/>
      <c r="P490" s="74"/>
    </row>
    <row r="491" ht="12.75" customHeight="1">
      <c r="O491" s="74"/>
      <c r="P491" s="74"/>
    </row>
    <row r="492" ht="12.75" customHeight="1">
      <c r="O492" s="74"/>
      <c r="P492" s="74"/>
    </row>
    <row r="493" ht="12.75" customHeight="1">
      <c r="O493" s="74"/>
      <c r="P493" s="74"/>
    </row>
    <row r="494" ht="12.75" customHeight="1">
      <c r="O494" s="74"/>
      <c r="P494" s="74"/>
    </row>
    <row r="495" ht="12.75" customHeight="1">
      <c r="O495" s="74"/>
      <c r="P495" s="74"/>
    </row>
    <row r="496" ht="12.75" customHeight="1">
      <c r="O496" s="74"/>
      <c r="P496" s="74"/>
    </row>
    <row r="497" ht="12.75" customHeight="1">
      <c r="O497" s="74"/>
      <c r="P497" s="74"/>
    </row>
    <row r="498" ht="12.75" customHeight="1">
      <c r="O498" s="74"/>
      <c r="P498" s="74"/>
    </row>
    <row r="499" ht="12.75" customHeight="1">
      <c r="O499" s="74"/>
      <c r="P499" s="74"/>
    </row>
    <row r="500" ht="12.75" customHeight="1">
      <c r="O500" s="74"/>
      <c r="P500" s="74"/>
    </row>
    <row r="501" ht="12.75" customHeight="1">
      <c r="O501" s="74"/>
      <c r="P501" s="74"/>
    </row>
    <row r="502" ht="12.75" customHeight="1">
      <c r="O502" s="74"/>
      <c r="P502" s="74"/>
    </row>
    <row r="503" ht="12.75" customHeight="1">
      <c r="O503" s="74"/>
      <c r="P503" s="74"/>
    </row>
    <row r="504" ht="12.75" customHeight="1">
      <c r="O504" s="74"/>
      <c r="P504" s="74"/>
    </row>
    <row r="505" ht="12.75" customHeight="1">
      <c r="O505" s="74"/>
      <c r="P505" s="74"/>
    </row>
    <row r="506" ht="12.75" customHeight="1">
      <c r="O506" s="74"/>
      <c r="P506" s="74"/>
    </row>
    <row r="507" ht="12.75" customHeight="1">
      <c r="O507" s="74"/>
      <c r="P507" s="74"/>
    </row>
    <row r="508" ht="12.75" customHeight="1">
      <c r="O508" s="74"/>
      <c r="P508" s="74"/>
    </row>
    <row r="509" ht="12.75" customHeight="1">
      <c r="O509" s="74"/>
      <c r="P509" s="74"/>
    </row>
    <row r="510" ht="12.75" customHeight="1">
      <c r="O510" s="74"/>
      <c r="P510" s="74"/>
    </row>
    <row r="511" ht="12.75" customHeight="1">
      <c r="O511" s="74"/>
      <c r="P511" s="74"/>
    </row>
    <row r="512" ht="12.75" customHeight="1">
      <c r="O512" s="74"/>
      <c r="P512" s="74"/>
    </row>
    <row r="513" ht="12.75" customHeight="1">
      <c r="O513" s="74"/>
      <c r="P513" s="74"/>
    </row>
    <row r="514" ht="12.75" customHeight="1">
      <c r="O514" s="74"/>
      <c r="P514" s="74"/>
    </row>
    <row r="515" ht="12.75" customHeight="1">
      <c r="O515" s="74"/>
      <c r="P515" s="74"/>
    </row>
    <row r="516" ht="12.75" customHeight="1">
      <c r="O516" s="74"/>
      <c r="P516" s="74"/>
    </row>
    <row r="517" ht="12.75" customHeight="1">
      <c r="O517" s="74"/>
      <c r="P517" s="74"/>
    </row>
    <row r="518" ht="12.75" customHeight="1">
      <c r="O518" s="74"/>
      <c r="P518" s="74"/>
    </row>
    <row r="519" ht="12.75" customHeight="1">
      <c r="O519" s="74"/>
      <c r="P519" s="74"/>
    </row>
    <row r="520" ht="12.75" customHeight="1">
      <c r="O520" s="74"/>
      <c r="P520" s="74"/>
    </row>
    <row r="521" ht="12.75" customHeight="1">
      <c r="O521" s="74"/>
      <c r="P521" s="74"/>
    </row>
    <row r="522" ht="12.75" customHeight="1">
      <c r="O522" s="74"/>
      <c r="P522" s="74"/>
    </row>
    <row r="523" ht="12.75" customHeight="1">
      <c r="O523" s="74"/>
      <c r="P523" s="74"/>
    </row>
    <row r="524" ht="12.75" customHeight="1">
      <c r="O524" s="74"/>
      <c r="P524" s="74"/>
    </row>
    <row r="525" ht="12.75" customHeight="1">
      <c r="O525" s="74"/>
      <c r="P525" s="74"/>
    </row>
    <row r="526" ht="12.75" customHeight="1">
      <c r="O526" s="74"/>
      <c r="P526" s="74"/>
    </row>
    <row r="527" ht="12.75" customHeight="1">
      <c r="O527" s="74"/>
      <c r="P527" s="74"/>
    </row>
    <row r="528" ht="12.75" customHeight="1">
      <c r="O528" s="74"/>
      <c r="P528" s="74"/>
    </row>
    <row r="529" ht="12.75" customHeight="1">
      <c r="O529" s="74"/>
      <c r="P529" s="74"/>
    </row>
    <row r="530" ht="12.75" customHeight="1">
      <c r="O530" s="74"/>
      <c r="P530" s="74"/>
    </row>
    <row r="531" ht="12.75" customHeight="1">
      <c r="O531" s="74"/>
      <c r="P531" s="74"/>
    </row>
    <row r="532" ht="12.75" customHeight="1">
      <c r="O532" s="74"/>
      <c r="P532" s="74"/>
    </row>
    <row r="533" ht="12.75" customHeight="1">
      <c r="O533" s="74"/>
      <c r="P533" s="74"/>
    </row>
    <row r="534" ht="12.75" customHeight="1">
      <c r="O534" s="74"/>
      <c r="P534" s="74"/>
    </row>
    <row r="535" ht="12.75" customHeight="1">
      <c r="O535" s="74"/>
      <c r="P535" s="74"/>
    </row>
    <row r="536" ht="12.75" customHeight="1">
      <c r="O536" s="74"/>
      <c r="P536" s="74"/>
    </row>
    <row r="537" ht="12.75" customHeight="1">
      <c r="O537" s="74"/>
      <c r="P537" s="74"/>
    </row>
    <row r="538" ht="12.75" customHeight="1">
      <c r="O538" s="74"/>
      <c r="P538" s="74"/>
    </row>
    <row r="539" ht="12.75" customHeight="1">
      <c r="O539" s="74"/>
      <c r="P539" s="74"/>
    </row>
    <row r="540" ht="12.75" customHeight="1">
      <c r="O540" s="74"/>
      <c r="P540" s="74"/>
    </row>
    <row r="541" ht="12.75" customHeight="1">
      <c r="O541" s="74"/>
      <c r="P541" s="74"/>
    </row>
    <row r="542" ht="12.75" customHeight="1">
      <c r="O542" s="74"/>
      <c r="P542" s="74"/>
    </row>
    <row r="543" ht="12.75" customHeight="1">
      <c r="O543" s="74"/>
      <c r="P543" s="74"/>
    </row>
    <row r="544" ht="12.75" customHeight="1">
      <c r="O544" s="74"/>
      <c r="P544" s="74"/>
    </row>
    <row r="545" ht="12.75" customHeight="1">
      <c r="O545" s="74"/>
      <c r="P545" s="74"/>
    </row>
    <row r="546" ht="12.75" customHeight="1">
      <c r="O546" s="74"/>
      <c r="P546" s="74"/>
    </row>
    <row r="547" ht="12.75" customHeight="1">
      <c r="O547" s="74"/>
      <c r="P547" s="74"/>
    </row>
    <row r="548" ht="12.75" customHeight="1">
      <c r="O548" s="74"/>
      <c r="P548" s="74"/>
    </row>
    <row r="549" ht="12.75" customHeight="1">
      <c r="O549" s="74"/>
      <c r="P549" s="74"/>
    </row>
    <row r="550" ht="12.75" customHeight="1">
      <c r="O550" s="74"/>
      <c r="P550" s="74"/>
    </row>
    <row r="551" ht="12.75" customHeight="1">
      <c r="O551" s="74"/>
      <c r="P551" s="74"/>
    </row>
    <row r="552" ht="12.75" customHeight="1">
      <c r="O552" s="74"/>
      <c r="P552" s="74"/>
    </row>
    <row r="553" ht="12.75" customHeight="1">
      <c r="O553" s="74"/>
      <c r="P553" s="74"/>
    </row>
    <row r="554" ht="12.75" customHeight="1">
      <c r="O554" s="74"/>
      <c r="P554" s="74"/>
    </row>
    <row r="555" ht="12.75" customHeight="1">
      <c r="O555" s="74"/>
      <c r="P555" s="74"/>
    </row>
    <row r="556" ht="12.75" customHeight="1">
      <c r="O556" s="74"/>
      <c r="P556" s="74"/>
    </row>
    <row r="557" ht="12.75" customHeight="1">
      <c r="O557" s="74"/>
      <c r="P557" s="74"/>
    </row>
    <row r="558" ht="12.75" customHeight="1">
      <c r="O558" s="74"/>
      <c r="P558" s="74"/>
    </row>
    <row r="559" ht="12.75" customHeight="1">
      <c r="O559" s="74"/>
      <c r="P559" s="74"/>
    </row>
    <row r="560" ht="12.75" customHeight="1">
      <c r="O560" s="74"/>
      <c r="P560" s="74"/>
    </row>
    <row r="561" ht="12.75" customHeight="1">
      <c r="O561" s="74"/>
      <c r="P561" s="74"/>
    </row>
    <row r="562" ht="12.75" customHeight="1">
      <c r="O562" s="74"/>
      <c r="P562" s="74"/>
    </row>
    <row r="563" ht="12.75" customHeight="1">
      <c r="O563" s="74"/>
      <c r="P563" s="74"/>
    </row>
    <row r="564" ht="12.75" customHeight="1">
      <c r="O564" s="74"/>
      <c r="P564" s="74"/>
    </row>
    <row r="565" ht="12.75" customHeight="1">
      <c r="O565" s="74"/>
      <c r="P565" s="74"/>
    </row>
    <row r="566" ht="12.75" customHeight="1">
      <c r="O566" s="74"/>
      <c r="P566" s="74"/>
    </row>
    <row r="567" ht="12.75" customHeight="1">
      <c r="O567" s="74"/>
      <c r="P567" s="74"/>
    </row>
    <row r="568" ht="12.75" customHeight="1">
      <c r="O568" s="74"/>
      <c r="P568" s="74"/>
    </row>
    <row r="569" ht="12.75" customHeight="1">
      <c r="O569" s="74"/>
      <c r="P569" s="74"/>
    </row>
    <row r="570" ht="12.75" customHeight="1">
      <c r="O570" s="74"/>
      <c r="P570" s="74"/>
    </row>
    <row r="571" ht="12.75" customHeight="1">
      <c r="O571" s="74"/>
      <c r="P571" s="74"/>
    </row>
    <row r="572" ht="12.75" customHeight="1">
      <c r="O572" s="74"/>
      <c r="P572" s="74"/>
    </row>
    <row r="573" ht="12.75" customHeight="1">
      <c r="O573" s="74"/>
      <c r="P573" s="74"/>
    </row>
    <row r="574" ht="12.75" customHeight="1">
      <c r="O574" s="74"/>
      <c r="P574" s="74"/>
    </row>
    <row r="575" ht="12.75" customHeight="1">
      <c r="O575" s="74"/>
      <c r="P575" s="74"/>
    </row>
    <row r="576" ht="12.75" customHeight="1">
      <c r="O576" s="74"/>
      <c r="P576" s="74"/>
    </row>
    <row r="577" ht="12.75" customHeight="1">
      <c r="O577" s="74"/>
      <c r="P577" s="74"/>
    </row>
    <row r="578" ht="12.75" customHeight="1">
      <c r="O578" s="74"/>
      <c r="P578" s="74"/>
    </row>
    <row r="579" ht="12.75" customHeight="1">
      <c r="O579" s="74"/>
      <c r="P579" s="74"/>
    </row>
    <row r="580" ht="12.75" customHeight="1">
      <c r="O580" s="74"/>
      <c r="P580" s="74"/>
    </row>
    <row r="581" ht="12.75" customHeight="1">
      <c r="O581" s="74"/>
      <c r="P581" s="74"/>
    </row>
    <row r="582" ht="12.75" customHeight="1">
      <c r="O582" s="74"/>
      <c r="P582" s="74"/>
    </row>
    <row r="583" ht="12.75" customHeight="1">
      <c r="O583" s="74"/>
      <c r="P583" s="74"/>
    </row>
    <row r="584" ht="12.75" customHeight="1">
      <c r="O584" s="74"/>
      <c r="P584" s="74"/>
    </row>
    <row r="585" ht="12.75" customHeight="1">
      <c r="O585" s="74"/>
      <c r="P585" s="74"/>
    </row>
    <row r="586" ht="12.75" customHeight="1">
      <c r="O586" s="74"/>
      <c r="P586" s="74"/>
    </row>
    <row r="587" ht="12.75" customHeight="1">
      <c r="O587" s="74"/>
      <c r="P587" s="74"/>
    </row>
    <row r="588" ht="12.75" customHeight="1">
      <c r="O588" s="74"/>
      <c r="P588" s="74"/>
    </row>
    <row r="589" ht="12.75" customHeight="1">
      <c r="O589" s="74"/>
      <c r="P589" s="74"/>
    </row>
    <row r="590" ht="12.75" customHeight="1">
      <c r="O590" s="74"/>
      <c r="P590" s="74"/>
    </row>
    <row r="591" ht="12.75" customHeight="1">
      <c r="O591" s="74"/>
      <c r="P591" s="74"/>
    </row>
    <row r="592" ht="12.75" customHeight="1">
      <c r="O592" s="74"/>
      <c r="P592" s="74"/>
    </row>
    <row r="593" ht="12.75" customHeight="1">
      <c r="O593" s="74"/>
      <c r="P593" s="74"/>
    </row>
    <row r="594" ht="12.75" customHeight="1">
      <c r="O594" s="74"/>
      <c r="P594" s="74"/>
    </row>
    <row r="595" ht="12.75" customHeight="1">
      <c r="O595" s="74"/>
      <c r="P595" s="74"/>
    </row>
    <row r="596" ht="12.75" customHeight="1">
      <c r="O596" s="74"/>
      <c r="P596" s="74"/>
    </row>
    <row r="597" ht="12.75" customHeight="1">
      <c r="O597" s="74"/>
      <c r="P597" s="74"/>
    </row>
    <row r="598" ht="12.75" customHeight="1">
      <c r="O598" s="74"/>
      <c r="P598" s="74"/>
    </row>
    <row r="599" ht="12.75" customHeight="1">
      <c r="O599" s="74"/>
      <c r="P599" s="74"/>
    </row>
    <row r="600" ht="12.75" customHeight="1">
      <c r="O600" s="74"/>
      <c r="P600" s="74"/>
    </row>
    <row r="601" ht="12.75" customHeight="1">
      <c r="O601" s="74"/>
      <c r="P601" s="74"/>
    </row>
    <row r="602" ht="12.75" customHeight="1">
      <c r="O602" s="74"/>
      <c r="P602" s="74"/>
    </row>
    <row r="603" ht="12.75" customHeight="1">
      <c r="O603" s="74"/>
      <c r="P603" s="74"/>
    </row>
    <row r="604" ht="12.75" customHeight="1">
      <c r="O604" s="74"/>
      <c r="P604" s="74"/>
    </row>
    <row r="605" ht="12.75" customHeight="1">
      <c r="O605" s="74"/>
      <c r="P605" s="74"/>
    </row>
    <row r="606" ht="12.75" customHeight="1">
      <c r="O606" s="74"/>
      <c r="P606" s="74"/>
    </row>
    <row r="607" ht="12.75" customHeight="1">
      <c r="O607" s="74"/>
      <c r="P607" s="74"/>
    </row>
    <row r="608" ht="12.75" customHeight="1">
      <c r="O608" s="74"/>
      <c r="P608" s="74"/>
    </row>
    <row r="609" ht="12.75" customHeight="1">
      <c r="O609" s="74"/>
      <c r="P609" s="74"/>
    </row>
    <row r="610" ht="12.75" customHeight="1">
      <c r="O610" s="74"/>
      <c r="P610" s="74"/>
    </row>
    <row r="611" ht="12.75" customHeight="1">
      <c r="O611" s="74"/>
      <c r="P611" s="74"/>
    </row>
    <row r="612" ht="12.75" customHeight="1">
      <c r="O612" s="74"/>
      <c r="P612" s="74"/>
    </row>
    <row r="613" ht="12.75" customHeight="1">
      <c r="O613" s="74"/>
      <c r="P613" s="74"/>
    </row>
    <row r="614" ht="12.75" customHeight="1">
      <c r="O614" s="74"/>
      <c r="P614" s="74"/>
    </row>
    <row r="615" ht="12.75" customHeight="1">
      <c r="O615" s="74"/>
      <c r="P615" s="74"/>
    </row>
    <row r="616" ht="12.75" customHeight="1">
      <c r="O616" s="74"/>
      <c r="P616" s="74"/>
    </row>
    <row r="617" ht="12.75" customHeight="1">
      <c r="O617" s="74"/>
      <c r="P617" s="74"/>
    </row>
    <row r="618" ht="12.75" customHeight="1">
      <c r="O618" s="74"/>
      <c r="P618" s="74"/>
    </row>
    <row r="619" ht="12.75" customHeight="1">
      <c r="O619" s="74"/>
      <c r="P619" s="74"/>
    </row>
    <row r="620" ht="12.75" customHeight="1">
      <c r="O620" s="74"/>
      <c r="P620" s="74"/>
    </row>
    <row r="621" ht="12.75" customHeight="1">
      <c r="O621" s="74"/>
      <c r="P621" s="74"/>
    </row>
    <row r="622" ht="12.75" customHeight="1">
      <c r="O622" s="74"/>
      <c r="P622" s="74"/>
    </row>
    <row r="623" ht="12.75" customHeight="1">
      <c r="O623" s="74"/>
      <c r="P623" s="74"/>
    </row>
    <row r="624" ht="12.75" customHeight="1">
      <c r="O624" s="74"/>
      <c r="P624" s="74"/>
    </row>
    <row r="625" ht="12.75" customHeight="1">
      <c r="O625" s="74"/>
      <c r="P625" s="74"/>
    </row>
    <row r="626" ht="12.75" customHeight="1">
      <c r="O626" s="74"/>
      <c r="P626" s="74"/>
    </row>
    <row r="627" ht="12.75" customHeight="1">
      <c r="O627" s="74"/>
      <c r="P627" s="74"/>
    </row>
    <row r="628" ht="12.75" customHeight="1">
      <c r="O628" s="74"/>
      <c r="P628" s="74"/>
    </row>
    <row r="629" ht="12.75" customHeight="1">
      <c r="O629" s="74"/>
      <c r="P629" s="74"/>
    </row>
    <row r="630" ht="12.75" customHeight="1">
      <c r="O630" s="74"/>
      <c r="P630" s="74"/>
    </row>
    <row r="631" ht="12.75" customHeight="1">
      <c r="O631" s="74"/>
      <c r="P631" s="74"/>
    </row>
    <row r="632" ht="12.75" customHeight="1">
      <c r="O632" s="74"/>
      <c r="P632" s="74"/>
    </row>
    <row r="633" ht="12.75" customHeight="1">
      <c r="O633" s="74"/>
      <c r="P633" s="74"/>
    </row>
    <row r="634" ht="12.75" customHeight="1">
      <c r="O634" s="74"/>
      <c r="P634" s="74"/>
    </row>
    <row r="635" ht="12.75" customHeight="1">
      <c r="O635" s="74"/>
      <c r="P635" s="74"/>
    </row>
    <row r="636" ht="12.75" customHeight="1">
      <c r="O636" s="74"/>
      <c r="P636" s="74"/>
    </row>
    <row r="637" ht="12.75" customHeight="1">
      <c r="O637" s="74"/>
      <c r="P637" s="74"/>
    </row>
    <row r="638" ht="12.75" customHeight="1">
      <c r="O638" s="74"/>
      <c r="P638" s="74"/>
    </row>
    <row r="639" ht="12.75" customHeight="1">
      <c r="O639" s="74"/>
      <c r="P639" s="74"/>
    </row>
    <row r="640" ht="12.75" customHeight="1">
      <c r="O640" s="74"/>
      <c r="P640" s="74"/>
    </row>
    <row r="641" ht="12.75" customHeight="1">
      <c r="O641" s="74"/>
      <c r="P641" s="74"/>
    </row>
    <row r="642" ht="12.75" customHeight="1">
      <c r="O642" s="74"/>
      <c r="P642" s="74"/>
    </row>
    <row r="643" ht="12.75" customHeight="1">
      <c r="O643" s="74"/>
      <c r="P643" s="74"/>
    </row>
    <row r="644" ht="12.75" customHeight="1">
      <c r="O644" s="74"/>
      <c r="P644" s="74"/>
    </row>
    <row r="645" ht="12.75" customHeight="1">
      <c r="O645" s="74"/>
      <c r="P645" s="74"/>
    </row>
    <row r="646" ht="12.75" customHeight="1">
      <c r="O646" s="74"/>
      <c r="P646" s="74"/>
    </row>
    <row r="647" ht="12.75" customHeight="1">
      <c r="O647" s="74"/>
      <c r="P647" s="74"/>
    </row>
    <row r="648" ht="12.75" customHeight="1">
      <c r="O648" s="74"/>
      <c r="P648" s="74"/>
    </row>
    <row r="649" ht="12.75" customHeight="1">
      <c r="O649" s="74"/>
      <c r="P649" s="74"/>
    </row>
    <row r="650" ht="12.75" customHeight="1">
      <c r="O650" s="74"/>
      <c r="P650" s="74"/>
    </row>
    <row r="651" ht="12.75" customHeight="1">
      <c r="O651" s="74"/>
      <c r="P651" s="74"/>
    </row>
    <row r="652" ht="12.75" customHeight="1">
      <c r="O652" s="74"/>
      <c r="P652" s="74"/>
    </row>
    <row r="653" ht="12.75" customHeight="1">
      <c r="O653" s="74"/>
      <c r="P653" s="74"/>
    </row>
    <row r="654" ht="12.75" customHeight="1">
      <c r="O654" s="74"/>
      <c r="P654" s="74"/>
    </row>
    <row r="655" ht="12.75" customHeight="1">
      <c r="O655" s="74"/>
      <c r="P655" s="74"/>
    </row>
    <row r="656" ht="12.75" customHeight="1">
      <c r="O656" s="74"/>
      <c r="P656" s="74"/>
    </row>
    <row r="657" ht="12.75" customHeight="1">
      <c r="O657" s="74"/>
      <c r="P657" s="74"/>
    </row>
    <row r="658" ht="12.75" customHeight="1">
      <c r="O658" s="74"/>
      <c r="P658" s="74"/>
    </row>
    <row r="659" ht="12.75" customHeight="1">
      <c r="O659" s="74"/>
      <c r="P659" s="74"/>
    </row>
    <row r="660" ht="12.75" customHeight="1">
      <c r="O660" s="74"/>
      <c r="P660" s="74"/>
    </row>
    <row r="661" ht="12.75" customHeight="1">
      <c r="O661" s="74"/>
      <c r="P661" s="74"/>
    </row>
    <row r="662" ht="12.75" customHeight="1">
      <c r="O662" s="74"/>
      <c r="P662" s="74"/>
    </row>
    <row r="663" ht="12.75" customHeight="1">
      <c r="O663" s="74"/>
      <c r="P663" s="74"/>
    </row>
    <row r="664" ht="12.75" customHeight="1">
      <c r="O664" s="74"/>
      <c r="P664" s="74"/>
    </row>
    <row r="665" ht="12.75" customHeight="1">
      <c r="O665" s="74"/>
      <c r="P665" s="74"/>
    </row>
    <row r="666" ht="12.75" customHeight="1">
      <c r="O666" s="74"/>
      <c r="P666" s="74"/>
    </row>
    <row r="667" ht="12.75" customHeight="1">
      <c r="O667" s="74"/>
      <c r="P667" s="74"/>
    </row>
    <row r="668" ht="12.75" customHeight="1">
      <c r="O668" s="74"/>
      <c r="P668" s="74"/>
    </row>
    <row r="669" ht="12.75" customHeight="1">
      <c r="O669" s="74"/>
      <c r="P669" s="74"/>
    </row>
    <row r="670" ht="12.75" customHeight="1">
      <c r="O670" s="74"/>
      <c r="P670" s="74"/>
    </row>
    <row r="671" ht="12.75" customHeight="1">
      <c r="O671" s="74"/>
      <c r="P671" s="74"/>
    </row>
    <row r="672" ht="12.75" customHeight="1">
      <c r="O672" s="74"/>
      <c r="P672" s="74"/>
    </row>
    <row r="673" ht="12.75" customHeight="1">
      <c r="O673" s="74"/>
      <c r="P673" s="74"/>
    </row>
    <row r="674" ht="12.75" customHeight="1">
      <c r="O674" s="74"/>
      <c r="P674" s="74"/>
    </row>
    <row r="675" ht="12.75" customHeight="1">
      <c r="O675" s="74"/>
      <c r="P675" s="74"/>
    </row>
    <row r="676" ht="12.75" customHeight="1">
      <c r="O676" s="74"/>
      <c r="P676" s="74"/>
    </row>
    <row r="677" ht="12.75" customHeight="1">
      <c r="O677" s="74"/>
      <c r="P677" s="74"/>
    </row>
    <row r="678" ht="12.75" customHeight="1">
      <c r="O678" s="74"/>
      <c r="P678" s="74"/>
    </row>
    <row r="679" ht="12.75" customHeight="1">
      <c r="O679" s="74"/>
      <c r="P679" s="74"/>
    </row>
    <row r="680" ht="12.75" customHeight="1">
      <c r="O680" s="74"/>
      <c r="P680" s="74"/>
    </row>
    <row r="681" ht="12.75" customHeight="1">
      <c r="O681" s="74"/>
      <c r="P681" s="74"/>
    </row>
    <row r="682" ht="12.75" customHeight="1">
      <c r="O682" s="74"/>
      <c r="P682" s="74"/>
    </row>
    <row r="683" ht="12.75" customHeight="1">
      <c r="O683" s="74"/>
      <c r="P683" s="74"/>
    </row>
    <row r="684" ht="12.75" customHeight="1">
      <c r="O684" s="74"/>
      <c r="P684" s="74"/>
    </row>
    <row r="685" ht="12.75" customHeight="1">
      <c r="O685" s="74"/>
      <c r="P685" s="74"/>
    </row>
    <row r="686" ht="12.75" customHeight="1">
      <c r="O686" s="74"/>
      <c r="P686" s="74"/>
    </row>
    <row r="687" ht="12.75" customHeight="1">
      <c r="O687" s="74"/>
      <c r="P687" s="74"/>
    </row>
    <row r="688" ht="12.75" customHeight="1">
      <c r="O688" s="74"/>
      <c r="P688" s="74"/>
    </row>
    <row r="689" ht="12.75" customHeight="1">
      <c r="O689" s="74"/>
      <c r="P689" s="74"/>
    </row>
    <row r="690" ht="12.75" customHeight="1">
      <c r="O690" s="74"/>
      <c r="P690" s="74"/>
    </row>
    <row r="691" ht="12.75" customHeight="1">
      <c r="O691" s="74"/>
      <c r="P691" s="74"/>
    </row>
    <row r="692" ht="12.75" customHeight="1">
      <c r="O692" s="74"/>
      <c r="P692" s="74"/>
    </row>
    <row r="693" ht="12.75" customHeight="1">
      <c r="O693" s="74"/>
      <c r="P693" s="74"/>
    </row>
    <row r="694" ht="12.75" customHeight="1">
      <c r="O694" s="74"/>
      <c r="P694" s="74"/>
    </row>
    <row r="695" ht="12.75" customHeight="1">
      <c r="O695" s="74"/>
      <c r="P695" s="74"/>
    </row>
    <row r="696" ht="12.75" customHeight="1">
      <c r="O696" s="74"/>
      <c r="P696" s="74"/>
    </row>
    <row r="697" ht="12.75" customHeight="1">
      <c r="O697" s="74"/>
      <c r="P697" s="74"/>
    </row>
    <row r="698" ht="12.75" customHeight="1">
      <c r="O698" s="74"/>
      <c r="P698" s="74"/>
    </row>
    <row r="699" ht="12.75" customHeight="1">
      <c r="O699" s="74"/>
      <c r="P699" s="74"/>
    </row>
    <row r="700" ht="12.75" customHeight="1">
      <c r="O700" s="74"/>
      <c r="P700" s="74"/>
    </row>
    <row r="701" ht="12.75" customHeight="1">
      <c r="O701" s="74"/>
      <c r="P701" s="74"/>
    </row>
    <row r="702" ht="12.75" customHeight="1">
      <c r="O702" s="74"/>
      <c r="P702" s="74"/>
    </row>
    <row r="703" ht="12.75" customHeight="1">
      <c r="O703" s="74"/>
      <c r="P703" s="74"/>
    </row>
    <row r="704" ht="12.75" customHeight="1">
      <c r="O704" s="74"/>
      <c r="P704" s="74"/>
    </row>
    <row r="705" ht="12.75" customHeight="1">
      <c r="O705" s="74"/>
      <c r="P705" s="74"/>
    </row>
    <row r="706" ht="12.75" customHeight="1">
      <c r="O706" s="74"/>
      <c r="P706" s="74"/>
    </row>
    <row r="707" ht="12.75" customHeight="1">
      <c r="O707" s="74"/>
      <c r="P707" s="74"/>
    </row>
    <row r="708" ht="12.75" customHeight="1">
      <c r="O708" s="74"/>
      <c r="P708" s="74"/>
    </row>
    <row r="709" ht="12.75" customHeight="1">
      <c r="O709" s="74"/>
      <c r="P709" s="74"/>
    </row>
    <row r="710" ht="12.75" customHeight="1">
      <c r="O710" s="74"/>
      <c r="P710" s="74"/>
    </row>
    <row r="711" ht="12.75" customHeight="1">
      <c r="O711" s="74"/>
      <c r="P711" s="74"/>
    </row>
    <row r="712" ht="12.75" customHeight="1">
      <c r="O712" s="74"/>
      <c r="P712" s="74"/>
    </row>
    <row r="713" ht="12.75" customHeight="1">
      <c r="O713" s="74"/>
      <c r="P713" s="74"/>
    </row>
    <row r="714" ht="12.75" customHeight="1">
      <c r="O714" s="74"/>
      <c r="P714" s="74"/>
    </row>
    <row r="715" ht="12.75" customHeight="1">
      <c r="O715" s="74"/>
      <c r="P715" s="74"/>
    </row>
    <row r="716" ht="12.75" customHeight="1">
      <c r="O716" s="74"/>
      <c r="P716" s="74"/>
    </row>
    <row r="717" ht="12.75" customHeight="1">
      <c r="O717" s="74"/>
      <c r="P717" s="74"/>
    </row>
    <row r="718" ht="12.75" customHeight="1">
      <c r="O718" s="74"/>
      <c r="P718" s="74"/>
    </row>
    <row r="719" ht="12.75" customHeight="1">
      <c r="O719" s="74"/>
      <c r="P719" s="74"/>
    </row>
    <row r="720" ht="12.75" customHeight="1">
      <c r="O720" s="74"/>
      <c r="P720" s="74"/>
    </row>
    <row r="721" ht="12.75" customHeight="1">
      <c r="O721" s="74"/>
      <c r="P721" s="74"/>
    </row>
    <row r="722" ht="12.75" customHeight="1">
      <c r="O722" s="74"/>
      <c r="P722" s="74"/>
    </row>
    <row r="723" ht="12.75" customHeight="1">
      <c r="O723" s="74"/>
      <c r="P723" s="74"/>
    </row>
    <row r="724" ht="12.75" customHeight="1">
      <c r="O724" s="74"/>
      <c r="P724" s="74"/>
    </row>
    <row r="725" ht="12.75" customHeight="1">
      <c r="O725" s="74"/>
      <c r="P725" s="74"/>
    </row>
    <row r="726" ht="12.75" customHeight="1">
      <c r="O726" s="74"/>
      <c r="P726" s="74"/>
    </row>
    <row r="727" ht="12.75" customHeight="1">
      <c r="O727" s="74"/>
      <c r="P727" s="74"/>
    </row>
    <row r="728" ht="12.75" customHeight="1">
      <c r="O728" s="74"/>
      <c r="P728" s="74"/>
    </row>
    <row r="729" ht="12.75" customHeight="1">
      <c r="O729" s="74"/>
      <c r="P729" s="74"/>
    </row>
    <row r="730" ht="12.75" customHeight="1">
      <c r="O730" s="74"/>
      <c r="P730" s="74"/>
    </row>
    <row r="731" ht="12.75" customHeight="1">
      <c r="O731" s="74"/>
      <c r="P731" s="74"/>
    </row>
    <row r="732" ht="12.75" customHeight="1">
      <c r="O732" s="74"/>
      <c r="P732" s="74"/>
    </row>
    <row r="733" ht="12.75" customHeight="1">
      <c r="O733" s="74"/>
      <c r="P733" s="74"/>
    </row>
    <row r="734" ht="12.75" customHeight="1">
      <c r="O734" s="74"/>
      <c r="P734" s="74"/>
    </row>
    <row r="735" ht="12.75" customHeight="1">
      <c r="O735" s="74"/>
      <c r="P735" s="74"/>
    </row>
    <row r="736" ht="12.75" customHeight="1">
      <c r="O736" s="74"/>
      <c r="P736" s="74"/>
    </row>
    <row r="737" ht="12.75" customHeight="1">
      <c r="O737" s="74"/>
      <c r="P737" s="74"/>
    </row>
    <row r="738" ht="12.75" customHeight="1">
      <c r="O738" s="74"/>
      <c r="P738" s="74"/>
    </row>
    <row r="739" ht="12.75" customHeight="1">
      <c r="O739" s="74"/>
      <c r="P739" s="74"/>
    </row>
    <row r="740" ht="12.75" customHeight="1">
      <c r="O740" s="74"/>
      <c r="P740" s="74"/>
    </row>
    <row r="741" ht="12.75" customHeight="1">
      <c r="O741" s="74"/>
      <c r="P741" s="74"/>
    </row>
    <row r="742" ht="12.75" customHeight="1">
      <c r="O742" s="74"/>
      <c r="P742" s="74"/>
    </row>
    <row r="743" ht="12.75" customHeight="1">
      <c r="O743" s="74"/>
      <c r="P743" s="74"/>
    </row>
    <row r="744" ht="12.75" customHeight="1">
      <c r="O744" s="74"/>
      <c r="P744" s="74"/>
    </row>
    <row r="745" ht="12.75" customHeight="1">
      <c r="O745" s="74"/>
      <c r="P745" s="74"/>
    </row>
    <row r="746" ht="12.75" customHeight="1">
      <c r="O746" s="74"/>
      <c r="P746" s="74"/>
    </row>
    <row r="747" ht="12.75" customHeight="1">
      <c r="O747" s="74"/>
      <c r="P747" s="74"/>
    </row>
    <row r="748" ht="12.75" customHeight="1">
      <c r="O748" s="74"/>
      <c r="P748" s="74"/>
    </row>
    <row r="749" ht="12.75" customHeight="1">
      <c r="O749" s="74"/>
      <c r="P749" s="74"/>
    </row>
    <row r="750" ht="12.75" customHeight="1">
      <c r="O750" s="74"/>
      <c r="P750" s="74"/>
    </row>
    <row r="751" ht="12.75" customHeight="1">
      <c r="O751" s="74"/>
      <c r="P751" s="74"/>
    </row>
    <row r="752" ht="12.75" customHeight="1">
      <c r="O752" s="74"/>
      <c r="P752" s="74"/>
    </row>
    <row r="753" ht="12.75" customHeight="1">
      <c r="O753" s="74"/>
      <c r="P753" s="74"/>
    </row>
    <row r="754" ht="12.75" customHeight="1">
      <c r="O754" s="74"/>
      <c r="P754" s="74"/>
    </row>
    <row r="755" ht="12.75" customHeight="1">
      <c r="O755" s="74"/>
      <c r="P755" s="74"/>
    </row>
    <row r="756" ht="12.75" customHeight="1">
      <c r="O756" s="74"/>
      <c r="P756" s="74"/>
    </row>
    <row r="757" ht="12.75" customHeight="1">
      <c r="O757" s="74"/>
      <c r="P757" s="74"/>
    </row>
    <row r="758" ht="12.75" customHeight="1">
      <c r="O758" s="74"/>
      <c r="P758" s="74"/>
    </row>
    <row r="759" ht="12.75" customHeight="1">
      <c r="O759" s="74"/>
      <c r="P759" s="74"/>
    </row>
    <row r="760" ht="12.75" customHeight="1">
      <c r="O760" s="74"/>
      <c r="P760" s="74"/>
    </row>
    <row r="761" ht="12.75" customHeight="1">
      <c r="O761" s="74"/>
      <c r="P761" s="74"/>
    </row>
    <row r="762" ht="12.75" customHeight="1">
      <c r="O762" s="74"/>
      <c r="P762" s="74"/>
    </row>
    <row r="763" ht="12.75" customHeight="1">
      <c r="O763" s="74"/>
      <c r="P763" s="74"/>
    </row>
    <row r="764" ht="12.75" customHeight="1">
      <c r="O764" s="74"/>
      <c r="P764" s="74"/>
    </row>
    <row r="765" ht="12.75" customHeight="1">
      <c r="O765" s="74"/>
      <c r="P765" s="74"/>
    </row>
    <row r="766" ht="12.75" customHeight="1">
      <c r="O766" s="74"/>
      <c r="P766" s="74"/>
    </row>
    <row r="767" ht="12.75" customHeight="1">
      <c r="O767" s="74"/>
      <c r="P767" s="74"/>
    </row>
    <row r="768" ht="12.75" customHeight="1">
      <c r="O768" s="74"/>
      <c r="P768" s="74"/>
    </row>
    <row r="769" ht="12.75" customHeight="1">
      <c r="O769" s="74"/>
      <c r="P769" s="74"/>
    </row>
    <row r="770" ht="12.75" customHeight="1">
      <c r="O770" s="74"/>
      <c r="P770" s="74"/>
    </row>
    <row r="771" ht="12.75" customHeight="1">
      <c r="O771" s="74"/>
      <c r="P771" s="74"/>
    </row>
    <row r="772" ht="12.75" customHeight="1">
      <c r="O772" s="74"/>
      <c r="P772" s="74"/>
    </row>
    <row r="773" ht="12.75" customHeight="1">
      <c r="O773" s="74"/>
      <c r="P773" s="74"/>
    </row>
    <row r="774" ht="12.75" customHeight="1">
      <c r="O774" s="74"/>
      <c r="P774" s="74"/>
    </row>
    <row r="775" ht="12.75" customHeight="1">
      <c r="O775" s="74"/>
      <c r="P775" s="74"/>
    </row>
    <row r="776" ht="12.75" customHeight="1">
      <c r="O776" s="74"/>
      <c r="P776" s="74"/>
    </row>
    <row r="777" ht="12.75" customHeight="1">
      <c r="O777" s="74"/>
      <c r="P777" s="74"/>
    </row>
    <row r="778" ht="12.75" customHeight="1">
      <c r="O778" s="74"/>
      <c r="P778" s="74"/>
    </row>
    <row r="779" ht="12.75" customHeight="1">
      <c r="O779" s="74"/>
      <c r="P779" s="74"/>
    </row>
    <row r="780" ht="12.75" customHeight="1">
      <c r="O780" s="74"/>
      <c r="P780" s="74"/>
    </row>
    <row r="781" ht="12.75" customHeight="1">
      <c r="O781" s="74"/>
      <c r="P781" s="74"/>
    </row>
    <row r="782" ht="12.75" customHeight="1">
      <c r="O782" s="74"/>
      <c r="P782" s="74"/>
    </row>
    <row r="783" ht="12.75" customHeight="1">
      <c r="O783" s="74"/>
      <c r="P783" s="74"/>
    </row>
    <row r="784" ht="12.75" customHeight="1">
      <c r="O784" s="74"/>
      <c r="P784" s="74"/>
    </row>
    <row r="785" ht="12.75" customHeight="1">
      <c r="O785" s="74"/>
      <c r="P785" s="74"/>
    </row>
    <row r="786" ht="12.75" customHeight="1">
      <c r="O786" s="74"/>
      <c r="P786" s="74"/>
    </row>
    <row r="787" ht="12.75" customHeight="1">
      <c r="O787" s="74"/>
      <c r="P787" s="74"/>
    </row>
    <row r="788" ht="12.75" customHeight="1">
      <c r="O788" s="74"/>
      <c r="P788" s="74"/>
    </row>
    <row r="789" ht="12.75" customHeight="1">
      <c r="O789" s="74"/>
      <c r="P789" s="74"/>
    </row>
    <row r="790" ht="12.75" customHeight="1">
      <c r="O790" s="74"/>
      <c r="P790" s="74"/>
    </row>
    <row r="791" ht="12.75" customHeight="1">
      <c r="O791" s="74"/>
      <c r="P791" s="74"/>
    </row>
    <row r="792" ht="12.75" customHeight="1">
      <c r="O792" s="74"/>
      <c r="P792" s="74"/>
    </row>
    <row r="793" ht="12.75" customHeight="1">
      <c r="O793" s="74"/>
      <c r="P793" s="74"/>
    </row>
    <row r="794" ht="12.75" customHeight="1">
      <c r="O794" s="74"/>
      <c r="P794" s="74"/>
    </row>
    <row r="795" ht="12.75" customHeight="1">
      <c r="O795" s="74"/>
      <c r="P795" s="74"/>
    </row>
    <row r="796" ht="12.75" customHeight="1">
      <c r="O796" s="74"/>
      <c r="P796" s="74"/>
    </row>
    <row r="797" ht="12.75" customHeight="1">
      <c r="O797" s="74"/>
      <c r="P797" s="74"/>
    </row>
    <row r="798" ht="12.75" customHeight="1">
      <c r="O798" s="74"/>
      <c r="P798" s="74"/>
    </row>
    <row r="799" ht="12.75" customHeight="1">
      <c r="O799" s="74"/>
      <c r="P799" s="74"/>
    </row>
    <row r="800" ht="12.75" customHeight="1">
      <c r="O800" s="74"/>
      <c r="P800" s="74"/>
    </row>
    <row r="801" ht="12.75" customHeight="1">
      <c r="O801" s="74"/>
      <c r="P801" s="74"/>
    </row>
    <row r="802" ht="12.75" customHeight="1">
      <c r="O802" s="74"/>
      <c r="P802" s="74"/>
    </row>
    <row r="803" ht="12.75" customHeight="1">
      <c r="O803" s="74"/>
      <c r="P803" s="74"/>
    </row>
    <row r="804" ht="12.75" customHeight="1">
      <c r="O804" s="74"/>
      <c r="P804" s="74"/>
    </row>
    <row r="805" ht="12.75" customHeight="1">
      <c r="O805" s="74"/>
      <c r="P805" s="74"/>
    </row>
    <row r="806" ht="12.75" customHeight="1">
      <c r="O806" s="74"/>
      <c r="P806" s="74"/>
    </row>
    <row r="807" ht="12.75" customHeight="1">
      <c r="O807" s="74"/>
      <c r="P807" s="74"/>
    </row>
    <row r="808" ht="12.75" customHeight="1">
      <c r="O808" s="74"/>
      <c r="P808" s="74"/>
    </row>
    <row r="809" ht="12.75" customHeight="1">
      <c r="O809" s="74"/>
      <c r="P809" s="74"/>
    </row>
    <row r="810" ht="12.75" customHeight="1">
      <c r="O810" s="74"/>
      <c r="P810" s="74"/>
    </row>
    <row r="811" ht="12.75" customHeight="1">
      <c r="O811" s="74"/>
      <c r="P811" s="74"/>
    </row>
    <row r="812" ht="12.75" customHeight="1">
      <c r="O812" s="74"/>
      <c r="P812" s="74"/>
    </row>
    <row r="813" ht="12.75" customHeight="1">
      <c r="O813" s="74"/>
      <c r="P813" s="74"/>
    </row>
    <row r="814" ht="12.75" customHeight="1">
      <c r="O814" s="74"/>
      <c r="P814" s="74"/>
    </row>
    <row r="815" ht="12.75" customHeight="1">
      <c r="O815" s="74"/>
      <c r="P815" s="74"/>
    </row>
    <row r="816" ht="12.75" customHeight="1">
      <c r="O816" s="74"/>
      <c r="P816" s="74"/>
    </row>
    <row r="817" ht="12.75" customHeight="1">
      <c r="O817" s="74"/>
      <c r="P817" s="74"/>
    </row>
    <row r="818" ht="12.75" customHeight="1">
      <c r="O818" s="74"/>
      <c r="P818" s="74"/>
    </row>
    <row r="819" ht="12.75" customHeight="1">
      <c r="O819" s="74"/>
      <c r="P819" s="74"/>
    </row>
    <row r="820" ht="12.75" customHeight="1">
      <c r="O820" s="74"/>
      <c r="P820" s="74"/>
    </row>
    <row r="821" ht="12.75" customHeight="1">
      <c r="O821" s="74"/>
      <c r="P821" s="74"/>
    </row>
    <row r="822" ht="12.75" customHeight="1">
      <c r="O822" s="74"/>
      <c r="P822" s="74"/>
    </row>
    <row r="823" ht="12.75" customHeight="1">
      <c r="O823" s="74"/>
      <c r="P823" s="74"/>
    </row>
    <row r="824" ht="12.75" customHeight="1">
      <c r="O824" s="74"/>
      <c r="P824" s="74"/>
    </row>
    <row r="825" ht="12.75" customHeight="1">
      <c r="O825" s="74"/>
      <c r="P825" s="74"/>
    </row>
    <row r="826" ht="12.75" customHeight="1">
      <c r="O826" s="74"/>
      <c r="P826" s="74"/>
    </row>
    <row r="827" ht="12.75" customHeight="1">
      <c r="O827" s="74"/>
      <c r="P827" s="74"/>
    </row>
    <row r="828" ht="12.75" customHeight="1">
      <c r="O828" s="74"/>
      <c r="P828" s="74"/>
    </row>
    <row r="829" ht="12.75" customHeight="1">
      <c r="O829" s="74"/>
      <c r="P829" s="74"/>
    </row>
    <row r="830" ht="12.75" customHeight="1">
      <c r="O830" s="74"/>
      <c r="P830" s="74"/>
    </row>
    <row r="831" ht="12.75" customHeight="1">
      <c r="O831" s="74"/>
      <c r="P831" s="74"/>
    </row>
    <row r="832" ht="12.75" customHeight="1">
      <c r="O832" s="74"/>
      <c r="P832" s="74"/>
    </row>
    <row r="833" ht="12.75" customHeight="1">
      <c r="O833" s="74"/>
      <c r="P833" s="74"/>
    </row>
    <row r="834" ht="12.75" customHeight="1">
      <c r="O834" s="74"/>
      <c r="P834" s="74"/>
    </row>
    <row r="835" ht="12.75" customHeight="1">
      <c r="O835" s="74"/>
      <c r="P835" s="74"/>
    </row>
    <row r="836" ht="12.75" customHeight="1">
      <c r="O836" s="74"/>
      <c r="P836" s="74"/>
    </row>
    <row r="837" ht="12.75" customHeight="1">
      <c r="O837" s="74"/>
      <c r="P837" s="74"/>
    </row>
    <row r="838" ht="12.75" customHeight="1">
      <c r="O838" s="74"/>
      <c r="P838" s="74"/>
    </row>
    <row r="839" ht="12.75" customHeight="1">
      <c r="O839" s="74"/>
      <c r="P839" s="74"/>
    </row>
    <row r="840" ht="12.75" customHeight="1">
      <c r="O840" s="74"/>
      <c r="P840" s="74"/>
    </row>
    <row r="841" ht="12.75" customHeight="1">
      <c r="O841" s="74"/>
      <c r="P841" s="74"/>
    </row>
    <row r="842" ht="12.75" customHeight="1">
      <c r="O842" s="74"/>
      <c r="P842" s="74"/>
    </row>
    <row r="843" ht="12.75" customHeight="1">
      <c r="O843" s="74"/>
      <c r="P843" s="74"/>
    </row>
    <row r="844" ht="12.75" customHeight="1">
      <c r="O844" s="74"/>
      <c r="P844" s="74"/>
    </row>
    <row r="845" ht="12.75" customHeight="1">
      <c r="O845" s="74"/>
      <c r="P845" s="74"/>
    </row>
    <row r="846" ht="12.75" customHeight="1">
      <c r="O846" s="74"/>
      <c r="P846" s="74"/>
    </row>
    <row r="847" ht="12.75" customHeight="1">
      <c r="O847" s="74"/>
      <c r="P847" s="74"/>
    </row>
    <row r="848" ht="12.75" customHeight="1">
      <c r="O848" s="74"/>
      <c r="P848" s="74"/>
    </row>
    <row r="849" ht="12.75" customHeight="1">
      <c r="O849" s="74"/>
      <c r="P849" s="74"/>
    </row>
    <row r="850" ht="12.75" customHeight="1">
      <c r="O850" s="74"/>
      <c r="P850" s="74"/>
    </row>
    <row r="851" ht="12.75" customHeight="1">
      <c r="O851" s="74"/>
      <c r="P851" s="74"/>
    </row>
    <row r="852" ht="12.75" customHeight="1">
      <c r="O852" s="74"/>
      <c r="P852" s="74"/>
    </row>
    <row r="853" ht="12.75" customHeight="1">
      <c r="O853" s="74"/>
      <c r="P853" s="74"/>
    </row>
    <row r="854" ht="12.75" customHeight="1">
      <c r="O854" s="74"/>
      <c r="P854" s="74"/>
    </row>
    <row r="855" ht="12.75" customHeight="1">
      <c r="O855" s="74"/>
      <c r="P855" s="74"/>
    </row>
    <row r="856" ht="12.75" customHeight="1">
      <c r="O856" s="74"/>
      <c r="P856" s="74"/>
    </row>
    <row r="857" ht="12.75" customHeight="1">
      <c r="O857" s="74"/>
      <c r="P857" s="74"/>
    </row>
    <row r="858" ht="12.75" customHeight="1">
      <c r="O858" s="74"/>
      <c r="P858" s="74"/>
    </row>
    <row r="859" ht="12.75" customHeight="1">
      <c r="O859" s="74"/>
      <c r="P859" s="74"/>
    </row>
    <row r="860" ht="12.75" customHeight="1">
      <c r="O860" s="74"/>
      <c r="P860" s="74"/>
    </row>
    <row r="861" ht="12.75" customHeight="1">
      <c r="O861" s="74"/>
      <c r="P861" s="74"/>
    </row>
    <row r="862" ht="12.75" customHeight="1">
      <c r="O862" s="74"/>
      <c r="P862" s="74"/>
    </row>
    <row r="863" ht="12.75" customHeight="1">
      <c r="O863" s="74"/>
      <c r="P863" s="74"/>
    </row>
    <row r="864" ht="12.75" customHeight="1">
      <c r="O864" s="74"/>
      <c r="P864" s="74"/>
    </row>
    <row r="865" ht="12.75" customHeight="1">
      <c r="O865" s="74"/>
      <c r="P865" s="74"/>
    </row>
    <row r="866" ht="12.75" customHeight="1">
      <c r="O866" s="74"/>
      <c r="P866" s="74"/>
    </row>
    <row r="867" ht="12.75" customHeight="1">
      <c r="O867" s="74"/>
      <c r="P867" s="74"/>
    </row>
    <row r="868" ht="12.75" customHeight="1">
      <c r="O868" s="74"/>
      <c r="P868" s="74"/>
    </row>
    <row r="869" ht="12.75" customHeight="1">
      <c r="O869" s="74"/>
      <c r="P869" s="74"/>
    </row>
    <row r="870" ht="12.75" customHeight="1">
      <c r="O870" s="74"/>
      <c r="P870" s="74"/>
    </row>
    <row r="871" ht="12.75" customHeight="1">
      <c r="O871" s="74"/>
      <c r="P871" s="74"/>
    </row>
    <row r="872" ht="12.75" customHeight="1">
      <c r="O872" s="74"/>
      <c r="P872" s="74"/>
    </row>
    <row r="873" ht="12.75" customHeight="1">
      <c r="O873" s="74"/>
      <c r="P873" s="74"/>
    </row>
    <row r="874" ht="12.75" customHeight="1">
      <c r="O874" s="74"/>
      <c r="P874" s="74"/>
    </row>
    <row r="875" ht="12.75" customHeight="1">
      <c r="O875" s="74"/>
      <c r="P875" s="74"/>
    </row>
    <row r="876" ht="12.75" customHeight="1">
      <c r="O876" s="74"/>
      <c r="P876" s="74"/>
    </row>
    <row r="877" ht="12.75" customHeight="1">
      <c r="O877" s="74"/>
      <c r="P877" s="74"/>
    </row>
    <row r="878" ht="12.75" customHeight="1">
      <c r="O878" s="74"/>
      <c r="P878" s="74"/>
    </row>
    <row r="879" ht="12.75" customHeight="1">
      <c r="O879" s="74"/>
      <c r="P879" s="74"/>
    </row>
    <row r="880" ht="12.75" customHeight="1">
      <c r="O880" s="74"/>
      <c r="P880" s="74"/>
    </row>
    <row r="881" ht="12.75" customHeight="1">
      <c r="O881" s="74"/>
      <c r="P881" s="74"/>
    </row>
    <row r="882" ht="12.75" customHeight="1">
      <c r="O882" s="74"/>
      <c r="P882" s="74"/>
    </row>
    <row r="883" ht="12.75" customHeight="1">
      <c r="O883" s="74"/>
      <c r="P883" s="74"/>
    </row>
    <row r="884" ht="12.75" customHeight="1">
      <c r="O884" s="74"/>
      <c r="P884" s="74"/>
    </row>
    <row r="885" ht="12.75" customHeight="1">
      <c r="O885" s="74"/>
      <c r="P885" s="74"/>
    </row>
    <row r="886" ht="12.75" customHeight="1">
      <c r="O886" s="74"/>
      <c r="P886" s="74"/>
    </row>
    <row r="887" ht="12.75" customHeight="1">
      <c r="O887" s="74"/>
      <c r="P887" s="74"/>
    </row>
    <row r="888" ht="12.75" customHeight="1">
      <c r="O888" s="74"/>
      <c r="P888" s="74"/>
    </row>
    <row r="889" ht="12.75" customHeight="1">
      <c r="O889" s="74"/>
      <c r="P889" s="74"/>
    </row>
    <row r="890" ht="12.75" customHeight="1">
      <c r="O890" s="74"/>
      <c r="P890" s="74"/>
    </row>
    <row r="891" ht="12.75" customHeight="1">
      <c r="O891" s="74"/>
      <c r="P891" s="74"/>
    </row>
    <row r="892" ht="12.75" customHeight="1">
      <c r="O892" s="74"/>
      <c r="P892" s="74"/>
    </row>
    <row r="893" ht="12.75" customHeight="1">
      <c r="O893" s="74"/>
      <c r="P893" s="74"/>
    </row>
    <row r="894" ht="12.75" customHeight="1">
      <c r="O894" s="74"/>
      <c r="P894" s="74"/>
    </row>
    <row r="895" ht="12.75" customHeight="1">
      <c r="O895" s="74"/>
      <c r="P895" s="74"/>
    </row>
    <row r="896" ht="12.75" customHeight="1">
      <c r="O896" s="74"/>
      <c r="P896" s="74"/>
    </row>
    <row r="897" ht="12.75" customHeight="1">
      <c r="O897" s="74"/>
      <c r="P897" s="74"/>
    </row>
    <row r="898" ht="12.75" customHeight="1">
      <c r="O898" s="74"/>
      <c r="P898" s="74"/>
    </row>
    <row r="899" ht="12.75" customHeight="1">
      <c r="O899" s="74"/>
      <c r="P899" s="74"/>
    </row>
    <row r="900" ht="12.75" customHeight="1">
      <c r="O900" s="74"/>
      <c r="P900" s="74"/>
    </row>
    <row r="901" ht="12.75" customHeight="1">
      <c r="O901" s="74"/>
      <c r="P901" s="74"/>
    </row>
    <row r="902" ht="12.75" customHeight="1">
      <c r="O902" s="74"/>
      <c r="P902" s="74"/>
    </row>
    <row r="903" ht="12.75" customHeight="1">
      <c r="O903" s="74"/>
      <c r="P903" s="74"/>
    </row>
    <row r="904" ht="12.75" customHeight="1">
      <c r="O904" s="74"/>
      <c r="P904" s="74"/>
    </row>
    <row r="905" ht="12.75" customHeight="1">
      <c r="O905" s="74"/>
      <c r="P905" s="74"/>
    </row>
    <row r="906" ht="12.75" customHeight="1">
      <c r="O906" s="74"/>
      <c r="P906" s="74"/>
    </row>
    <row r="907" ht="12.75" customHeight="1">
      <c r="O907" s="74"/>
      <c r="P907" s="74"/>
    </row>
    <row r="908" ht="12.75" customHeight="1">
      <c r="O908" s="74"/>
      <c r="P908" s="74"/>
    </row>
    <row r="909" ht="12.75" customHeight="1">
      <c r="O909" s="74"/>
      <c r="P909" s="74"/>
    </row>
    <row r="910" ht="12.75" customHeight="1">
      <c r="O910" s="74"/>
      <c r="P910" s="74"/>
    </row>
    <row r="911" ht="12.75" customHeight="1">
      <c r="O911" s="74"/>
      <c r="P911" s="74"/>
    </row>
    <row r="912" ht="12.75" customHeight="1">
      <c r="O912" s="74"/>
      <c r="P912" s="74"/>
    </row>
    <row r="913" ht="12.75" customHeight="1">
      <c r="O913" s="74"/>
      <c r="P913" s="74"/>
    </row>
    <row r="914" ht="12.75" customHeight="1">
      <c r="O914" s="74"/>
      <c r="P914" s="74"/>
    </row>
    <row r="915" ht="12.75" customHeight="1">
      <c r="O915" s="74"/>
      <c r="P915" s="74"/>
    </row>
    <row r="916" ht="12.75" customHeight="1">
      <c r="O916" s="74"/>
      <c r="P916" s="74"/>
    </row>
    <row r="917" ht="12.75" customHeight="1">
      <c r="O917" s="74"/>
      <c r="P917" s="74"/>
    </row>
    <row r="918" ht="12.75" customHeight="1">
      <c r="O918" s="74"/>
      <c r="P918" s="74"/>
    </row>
    <row r="919" ht="12.75" customHeight="1">
      <c r="O919" s="74"/>
      <c r="P919" s="74"/>
    </row>
    <row r="920" ht="12.75" customHeight="1">
      <c r="O920" s="74"/>
      <c r="P920" s="74"/>
    </row>
    <row r="921" ht="12.75" customHeight="1">
      <c r="O921" s="74"/>
      <c r="P921" s="74"/>
    </row>
    <row r="922" ht="12.75" customHeight="1">
      <c r="O922" s="74"/>
      <c r="P922" s="74"/>
    </row>
    <row r="923" ht="12.75" customHeight="1">
      <c r="O923" s="74"/>
      <c r="P923" s="74"/>
    </row>
    <row r="924" ht="12.75" customHeight="1">
      <c r="O924" s="74"/>
      <c r="P924" s="74"/>
    </row>
    <row r="925" ht="12.75" customHeight="1">
      <c r="O925" s="74"/>
      <c r="P925" s="74"/>
    </row>
    <row r="926" ht="12.75" customHeight="1">
      <c r="O926" s="74"/>
      <c r="P926" s="74"/>
    </row>
    <row r="927" ht="12.75" customHeight="1">
      <c r="O927" s="74"/>
      <c r="P927" s="74"/>
    </row>
    <row r="928" ht="12.75" customHeight="1">
      <c r="O928" s="74"/>
      <c r="P928" s="74"/>
    </row>
    <row r="929" ht="12.75" customHeight="1">
      <c r="O929" s="74"/>
      <c r="P929" s="74"/>
    </row>
    <row r="930" ht="12.75" customHeight="1">
      <c r="O930" s="74"/>
      <c r="P930" s="74"/>
    </row>
    <row r="931" ht="12.75" customHeight="1">
      <c r="O931" s="74"/>
      <c r="P931" s="74"/>
    </row>
    <row r="932" ht="12.75" customHeight="1">
      <c r="O932" s="74"/>
      <c r="P932" s="74"/>
    </row>
    <row r="933" ht="12.75" customHeight="1">
      <c r="O933" s="74"/>
      <c r="P933" s="74"/>
    </row>
    <row r="934" ht="12.75" customHeight="1">
      <c r="O934" s="74"/>
      <c r="P934" s="74"/>
    </row>
    <row r="935" ht="12.75" customHeight="1">
      <c r="O935" s="74"/>
      <c r="P935" s="74"/>
    </row>
    <row r="936" ht="12.75" customHeight="1">
      <c r="O936" s="74"/>
      <c r="P936" s="74"/>
    </row>
    <row r="937" ht="12.75" customHeight="1">
      <c r="O937" s="74"/>
      <c r="P937" s="74"/>
    </row>
    <row r="938" ht="12.75" customHeight="1">
      <c r="O938" s="74"/>
      <c r="P938" s="74"/>
    </row>
    <row r="939" ht="12.75" customHeight="1">
      <c r="O939" s="74"/>
      <c r="P939" s="74"/>
    </row>
    <row r="940" ht="12.75" customHeight="1">
      <c r="O940" s="74"/>
      <c r="P940" s="74"/>
    </row>
    <row r="941" ht="12.75" customHeight="1">
      <c r="O941" s="74"/>
      <c r="P941" s="74"/>
    </row>
    <row r="942" ht="12.75" customHeight="1">
      <c r="O942" s="74"/>
      <c r="P942" s="74"/>
    </row>
    <row r="943" ht="12.75" customHeight="1">
      <c r="O943" s="74"/>
      <c r="P943" s="74"/>
    </row>
    <row r="944" ht="12.75" customHeight="1">
      <c r="O944" s="74"/>
      <c r="P944" s="74"/>
    </row>
    <row r="945" ht="12.75" customHeight="1">
      <c r="O945" s="74"/>
      <c r="P945" s="74"/>
    </row>
    <row r="946" ht="12.75" customHeight="1">
      <c r="O946" s="74"/>
      <c r="P946" s="74"/>
    </row>
    <row r="947" ht="12.75" customHeight="1">
      <c r="O947" s="74"/>
      <c r="P947" s="74"/>
    </row>
    <row r="948" ht="12.75" customHeight="1">
      <c r="O948" s="74"/>
      <c r="P948" s="74"/>
    </row>
    <row r="949" ht="12.75" customHeight="1">
      <c r="O949" s="74"/>
      <c r="P949" s="74"/>
    </row>
    <row r="950" ht="12.75" customHeight="1">
      <c r="O950" s="74"/>
      <c r="P950" s="74"/>
    </row>
    <row r="951" ht="12.75" customHeight="1">
      <c r="O951" s="74"/>
      <c r="P951" s="74"/>
    </row>
    <row r="952" ht="12.75" customHeight="1">
      <c r="O952" s="74"/>
      <c r="P952" s="74"/>
    </row>
    <row r="953" ht="12.75" customHeight="1">
      <c r="O953" s="74"/>
      <c r="P953" s="74"/>
    </row>
    <row r="954" ht="12.75" customHeight="1">
      <c r="O954" s="74"/>
      <c r="P954" s="74"/>
    </row>
    <row r="955" ht="12.75" customHeight="1">
      <c r="O955" s="74"/>
      <c r="P955" s="74"/>
    </row>
    <row r="956" ht="12.75" customHeight="1">
      <c r="O956" s="74"/>
      <c r="P956" s="74"/>
    </row>
    <row r="957" ht="12.75" customHeight="1">
      <c r="O957" s="74"/>
      <c r="P957" s="74"/>
    </row>
    <row r="958" ht="12.75" customHeight="1">
      <c r="O958" s="74"/>
      <c r="P958" s="74"/>
    </row>
    <row r="959" ht="12.75" customHeight="1">
      <c r="O959" s="74"/>
      <c r="P959" s="74"/>
    </row>
    <row r="960" ht="12.75" customHeight="1">
      <c r="O960" s="74"/>
      <c r="P960" s="74"/>
    </row>
    <row r="961" ht="12.75" customHeight="1">
      <c r="O961" s="74"/>
      <c r="P961" s="74"/>
    </row>
    <row r="962" ht="12.75" customHeight="1">
      <c r="O962" s="74"/>
      <c r="P962" s="74"/>
    </row>
    <row r="963" ht="12.75" customHeight="1">
      <c r="O963" s="74"/>
      <c r="P963" s="74"/>
    </row>
    <row r="964" ht="12.75" customHeight="1">
      <c r="O964" s="74"/>
      <c r="P964" s="74"/>
    </row>
    <row r="965" ht="12.75" customHeight="1">
      <c r="O965" s="74"/>
      <c r="P965" s="74"/>
    </row>
    <row r="966" ht="12.75" customHeight="1">
      <c r="O966" s="74"/>
      <c r="P966" s="74"/>
    </row>
    <row r="967" ht="12.75" customHeight="1">
      <c r="O967" s="74"/>
      <c r="P967" s="74"/>
    </row>
    <row r="968" ht="12.75" customHeight="1">
      <c r="O968" s="74"/>
      <c r="P968" s="74"/>
    </row>
    <row r="969" ht="12.75" customHeight="1">
      <c r="O969" s="74"/>
      <c r="P969" s="74"/>
    </row>
    <row r="970" ht="12.75" customHeight="1">
      <c r="O970" s="74"/>
      <c r="P970" s="74"/>
    </row>
    <row r="971" ht="12.75" customHeight="1">
      <c r="O971" s="74"/>
      <c r="P971" s="74"/>
    </row>
    <row r="972" ht="12.75" customHeight="1">
      <c r="O972" s="74"/>
      <c r="P972" s="74"/>
    </row>
    <row r="973" ht="12.75" customHeight="1">
      <c r="O973" s="74"/>
      <c r="P973" s="74"/>
    </row>
    <row r="974" ht="12.75" customHeight="1">
      <c r="O974" s="74"/>
      <c r="P974" s="74"/>
    </row>
    <row r="975" ht="12.75" customHeight="1">
      <c r="O975" s="74"/>
      <c r="P975" s="74"/>
    </row>
    <row r="976" ht="12.75" customHeight="1">
      <c r="O976" s="74"/>
      <c r="P976" s="74"/>
    </row>
    <row r="977" ht="12.75" customHeight="1">
      <c r="O977" s="74"/>
      <c r="P977" s="74"/>
    </row>
    <row r="978" ht="12.75" customHeight="1">
      <c r="O978" s="74"/>
      <c r="P978" s="74"/>
    </row>
    <row r="979" ht="12.75" customHeight="1">
      <c r="O979" s="74"/>
      <c r="P979" s="74"/>
    </row>
    <row r="980" ht="12.75" customHeight="1">
      <c r="O980" s="74"/>
      <c r="P980" s="74"/>
    </row>
    <row r="981" ht="12.75" customHeight="1">
      <c r="O981" s="74"/>
      <c r="P981" s="74"/>
    </row>
    <row r="982" ht="12.75" customHeight="1">
      <c r="O982" s="74"/>
      <c r="P982" s="74"/>
    </row>
    <row r="983" ht="12.75" customHeight="1">
      <c r="O983" s="74"/>
      <c r="P983" s="74"/>
    </row>
    <row r="984" ht="12.75" customHeight="1">
      <c r="O984" s="74"/>
      <c r="P984" s="74"/>
    </row>
    <row r="985" ht="12.75" customHeight="1">
      <c r="O985" s="74"/>
      <c r="P985" s="74"/>
    </row>
    <row r="986" ht="12.75" customHeight="1">
      <c r="O986" s="74"/>
      <c r="P986" s="74"/>
    </row>
    <row r="987" ht="12.75" customHeight="1">
      <c r="O987" s="74"/>
      <c r="P987" s="74"/>
    </row>
    <row r="988" ht="12.75" customHeight="1">
      <c r="O988" s="74"/>
      <c r="P988" s="74"/>
    </row>
    <row r="989" ht="12.75" customHeight="1">
      <c r="O989" s="74"/>
      <c r="P989" s="74"/>
    </row>
    <row r="990" ht="12.75" customHeight="1">
      <c r="O990" s="74"/>
      <c r="P990" s="74"/>
    </row>
    <row r="991" ht="12.75" customHeight="1">
      <c r="O991" s="74"/>
      <c r="P991" s="74"/>
    </row>
    <row r="992" ht="12.75" customHeight="1">
      <c r="O992" s="74"/>
      <c r="P992" s="74"/>
    </row>
    <row r="993" ht="12.75" customHeight="1">
      <c r="O993" s="74"/>
      <c r="P993" s="74"/>
    </row>
    <row r="994" ht="12.75" customHeight="1">
      <c r="O994" s="74"/>
      <c r="P994" s="74"/>
    </row>
    <row r="995" ht="12.75" customHeight="1">
      <c r="O995" s="74"/>
      <c r="P995" s="74"/>
    </row>
    <row r="996" ht="12.75" customHeight="1">
      <c r="O996" s="74"/>
      <c r="P996" s="74"/>
    </row>
    <row r="997" ht="12.75" customHeight="1">
      <c r="O997" s="74"/>
      <c r="P997" s="74"/>
    </row>
    <row r="998" ht="12.75" customHeight="1">
      <c r="O998" s="74"/>
      <c r="P998" s="74"/>
    </row>
    <row r="999" ht="12.75" customHeight="1">
      <c r="O999" s="74"/>
      <c r="P999" s="74"/>
    </row>
    <row r="1000" ht="12.75" customHeight="1">
      <c r="O1000" s="74"/>
      <c r="P1000" s="74"/>
    </row>
  </sheetData>
  <printOptions/>
  <pageMargins bottom="0.984251968503937" footer="0.0" header="0.0" left="0.7480314960629921" right="0.7480314960629921" top="0.984251968503937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3" width="11.0"/>
    <col customWidth="1" min="4" max="4" width="12.43"/>
    <col customWidth="1" min="5" max="5" width="13.14"/>
    <col customWidth="1" min="6" max="13" width="11.0"/>
    <col customWidth="1" min="14" max="15" width="14.14"/>
    <col customWidth="1" min="16" max="16" width="11.29"/>
    <col customWidth="1" min="17" max="26" width="8.71"/>
  </cols>
  <sheetData>
    <row r="1" ht="12.75" customHeight="1">
      <c r="A1" s="180"/>
      <c r="D1" t="s">
        <v>205</v>
      </c>
      <c r="E1" t="s">
        <v>206</v>
      </c>
      <c r="M1" t="s">
        <v>207</v>
      </c>
      <c r="N1" t="s">
        <v>208</v>
      </c>
    </row>
    <row r="2" ht="12.75" customHeight="1">
      <c r="A2" s="180"/>
      <c r="D2" t="s">
        <v>209</v>
      </c>
      <c r="E2" t="s">
        <v>210</v>
      </c>
      <c r="F2" t="s">
        <v>211</v>
      </c>
      <c r="N2" t="s">
        <v>212</v>
      </c>
    </row>
    <row r="3" ht="12.75" customHeight="1">
      <c r="A3" s="180"/>
      <c r="D3" t="s">
        <v>213</v>
      </c>
      <c r="E3" t="s">
        <v>214</v>
      </c>
      <c r="F3" t="s">
        <v>215</v>
      </c>
    </row>
    <row r="4" ht="12.75" customHeight="1">
      <c r="A4" s="180"/>
    </row>
    <row r="5" ht="12.75" customHeight="1">
      <c r="A5" s="180" t="s">
        <v>216</v>
      </c>
      <c r="B5">
        <v>1.0</v>
      </c>
      <c r="C5">
        <v>2.0</v>
      </c>
      <c r="D5">
        <v>3.0</v>
      </c>
      <c r="E5">
        <v>4.0</v>
      </c>
      <c r="F5">
        <v>5.0</v>
      </c>
      <c r="G5">
        <v>6.0</v>
      </c>
      <c r="H5">
        <v>7.0</v>
      </c>
      <c r="I5">
        <v>8.0</v>
      </c>
      <c r="J5">
        <v>9.0</v>
      </c>
      <c r="K5">
        <v>10.0</v>
      </c>
      <c r="L5">
        <v>11.0</v>
      </c>
      <c r="M5">
        <v>12.0</v>
      </c>
    </row>
    <row r="6" ht="12.75" customHeight="1">
      <c r="A6" s="180" t="s">
        <v>217</v>
      </c>
      <c r="B6" s="182" t="str">
        <f>IF('P&amp;L Summary'!$A$6&gt;=MONTH(B8),"YTD","")</f>
        <v>YTD</v>
      </c>
      <c r="C6" t="str">
        <f>IF('P&amp;L Summary'!$A$6&gt;=MONTH(C8),"YTD","")</f>
        <v>YTD</v>
      </c>
      <c r="D6" t="str">
        <f>IF('P&amp;L Summary'!$A$6&gt;=MONTH(D8),"YTD","")</f>
        <v>YTD</v>
      </c>
      <c r="E6" t="str">
        <f>IF('P&amp;L Summary'!$A$6&gt;=MONTH(E8),"YTD","")</f>
        <v>YTD</v>
      </c>
      <c r="F6" t="str">
        <f>IF('P&amp;L Summary'!$A$6&gt;=MONTH(F8),"YTD","")</f>
        <v>YTD</v>
      </c>
      <c r="G6" t="str">
        <f>IF('P&amp;L Summary'!$A$6&gt;=MONTH(G8),"YTD","")</f>
        <v/>
      </c>
      <c r="H6" t="str">
        <f>IF('P&amp;L Summary'!$A$6&gt;=MONTH(H8),"YTD","")</f>
        <v/>
      </c>
      <c r="I6" t="str">
        <f>IF('P&amp;L Summary'!$A$6&gt;=MONTH(I8),"YTD","")</f>
        <v/>
      </c>
      <c r="J6" t="str">
        <f>IF('P&amp;L Summary'!$A$6&gt;=MONTH(J8),"YTD","")</f>
        <v/>
      </c>
      <c r="K6" t="str">
        <f>IF('P&amp;L Summary'!$A$6&gt;=MONTH(K8),"YTD","")</f>
        <v/>
      </c>
      <c r="L6" t="str">
        <f>IF('P&amp;L Summary'!$A$6&gt;=MONTH(L8),"YTD","")</f>
        <v/>
      </c>
      <c r="M6" t="str">
        <f>IF('P&amp;L Summary'!$A$6&gt;=MONTH(M8),"YTD","")</f>
        <v/>
      </c>
    </row>
    <row r="7" ht="12.75" customHeight="1">
      <c r="A7" s="180"/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40</v>
      </c>
      <c r="O7" t="s">
        <v>219</v>
      </c>
      <c r="P7" t="s">
        <v>4</v>
      </c>
    </row>
    <row r="8" ht="12.75" customHeight="1">
      <c r="A8" s="180"/>
      <c r="B8" s="119">
        <v>42736.0</v>
      </c>
      <c r="C8" s="119">
        <v>42767.0</v>
      </c>
      <c r="D8" s="119">
        <v>42795.0</v>
      </c>
      <c r="E8" s="119">
        <v>42826.0</v>
      </c>
      <c r="F8" s="119">
        <v>42856.0</v>
      </c>
      <c r="G8" s="119">
        <v>42887.0</v>
      </c>
      <c r="H8" s="119">
        <v>42917.0</v>
      </c>
      <c r="I8" s="119">
        <v>42948.0</v>
      </c>
      <c r="J8" s="119">
        <v>42979.0</v>
      </c>
      <c r="K8" s="119">
        <v>43009.0</v>
      </c>
      <c r="L8" s="119">
        <v>43040.0</v>
      </c>
      <c r="M8" s="119">
        <v>43070.0</v>
      </c>
    </row>
    <row r="9" ht="12.75" customHeight="1">
      <c r="A9" s="180"/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223</v>
      </c>
    </row>
    <row r="10" ht="12.75" customHeight="1">
      <c r="A10" s="180" t="s">
        <v>15</v>
      </c>
      <c r="B10" s="74">
        <v>280906.66</v>
      </c>
      <c r="C10" s="74">
        <v>408752.03</v>
      </c>
      <c r="D10" s="74">
        <v>445839.91</v>
      </c>
      <c r="E10" s="74">
        <v>302249.83</v>
      </c>
      <c r="F10" s="74">
        <v>382563.17</v>
      </c>
      <c r="G10" s="74">
        <v>384626.93</v>
      </c>
      <c r="H10" s="74">
        <v>337504.51</v>
      </c>
      <c r="I10" s="74">
        <v>359307.63</v>
      </c>
      <c r="J10" s="74">
        <v>335309.9</v>
      </c>
      <c r="K10" s="74">
        <v>301774.27</v>
      </c>
      <c r="L10" s="74">
        <v>302334.2</v>
      </c>
      <c r="M10" s="74">
        <v>313672.59</v>
      </c>
      <c r="N10" s="74">
        <f t="shared" ref="N10:N23" si="1">SUM(B10:M10)</f>
        <v>4154841.63</v>
      </c>
      <c r="O10" s="194">
        <f>SUMIF($B$5:$M$5,'P&amp;L Summary'!$A$6,$B10:$M10)</f>
        <v>382563.17</v>
      </c>
      <c r="P10" s="194">
        <f t="shared" ref="P10:P23" si="2">SUMIF($B$6:$M$6,"YTD",$B10:$M10)</f>
        <v>1820311.6</v>
      </c>
    </row>
    <row r="11" ht="12.75" customHeight="1">
      <c r="A11" s="180" t="s">
        <v>17</v>
      </c>
      <c r="B11" s="74">
        <v>6252.77</v>
      </c>
      <c r="C11" s="74">
        <v>10083.73</v>
      </c>
      <c r="D11" s="74">
        <v>9570.77</v>
      </c>
      <c r="E11" s="74">
        <v>6885.17</v>
      </c>
      <c r="F11" s="74">
        <v>8051.21</v>
      </c>
      <c r="G11" s="74">
        <v>10351.84</v>
      </c>
      <c r="H11" s="74">
        <v>7922.22</v>
      </c>
      <c r="I11" s="74">
        <v>8498.87</v>
      </c>
      <c r="J11" s="74">
        <v>9458.89</v>
      </c>
      <c r="K11" s="74">
        <v>8064.65</v>
      </c>
      <c r="L11" s="74">
        <v>1294.17</v>
      </c>
      <c r="M11" s="74">
        <v>5296.94</v>
      </c>
      <c r="N11" s="74">
        <f t="shared" si="1"/>
        <v>91731.23</v>
      </c>
      <c r="O11" s="74">
        <f>SUMIF($B$5:$M$5,'P&amp;L Summary'!$A$6,$B11:$M11)</f>
        <v>8051.21</v>
      </c>
      <c r="P11" s="74">
        <f t="shared" si="2"/>
        <v>40843.65</v>
      </c>
    </row>
    <row r="12" ht="12.75" customHeight="1">
      <c r="A12" s="180" t="s">
        <v>19</v>
      </c>
      <c r="B12" s="74">
        <v>0.0</v>
      </c>
      <c r="C12" s="74">
        <v>194.44</v>
      </c>
      <c r="D12" s="74">
        <v>131.62</v>
      </c>
      <c r="E12" s="74">
        <v>0.0</v>
      </c>
      <c r="F12" s="74">
        <v>131.7</v>
      </c>
      <c r="G12" s="74">
        <v>161.44</v>
      </c>
      <c r="H12" s="74">
        <v>182.23</v>
      </c>
      <c r="I12" s="74">
        <v>10.28</v>
      </c>
      <c r="J12" s="74">
        <v>0.0</v>
      </c>
      <c r="K12" s="74">
        <v>0.0</v>
      </c>
      <c r="L12" s="74">
        <v>0.0</v>
      </c>
      <c r="M12" s="74">
        <v>0.0</v>
      </c>
      <c r="N12" s="74">
        <f t="shared" si="1"/>
        <v>811.71</v>
      </c>
      <c r="O12" s="74">
        <f>SUMIF($B$5:$M$5,'P&amp;L Summary'!$A$6,$B12:$M12)</f>
        <v>131.7</v>
      </c>
      <c r="P12" s="74">
        <f t="shared" si="2"/>
        <v>457.76</v>
      </c>
    </row>
    <row r="13" ht="12.75" customHeight="1">
      <c r="A13" s="180" t="s">
        <v>20</v>
      </c>
      <c r="B13" s="74">
        <v>287159.43</v>
      </c>
      <c r="C13" s="74">
        <v>418641.32</v>
      </c>
      <c r="D13" s="74">
        <v>455279.06</v>
      </c>
      <c r="E13" s="74">
        <v>309135.0</v>
      </c>
      <c r="F13" s="74">
        <v>390482.68</v>
      </c>
      <c r="G13" s="74">
        <v>394817.33</v>
      </c>
      <c r="H13" s="74">
        <v>345244.5</v>
      </c>
      <c r="I13" s="74">
        <v>367796.22</v>
      </c>
      <c r="J13" s="74">
        <v>344768.79</v>
      </c>
      <c r="K13" s="74">
        <v>309838.92</v>
      </c>
      <c r="L13" s="74">
        <v>303628.37</v>
      </c>
      <c r="M13" s="74">
        <v>318969.53</v>
      </c>
      <c r="N13" s="74">
        <f t="shared" si="1"/>
        <v>4245761.15</v>
      </c>
      <c r="O13" s="74">
        <f>SUMIF($B$5:$M$5,'P&amp;L Summary'!$A$6,$B13:$M13)</f>
        <v>390482.68</v>
      </c>
      <c r="P13" s="74">
        <f t="shared" si="2"/>
        <v>1860697.49</v>
      </c>
    </row>
    <row r="14" ht="12.75" customHeight="1">
      <c r="A14" s="180" t="s">
        <v>23</v>
      </c>
      <c r="B14" s="74">
        <v>14511.86</v>
      </c>
      <c r="C14" s="74">
        <v>18353.69</v>
      </c>
      <c r="D14" s="74">
        <v>22572.15</v>
      </c>
      <c r="E14" s="74">
        <v>13156.99</v>
      </c>
      <c r="F14" s="74">
        <v>17037.19</v>
      </c>
      <c r="G14" s="74">
        <v>14144.04</v>
      </c>
      <c r="H14" s="74">
        <v>22625.35</v>
      </c>
      <c r="I14" s="74">
        <v>24435.05</v>
      </c>
      <c r="J14" s="74">
        <v>43599.1</v>
      </c>
      <c r="K14" s="74">
        <v>52798.07</v>
      </c>
      <c r="L14" s="74">
        <v>0.0</v>
      </c>
      <c r="M14" s="74">
        <v>0.0</v>
      </c>
      <c r="N14" s="185">
        <f t="shared" si="1"/>
        <v>243233.49</v>
      </c>
      <c r="O14">
        <f>SUMIF($B$5:$M$5,'P&amp;L Summary'!$A$6,$B14:$M14)</f>
        <v>17037.19</v>
      </c>
      <c r="P14" s="74">
        <f t="shared" si="2"/>
        <v>85631.88</v>
      </c>
    </row>
    <row r="15" ht="12.75" customHeight="1">
      <c r="A15" s="180" t="s">
        <v>25</v>
      </c>
      <c r="B15" s="74">
        <v>0.0</v>
      </c>
      <c r="C15" s="74">
        <v>0.0</v>
      </c>
      <c r="D15" s="74">
        <v>0.0</v>
      </c>
      <c r="E15" s="74">
        <v>0.0</v>
      </c>
      <c r="F15" s="74">
        <v>0.0</v>
      </c>
      <c r="G15" s="74">
        <v>0.0</v>
      </c>
      <c r="H15" s="74">
        <v>0.0</v>
      </c>
      <c r="I15" s="74">
        <v>0.0</v>
      </c>
      <c r="J15" s="74">
        <v>0.0</v>
      </c>
      <c r="K15" s="74">
        <v>0.0</v>
      </c>
      <c r="L15" s="74">
        <v>0.0</v>
      </c>
      <c r="M15" s="74">
        <v>0.0</v>
      </c>
      <c r="N15" s="185">
        <f t="shared" si="1"/>
        <v>0</v>
      </c>
      <c r="O15">
        <f>SUMIF($B$5:$M$5,'P&amp;L Summary'!$A$6,$B15:$M15)</f>
        <v>0</v>
      </c>
      <c r="P15" s="74">
        <f t="shared" si="2"/>
        <v>0</v>
      </c>
    </row>
    <row r="16" ht="12.75" customHeight="1">
      <c r="A16" s="180" t="s">
        <v>27</v>
      </c>
      <c r="B16" s="74">
        <v>0.0</v>
      </c>
      <c r="C16" s="74">
        <v>0.0</v>
      </c>
      <c r="D16" s="74">
        <v>0.0</v>
      </c>
      <c r="E16" s="74">
        <v>0.0</v>
      </c>
      <c r="F16" s="74">
        <v>0.0</v>
      </c>
      <c r="G16" s="74">
        <v>0.0</v>
      </c>
      <c r="H16" s="74">
        <v>0.0</v>
      </c>
      <c r="I16" s="74">
        <v>0.0</v>
      </c>
      <c r="J16" s="74">
        <v>0.0</v>
      </c>
      <c r="K16" s="74">
        <v>0.0</v>
      </c>
      <c r="L16" s="74">
        <v>0.0</v>
      </c>
      <c r="M16" s="74">
        <v>0.0</v>
      </c>
      <c r="N16" s="185">
        <f t="shared" si="1"/>
        <v>0</v>
      </c>
      <c r="O16">
        <f>SUMIF($B$5:$M$5,'P&amp;L Summary'!$A$6,$B16:$M16)</f>
        <v>0</v>
      </c>
      <c r="P16" s="74">
        <f t="shared" si="2"/>
        <v>0</v>
      </c>
    </row>
    <row r="17" ht="12.75" customHeight="1">
      <c r="A17" s="180" t="s">
        <v>28</v>
      </c>
      <c r="B17" s="74">
        <v>0.0</v>
      </c>
      <c r="C17" s="74">
        <v>0.0</v>
      </c>
      <c r="D17" s="74">
        <v>0.0</v>
      </c>
      <c r="E17" s="74">
        <v>0.0</v>
      </c>
      <c r="F17" s="74">
        <v>0.0</v>
      </c>
      <c r="G17" s="74">
        <v>0.0</v>
      </c>
      <c r="H17" s="74">
        <v>0.0</v>
      </c>
      <c r="I17" s="74">
        <v>0.0</v>
      </c>
      <c r="J17" s="74">
        <v>0.0</v>
      </c>
      <c r="K17" s="74">
        <v>0.0</v>
      </c>
      <c r="L17" s="74">
        <v>0.0</v>
      </c>
      <c r="M17" s="74">
        <v>0.0</v>
      </c>
      <c r="N17" s="185">
        <f t="shared" si="1"/>
        <v>0</v>
      </c>
      <c r="O17">
        <f>SUMIF($B$5:$M$5,'P&amp;L Summary'!$A$6,$B17:$M17)</f>
        <v>0</v>
      </c>
      <c r="P17" s="74">
        <f t="shared" si="2"/>
        <v>0</v>
      </c>
    </row>
    <row r="18" ht="12.75" customHeight="1">
      <c r="A18" s="180" t="s">
        <v>30</v>
      </c>
      <c r="B18" s="74">
        <v>14511.86</v>
      </c>
      <c r="C18" s="74">
        <v>18353.69</v>
      </c>
      <c r="D18" s="74">
        <v>22572.15</v>
      </c>
      <c r="E18" s="74">
        <v>13156.99</v>
      </c>
      <c r="F18" s="74">
        <v>17037.19</v>
      </c>
      <c r="G18" s="74">
        <v>14144.04</v>
      </c>
      <c r="H18" s="74">
        <v>22625.35</v>
      </c>
      <c r="I18" s="74">
        <v>24435.05</v>
      </c>
      <c r="J18" s="74">
        <v>43599.1</v>
      </c>
      <c r="K18" s="74">
        <v>52798.07</v>
      </c>
      <c r="L18" s="74">
        <v>0.0</v>
      </c>
      <c r="M18" s="74">
        <v>0.0</v>
      </c>
      <c r="N18" s="185">
        <f t="shared" si="1"/>
        <v>243233.49</v>
      </c>
      <c r="O18">
        <f>SUMIF($B$5:$M$5,'P&amp;L Summary'!$A$6,$B18:$M18)</f>
        <v>17037.19</v>
      </c>
      <c r="P18" s="74">
        <f t="shared" si="2"/>
        <v>85631.88</v>
      </c>
    </row>
    <row r="19" ht="12.75" customHeight="1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185">
        <f t="shared" si="1"/>
        <v>0</v>
      </c>
      <c r="O19">
        <f>SUMIF($B$5:$M$5,'P&amp;L Summary'!$A$6,$B19:$M19)</f>
        <v>0</v>
      </c>
      <c r="P19" s="74">
        <f t="shared" si="2"/>
        <v>0</v>
      </c>
    </row>
    <row r="20" ht="12.75" customHeight="1">
      <c r="A20" s="180" t="s">
        <v>32</v>
      </c>
      <c r="B20" s="74">
        <v>301671.29</v>
      </c>
      <c r="C20" s="74">
        <v>436995.01</v>
      </c>
      <c r="D20" s="74">
        <v>477851.21</v>
      </c>
      <c r="E20" s="74">
        <v>322291.99</v>
      </c>
      <c r="F20" s="74">
        <v>407519.87</v>
      </c>
      <c r="G20" s="74">
        <v>408961.37</v>
      </c>
      <c r="H20" s="74">
        <v>367869.85</v>
      </c>
      <c r="I20" s="74">
        <v>392231.27</v>
      </c>
      <c r="J20" s="74">
        <v>388367.89</v>
      </c>
      <c r="K20" s="74">
        <v>362636.99</v>
      </c>
      <c r="L20" s="74">
        <v>303628.37</v>
      </c>
      <c r="M20" s="74">
        <v>318969.53</v>
      </c>
      <c r="N20" s="74">
        <f t="shared" si="1"/>
        <v>4488994.64</v>
      </c>
      <c r="O20" s="74">
        <f>SUMIF($B$5:$M$5,'P&amp;L Summary'!$A$6,$B20:$M20)</f>
        <v>407519.87</v>
      </c>
      <c r="P20" s="74">
        <f t="shared" si="2"/>
        <v>1946329.37</v>
      </c>
    </row>
    <row r="21" ht="12.75" customHeight="1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185">
        <f t="shared" si="1"/>
        <v>0</v>
      </c>
      <c r="O21">
        <f>SUMIF($B$5:$M$5,'P&amp;L Summary'!$A$6,$B21:$M21)</f>
        <v>0</v>
      </c>
      <c r="P21" s="74">
        <f t="shared" si="2"/>
        <v>0</v>
      </c>
    </row>
    <row r="22" ht="12.75" customHeight="1">
      <c r="A22" s="180" t="s">
        <v>38</v>
      </c>
      <c r="B22" s="74">
        <v>299.7</v>
      </c>
      <c r="C22" s="74">
        <v>299.7</v>
      </c>
      <c r="D22" s="74">
        <v>286.45</v>
      </c>
      <c r="E22" s="74">
        <v>259.95</v>
      </c>
      <c r="F22" s="74">
        <v>259.95</v>
      </c>
      <c r="G22" s="74">
        <v>259.95</v>
      </c>
      <c r="H22" s="74">
        <v>259.95</v>
      </c>
      <c r="I22" s="74">
        <v>259.95</v>
      </c>
      <c r="J22" s="74">
        <v>259.95</v>
      </c>
      <c r="K22" s="74">
        <v>259.95</v>
      </c>
      <c r="L22" s="74">
        <v>259.95</v>
      </c>
      <c r="M22" s="74">
        <v>259.93</v>
      </c>
      <c r="N22" s="74">
        <f t="shared" si="1"/>
        <v>3225.38</v>
      </c>
      <c r="O22" s="74">
        <f>SUMIF($B$5:$M$5,'P&amp;L Summary'!$A$6,$B22:$M22)</f>
        <v>259.95</v>
      </c>
      <c r="P22" s="74">
        <f t="shared" si="2"/>
        <v>1405.75</v>
      </c>
    </row>
    <row r="23" ht="12.75" customHeight="1">
      <c r="A23" s="180" t="s">
        <v>41</v>
      </c>
      <c r="B23" s="74">
        <v>98300.28</v>
      </c>
      <c r="C23" s="74">
        <v>146869.52</v>
      </c>
      <c r="D23" s="74">
        <v>175579.25</v>
      </c>
      <c r="E23" s="74">
        <v>119571.03</v>
      </c>
      <c r="F23" s="74">
        <v>155447.14</v>
      </c>
      <c r="G23" s="74">
        <v>137344.83</v>
      </c>
      <c r="H23" s="74">
        <v>132790.3</v>
      </c>
      <c r="I23" s="74">
        <v>112406.2</v>
      </c>
      <c r="J23" s="74">
        <v>144461.54</v>
      </c>
      <c r="K23" s="74">
        <v>132852.86</v>
      </c>
      <c r="L23" s="74">
        <v>118106.76</v>
      </c>
      <c r="M23" s="74">
        <v>110996.15</v>
      </c>
      <c r="N23" s="74">
        <f t="shared" si="1"/>
        <v>1584725.86</v>
      </c>
      <c r="O23" s="74">
        <f>SUMIF($B$5:$M$5,'P&amp;L Summary'!$A$6,$B23:$M23)</f>
        <v>155447.14</v>
      </c>
      <c r="P23" s="74">
        <f t="shared" si="2"/>
        <v>695767.22</v>
      </c>
    </row>
    <row r="24" ht="12.75" customHeight="1">
      <c r="A24" s="180" t="s">
        <v>42</v>
      </c>
      <c r="B24" s="74">
        <v>0.0</v>
      </c>
      <c r="C24" s="74">
        <v>0.0</v>
      </c>
      <c r="D24" s="74">
        <v>0.0</v>
      </c>
      <c r="E24" s="74">
        <v>0.0</v>
      </c>
      <c r="F24" s="74">
        <v>0.0</v>
      </c>
      <c r="G24" s="74">
        <v>0.0</v>
      </c>
      <c r="H24" s="74">
        <v>0.0</v>
      </c>
      <c r="I24" s="74">
        <v>0.0</v>
      </c>
      <c r="J24" s="74">
        <v>0.0</v>
      </c>
      <c r="K24" s="74">
        <v>0.0</v>
      </c>
      <c r="L24" s="74">
        <v>0.0</v>
      </c>
      <c r="M24" s="74">
        <v>0.0</v>
      </c>
      <c r="N24" s="74"/>
      <c r="O24" s="74"/>
      <c r="P24" s="74"/>
    </row>
    <row r="25" ht="12.75" customHeight="1">
      <c r="A25" s="180" t="s">
        <v>43</v>
      </c>
      <c r="B25" s="74">
        <v>0.0</v>
      </c>
      <c r="C25" s="74">
        <v>0.0</v>
      </c>
      <c r="D25" s="74">
        <v>0.0</v>
      </c>
      <c r="E25" s="74">
        <v>0.0</v>
      </c>
      <c r="F25" s="74">
        <v>0.0</v>
      </c>
      <c r="G25" s="74">
        <v>0.0</v>
      </c>
      <c r="H25" s="74">
        <v>0.0</v>
      </c>
      <c r="I25" s="74">
        <v>0.0</v>
      </c>
      <c r="J25" s="74">
        <v>0.0</v>
      </c>
      <c r="K25" s="74">
        <v>0.0</v>
      </c>
      <c r="L25" s="74">
        <v>0.0</v>
      </c>
      <c r="M25" s="74">
        <v>0.0</v>
      </c>
      <c r="N25" s="74">
        <f t="shared" ref="N25:N55" si="3">SUM(B25:M25)</f>
        <v>0</v>
      </c>
      <c r="O25" s="74">
        <f>SUMIF($B$5:$M$5,'P&amp;L Summary'!$A$6,$B25:$M25)</f>
        <v>0</v>
      </c>
      <c r="P25" s="74">
        <f t="shared" ref="P25:P52" si="4">SUMIF($B$6:$M$6,"YTD",$B25:$M25)</f>
        <v>0</v>
      </c>
    </row>
    <row r="26" ht="12.75" customHeight="1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185">
        <f t="shared" si="3"/>
        <v>0</v>
      </c>
      <c r="O26">
        <f>SUMIF($B$5:$M$5,'P&amp;L Summary'!$A$6,$B26:$M26)</f>
        <v>0</v>
      </c>
      <c r="P26" s="74">
        <f t="shared" si="4"/>
        <v>0</v>
      </c>
    </row>
    <row r="27" ht="12.75" customHeight="1">
      <c r="A27" s="180" t="s">
        <v>46</v>
      </c>
      <c r="B27" s="74">
        <v>98599.98</v>
      </c>
      <c r="C27" s="74">
        <v>147169.22</v>
      </c>
      <c r="D27" s="74">
        <v>175865.7</v>
      </c>
      <c r="E27" s="74">
        <v>119830.98</v>
      </c>
      <c r="F27" s="74">
        <v>155707.09</v>
      </c>
      <c r="G27" s="74">
        <v>137604.78</v>
      </c>
      <c r="H27" s="74">
        <v>133050.25</v>
      </c>
      <c r="I27" s="74">
        <v>112666.15</v>
      </c>
      <c r="J27" s="74">
        <v>144721.49</v>
      </c>
      <c r="K27" s="74">
        <v>133112.81</v>
      </c>
      <c r="L27" s="74">
        <v>118366.71</v>
      </c>
      <c r="M27" s="74">
        <v>111256.08</v>
      </c>
      <c r="N27" s="74">
        <f t="shared" si="3"/>
        <v>1587951.24</v>
      </c>
      <c r="O27" s="74">
        <f>SUMIF($B$5:$M$5,'P&amp;L Summary'!$A$6,$B27:$M27)</f>
        <v>155707.09</v>
      </c>
      <c r="P27" s="74">
        <f t="shared" si="4"/>
        <v>697172.97</v>
      </c>
    </row>
    <row r="28" ht="12.75" customHeight="1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185">
        <f t="shared" si="3"/>
        <v>0</v>
      </c>
      <c r="O28">
        <f>SUMIF($B$5:$M$5,'P&amp;L Summary'!$A$6,$B28:$M28)</f>
        <v>0</v>
      </c>
      <c r="P28" s="74">
        <f t="shared" si="4"/>
        <v>0</v>
      </c>
    </row>
    <row r="29" ht="12.75" customHeight="1">
      <c r="A29" s="180" t="s">
        <v>48</v>
      </c>
      <c r="B29" s="74">
        <v>203071.31</v>
      </c>
      <c r="C29" s="74">
        <v>289825.79</v>
      </c>
      <c r="D29" s="74">
        <v>301985.51</v>
      </c>
      <c r="E29" s="74">
        <v>202461.01</v>
      </c>
      <c r="F29" s="74">
        <v>251812.78</v>
      </c>
      <c r="G29" s="74">
        <v>271356.59</v>
      </c>
      <c r="H29" s="74">
        <v>234819.6</v>
      </c>
      <c r="I29" s="74">
        <v>279565.12</v>
      </c>
      <c r="J29" s="74">
        <v>243646.4</v>
      </c>
      <c r="K29" s="74">
        <v>229524.18</v>
      </c>
      <c r="L29" s="74">
        <v>185261.66</v>
      </c>
      <c r="M29" s="74">
        <v>207713.45</v>
      </c>
      <c r="N29" s="74">
        <f t="shared" si="3"/>
        <v>2901043.4</v>
      </c>
      <c r="O29" s="74">
        <f>SUMIF($B$5:$M$5,'P&amp;L Summary'!$A$6,$B29:$M29)</f>
        <v>251812.78</v>
      </c>
      <c r="P29" s="74">
        <f t="shared" si="4"/>
        <v>1249156.4</v>
      </c>
    </row>
    <row r="30" ht="12.75" customHeight="1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185">
        <f t="shared" si="3"/>
        <v>0</v>
      </c>
      <c r="O30">
        <f>SUMIF($B$5:$M$5,'P&amp;L Summary'!$A$6,$B30:$M30)</f>
        <v>0</v>
      </c>
      <c r="P30" s="74">
        <f t="shared" si="4"/>
        <v>0</v>
      </c>
    </row>
    <row r="31" ht="12.75" customHeight="1">
      <c r="A31" s="180" t="s">
        <v>2</v>
      </c>
      <c r="B31" s="74">
        <v>169526.95</v>
      </c>
      <c r="C31" s="74">
        <v>184004.91</v>
      </c>
      <c r="D31" s="74">
        <v>184080.67</v>
      </c>
      <c r="E31" s="74">
        <v>181292.66</v>
      </c>
      <c r="F31" s="74">
        <v>186730.78</v>
      </c>
      <c r="G31" s="74">
        <v>179569.03</v>
      </c>
      <c r="H31" s="74">
        <v>171200.53</v>
      </c>
      <c r="I31" s="74">
        <v>170069.01</v>
      </c>
      <c r="J31" s="74">
        <v>180773.46</v>
      </c>
      <c r="K31" s="74">
        <v>163289.8</v>
      </c>
      <c r="L31" s="74">
        <v>182754.01</v>
      </c>
      <c r="M31" s="74">
        <v>171828.49</v>
      </c>
      <c r="N31" s="74">
        <f t="shared" si="3"/>
        <v>2125120.3</v>
      </c>
      <c r="O31" s="74">
        <f>SUMIF($B$5:$M$5,'P&amp;L Summary'!$A$6,$B31:$M31)</f>
        <v>186730.78</v>
      </c>
      <c r="P31" s="74">
        <f t="shared" si="4"/>
        <v>905635.97</v>
      </c>
    </row>
    <row r="32" ht="12.75" customHeight="1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85">
        <f t="shared" si="3"/>
        <v>0</v>
      </c>
      <c r="O32">
        <f>SUMIF($B$5:$M$5,'P&amp;L Summary'!$A$6,$B32:$M32)</f>
        <v>0</v>
      </c>
      <c r="P32" s="74">
        <f t="shared" si="4"/>
        <v>0</v>
      </c>
    </row>
    <row r="33" ht="12.75" customHeight="1">
      <c r="A33" s="180" t="s">
        <v>50</v>
      </c>
      <c r="B33" s="74">
        <v>0.0</v>
      </c>
      <c r="C33" s="74">
        <v>0.0</v>
      </c>
      <c r="D33" s="74">
        <v>0.0</v>
      </c>
      <c r="E33" s="74">
        <v>0.0</v>
      </c>
      <c r="F33" s="74">
        <v>0.0</v>
      </c>
      <c r="G33" s="74">
        <v>0.0</v>
      </c>
      <c r="H33" s="74">
        <v>0.0</v>
      </c>
      <c r="I33" s="74">
        <v>0.0</v>
      </c>
      <c r="J33" s="74">
        <v>0.0</v>
      </c>
      <c r="K33" s="74">
        <v>0.0</v>
      </c>
      <c r="L33" s="74">
        <v>0.0</v>
      </c>
      <c r="M33" s="74">
        <v>0.0</v>
      </c>
      <c r="N33" s="185">
        <f t="shared" si="3"/>
        <v>0</v>
      </c>
      <c r="O33">
        <f>SUMIF($B$5:$M$5,'P&amp;L Summary'!$A$6,$B33:$M33)</f>
        <v>0</v>
      </c>
      <c r="P33" s="74">
        <f t="shared" si="4"/>
        <v>0</v>
      </c>
    </row>
    <row r="34" ht="12.75" customHeight="1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185">
        <f t="shared" si="3"/>
        <v>0</v>
      </c>
      <c r="O34">
        <f>SUMIF($B$5:$M$5,'P&amp;L Summary'!$A$6,$B34:$M34)</f>
        <v>0</v>
      </c>
      <c r="P34" s="74">
        <f t="shared" si="4"/>
        <v>0</v>
      </c>
    </row>
    <row r="35" ht="12.75" customHeight="1">
      <c r="A35" s="180" t="s">
        <v>51</v>
      </c>
      <c r="B35" s="74">
        <v>33544.36</v>
      </c>
      <c r="C35" s="74">
        <v>105820.88</v>
      </c>
      <c r="D35" s="74">
        <v>117904.84</v>
      </c>
      <c r="E35" s="74">
        <v>21168.35</v>
      </c>
      <c r="F35" s="74">
        <v>65082.0</v>
      </c>
      <c r="G35" s="74">
        <v>91787.56</v>
      </c>
      <c r="H35" s="74">
        <v>63619.07</v>
      </c>
      <c r="I35" s="74">
        <v>109496.11</v>
      </c>
      <c r="J35" s="74">
        <v>62872.94</v>
      </c>
      <c r="K35" s="74">
        <v>66234.38</v>
      </c>
      <c r="L35" s="74">
        <v>2507.65</v>
      </c>
      <c r="M35" s="74">
        <v>35884.96</v>
      </c>
      <c r="N35" s="74">
        <f t="shared" si="3"/>
        <v>775923.1</v>
      </c>
      <c r="O35" s="74">
        <f>SUMIF($B$5:$M$5,'P&amp;L Summary'!$A$6,$B35:$M35)</f>
        <v>65082</v>
      </c>
      <c r="P35" s="74">
        <f t="shared" si="4"/>
        <v>343520.43</v>
      </c>
    </row>
    <row r="36" ht="12.75" customHeight="1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185">
        <f t="shared" si="3"/>
        <v>0</v>
      </c>
      <c r="O36">
        <f>SUMIF($B$5:$M$5,'P&amp;L Summary'!$A$6,$B36:$M36)</f>
        <v>0</v>
      </c>
      <c r="P36" s="74">
        <f t="shared" si="4"/>
        <v>0</v>
      </c>
    </row>
    <row r="37" ht="12.75" customHeight="1">
      <c r="A37" s="180" t="s">
        <v>52</v>
      </c>
      <c r="B37" s="74">
        <v>0.0</v>
      </c>
      <c r="C37" s="74">
        <v>0.0</v>
      </c>
      <c r="D37" s="74">
        <v>0.0</v>
      </c>
      <c r="E37" s="74">
        <v>0.0</v>
      </c>
      <c r="F37" s="74">
        <v>0.0</v>
      </c>
      <c r="G37" s="74">
        <v>0.0</v>
      </c>
      <c r="H37" s="74">
        <v>0.0</v>
      </c>
      <c r="I37" s="74">
        <v>0.0</v>
      </c>
      <c r="J37" s="74">
        <v>0.0</v>
      </c>
      <c r="K37" s="74">
        <v>0.0</v>
      </c>
      <c r="L37" s="74">
        <v>0.0</v>
      </c>
      <c r="M37" s="74">
        <v>0.0</v>
      </c>
      <c r="N37" s="185">
        <f t="shared" si="3"/>
        <v>0</v>
      </c>
      <c r="O37">
        <f>SUMIF($B$5:$M$5,'P&amp;L Summary'!$A$6,$B37:$M37)</f>
        <v>0</v>
      </c>
      <c r="P37" s="74">
        <f t="shared" si="4"/>
        <v>0</v>
      </c>
    </row>
    <row r="38" ht="12.75" customHeight="1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185">
        <f t="shared" si="3"/>
        <v>0</v>
      </c>
      <c r="O38">
        <f>SUMIF($B$5:$M$5,'P&amp;L Summary'!$A$6,$B38:$M38)</f>
        <v>0</v>
      </c>
      <c r="P38" s="74">
        <f t="shared" si="4"/>
        <v>0</v>
      </c>
    </row>
    <row r="39" ht="12.75" customHeight="1">
      <c r="A39" s="180" t="s">
        <v>226</v>
      </c>
      <c r="B39" s="74">
        <v>33544.36</v>
      </c>
      <c r="C39" s="74">
        <v>105820.88</v>
      </c>
      <c r="D39" s="74">
        <v>117904.84</v>
      </c>
      <c r="E39" s="74">
        <v>21168.35</v>
      </c>
      <c r="F39" s="74">
        <v>65082.0</v>
      </c>
      <c r="G39" s="74">
        <v>91787.56</v>
      </c>
      <c r="H39" s="74">
        <v>63619.07</v>
      </c>
      <c r="I39" s="74">
        <v>109496.11</v>
      </c>
      <c r="J39" s="74">
        <v>62872.94</v>
      </c>
      <c r="K39" s="74">
        <v>66234.38</v>
      </c>
      <c r="L39" s="74">
        <v>2507.65</v>
      </c>
      <c r="M39" s="74">
        <v>35884.96</v>
      </c>
      <c r="N39" s="74">
        <f t="shared" si="3"/>
        <v>775923.1</v>
      </c>
      <c r="O39" s="74">
        <f>SUMIF($B$5:$M$5,'P&amp;L Summary'!$A$6,$B39:$M39)</f>
        <v>65082</v>
      </c>
      <c r="P39" s="74">
        <f t="shared" si="4"/>
        <v>343520.43</v>
      </c>
    </row>
    <row r="40" ht="12.75" customHeight="1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185">
        <f t="shared" si="3"/>
        <v>0</v>
      </c>
      <c r="O40">
        <f>SUMIF($B$5:$M$5,'P&amp;L Summary'!$A$6,$B40:$M40)</f>
        <v>0</v>
      </c>
      <c r="P40" s="74">
        <f t="shared" si="4"/>
        <v>0</v>
      </c>
    </row>
    <row r="41" ht="12.75" customHeight="1">
      <c r="A41" s="180" t="s">
        <v>44</v>
      </c>
      <c r="B41" s="74">
        <v>-51.68</v>
      </c>
      <c r="C41" s="74">
        <v>0.0</v>
      </c>
      <c r="D41" s="74">
        <v>174.46</v>
      </c>
      <c r="E41" s="74">
        <v>100.42</v>
      </c>
      <c r="F41" s="74">
        <v>-85.76</v>
      </c>
      <c r="G41" s="74">
        <v>0.0</v>
      </c>
      <c r="H41" s="74">
        <v>-321.99</v>
      </c>
      <c r="I41" s="74">
        <v>311.65</v>
      </c>
      <c r="J41" s="74">
        <v>3.3</v>
      </c>
      <c r="K41" s="74">
        <v>39.6</v>
      </c>
      <c r="L41" s="74">
        <v>20.71</v>
      </c>
      <c r="M41" s="74">
        <v>-295.13</v>
      </c>
      <c r="N41" s="185">
        <f t="shared" si="3"/>
        <v>-104.42</v>
      </c>
      <c r="O41">
        <f>SUMIF($B$5:$M$5,'P&amp;L Summary'!$A$6,$B41:$M41)</f>
        <v>-85.76</v>
      </c>
      <c r="P41" s="74">
        <f t="shared" si="4"/>
        <v>137.44</v>
      </c>
    </row>
    <row r="42" ht="12.75" customHeight="1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85">
        <f t="shared" si="3"/>
        <v>0</v>
      </c>
      <c r="O42">
        <f>SUMIF($B$5:$M$5,'P&amp;L Summary'!$A$6,$B42:$M42)</f>
        <v>0</v>
      </c>
      <c r="P42" s="74">
        <f t="shared" si="4"/>
        <v>0</v>
      </c>
    </row>
    <row r="43" ht="12.75" customHeight="1">
      <c r="A43" s="180" t="s">
        <v>54</v>
      </c>
      <c r="B43" s="74">
        <v>33596.04</v>
      </c>
      <c r="C43" s="74">
        <v>105820.88</v>
      </c>
      <c r="D43" s="74">
        <v>117730.38</v>
      </c>
      <c r="E43" s="74">
        <v>21067.93</v>
      </c>
      <c r="F43" s="74">
        <v>65167.76</v>
      </c>
      <c r="G43" s="74">
        <v>91787.56</v>
      </c>
      <c r="H43" s="74">
        <v>63941.06</v>
      </c>
      <c r="I43" s="74">
        <v>109184.46</v>
      </c>
      <c r="J43" s="74">
        <v>62869.64</v>
      </c>
      <c r="K43" s="74">
        <v>66194.78</v>
      </c>
      <c r="L43" s="74">
        <v>2486.94</v>
      </c>
      <c r="M43" s="74">
        <v>36180.09</v>
      </c>
      <c r="N43" s="74">
        <f t="shared" si="3"/>
        <v>776027.52</v>
      </c>
      <c r="O43" s="74">
        <f>SUMIF($B$5:$M$5,'P&amp;L Summary'!$A$6,$B43:$M43)</f>
        <v>65167.76</v>
      </c>
      <c r="P43" s="74">
        <f t="shared" si="4"/>
        <v>343382.99</v>
      </c>
    </row>
    <row r="44" ht="12.75" customHeight="1">
      <c r="A44" s="180" t="s">
        <v>55</v>
      </c>
      <c r="B44" s="74">
        <v>0.0</v>
      </c>
      <c r="C44" s="74">
        <v>0.0</v>
      </c>
      <c r="D44" s="74">
        <v>0.0</v>
      </c>
      <c r="E44" s="74">
        <v>0.0</v>
      </c>
      <c r="F44" s="74">
        <v>0.0</v>
      </c>
      <c r="G44" s="74">
        <v>0.0</v>
      </c>
      <c r="H44" s="74">
        <v>385.25</v>
      </c>
      <c r="I44" s="74">
        <v>0.0</v>
      </c>
      <c r="J44" s="74">
        <v>0.0</v>
      </c>
      <c r="K44" s="74">
        <v>0.0</v>
      </c>
      <c r="L44" s="74">
        <v>0.0</v>
      </c>
      <c r="M44" s="74">
        <v>0.0</v>
      </c>
      <c r="N44" s="185">
        <f t="shared" si="3"/>
        <v>385.25</v>
      </c>
      <c r="O44">
        <f>SUMIF($B$5:$M$5,'P&amp;L Summary'!$A$6,$B44:$M44)</f>
        <v>0</v>
      </c>
      <c r="P44" s="74">
        <f t="shared" si="4"/>
        <v>0</v>
      </c>
    </row>
    <row r="45" ht="12.75" customHeight="1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185">
        <f t="shared" si="3"/>
        <v>0</v>
      </c>
      <c r="O45">
        <f>SUMIF($B$5:$M$5,'P&amp;L Summary'!$A$6,$B45:$M45)</f>
        <v>0</v>
      </c>
      <c r="P45" s="74">
        <f t="shared" si="4"/>
        <v>0</v>
      </c>
    </row>
    <row r="46" ht="12.75" customHeight="1">
      <c r="A46" s="180" t="s">
        <v>56</v>
      </c>
      <c r="B46" s="74">
        <v>33596.04</v>
      </c>
      <c r="C46" s="74">
        <v>105820.88</v>
      </c>
      <c r="D46" s="74">
        <v>117730.38</v>
      </c>
      <c r="E46" s="74">
        <v>21067.93</v>
      </c>
      <c r="F46" s="74">
        <v>65167.76</v>
      </c>
      <c r="G46" s="74">
        <v>91787.56</v>
      </c>
      <c r="H46" s="74">
        <v>63555.81</v>
      </c>
      <c r="I46" s="74">
        <v>109184.46</v>
      </c>
      <c r="J46" s="74">
        <v>62869.64</v>
      </c>
      <c r="K46" s="74">
        <v>66194.78</v>
      </c>
      <c r="L46" s="74">
        <v>2486.94</v>
      </c>
      <c r="M46" s="74">
        <v>36180.09</v>
      </c>
      <c r="N46" s="74">
        <f t="shared" si="3"/>
        <v>775642.27</v>
      </c>
      <c r="O46" s="74">
        <f>SUMIF($B$5:$M$5,'P&amp;L Summary'!$A$6,$B46:$M46)</f>
        <v>65167.76</v>
      </c>
      <c r="P46" s="74">
        <f t="shared" si="4"/>
        <v>343382.99</v>
      </c>
    </row>
    <row r="47" ht="12.75" customHeight="1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185">
        <f t="shared" si="3"/>
        <v>0</v>
      </c>
      <c r="O47">
        <f>SUMIF($B$5:$M$5,'P&amp;L Summary'!$A$6,$B47:$M47)</f>
        <v>0</v>
      </c>
      <c r="P47" s="74">
        <f t="shared" si="4"/>
        <v>0</v>
      </c>
    </row>
    <row r="48" ht="12.75" customHeight="1">
      <c r="A48" s="180" t="s">
        <v>57</v>
      </c>
      <c r="B48" s="74">
        <v>27204.0</v>
      </c>
      <c r="C48" s="74">
        <v>32168.0</v>
      </c>
      <c r="D48" s="74">
        <v>63739.0</v>
      </c>
      <c r="E48" s="74">
        <v>6320.0</v>
      </c>
      <c r="F48" s="74">
        <v>4222.0</v>
      </c>
      <c r="G48" s="74">
        <v>25168.0</v>
      </c>
      <c r="H48" s="74">
        <v>19067.0</v>
      </c>
      <c r="I48" s="74">
        <v>32755.0</v>
      </c>
      <c r="J48" s="74">
        <v>18861.0</v>
      </c>
      <c r="K48" s="74">
        <v>19858.0</v>
      </c>
      <c r="L48" s="74">
        <v>748.0</v>
      </c>
      <c r="M48" s="74">
        <v>10854.0</v>
      </c>
      <c r="N48" s="185">
        <f t="shared" si="3"/>
        <v>260964</v>
      </c>
      <c r="O48">
        <f>SUMIF($B$5:$M$5,'P&amp;L Summary'!$A$6,$B48:$M48)</f>
        <v>4222</v>
      </c>
      <c r="P48" s="74">
        <f t="shared" si="4"/>
        <v>133653</v>
      </c>
    </row>
    <row r="49" ht="12.75" customHeight="1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185">
        <f t="shared" si="3"/>
        <v>0</v>
      </c>
      <c r="O49">
        <f>SUMIF($B$5:$M$5,'P&amp;L Summary'!$A$6,$B49:$M49)</f>
        <v>0</v>
      </c>
      <c r="P49" s="74">
        <f t="shared" si="4"/>
        <v>0</v>
      </c>
    </row>
    <row r="50" ht="12.75" customHeight="1">
      <c r="A50" s="180" t="s">
        <v>58</v>
      </c>
      <c r="B50" s="74">
        <v>6392.04</v>
      </c>
      <c r="C50" s="74">
        <v>73652.88</v>
      </c>
      <c r="D50" s="74">
        <v>53991.38</v>
      </c>
      <c r="E50" s="74">
        <v>14747.93</v>
      </c>
      <c r="F50" s="74">
        <v>60945.76</v>
      </c>
      <c r="G50" s="74">
        <v>66619.56</v>
      </c>
      <c r="H50" s="74">
        <v>44488.81</v>
      </c>
      <c r="I50" s="74">
        <v>76429.46</v>
      </c>
      <c r="J50" s="74">
        <v>44008.64</v>
      </c>
      <c r="K50" s="74">
        <v>46336.78</v>
      </c>
      <c r="L50" s="74">
        <v>1738.94</v>
      </c>
      <c r="M50" s="74">
        <v>25326.09</v>
      </c>
      <c r="N50" s="74">
        <f t="shared" si="3"/>
        <v>514678.27</v>
      </c>
      <c r="O50" s="74">
        <f>SUMIF($B$5:$M$5,'P&amp;L Summary'!$A$6,$B50:$M50)</f>
        <v>60945.76</v>
      </c>
      <c r="P50" s="74">
        <f t="shared" si="4"/>
        <v>209729.99</v>
      </c>
    </row>
    <row r="51" ht="12.75" customHeight="1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185">
        <f t="shared" si="3"/>
        <v>0</v>
      </c>
      <c r="O51">
        <f>SUMIF($B$5:$M$5,'P&amp;L Summary'!$A$6,$B51:$M51)</f>
        <v>0</v>
      </c>
      <c r="P51" s="74">
        <f t="shared" si="4"/>
        <v>0</v>
      </c>
    </row>
    <row r="52" ht="12.75" customHeight="1">
      <c r="A52" s="180" t="s">
        <v>228</v>
      </c>
      <c r="B52" s="74">
        <v>6392.04</v>
      </c>
      <c r="C52" s="74">
        <v>73652.88</v>
      </c>
      <c r="D52" s="74">
        <v>53991.38</v>
      </c>
      <c r="E52" s="74">
        <v>14747.93</v>
      </c>
      <c r="F52" s="74">
        <v>60945.76</v>
      </c>
      <c r="G52" s="74">
        <v>66619.56</v>
      </c>
      <c r="H52" s="74">
        <v>44488.81</v>
      </c>
      <c r="I52" s="74">
        <v>76429.46</v>
      </c>
      <c r="J52" s="74">
        <v>44008.64</v>
      </c>
      <c r="K52" s="74">
        <v>46336.78</v>
      </c>
      <c r="L52" s="74">
        <v>1738.94</v>
      </c>
      <c r="M52" s="74">
        <v>25326.09</v>
      </c>
      <c r="N52" s="74">
        <f t="shared" si="3"/>
        <v>514678.27</v>
      </c>
      <c r="O52" s="74">
        <f>SUMIF($B$5:$M$5,'P&amp;L Summary'!$A$6,$B52:$M52)</f>
        <v>60945.76</v>
      </c>
      <c r="P52" s="74">
        <f t="shared" si="4"/>
        <v>209729.99</v>
      </c>
    </row>
    <row r="53" ht="12.75" customHeight="1">
      <c r="A53" s="180" t="s">
        <v>229</v>
      </c>
      <c r="B53" s="74">
        <v>0.0</v>
      </c>
      <c r="C53" s="74">
        <v>0.0</v>
      </c>
      <c r="D53" s="74">
        <v>0.0</v>
      </c>
      <c r="E53" s="74">
        <v>0.0</v>
      </c>
      <c r="F53" s="74">
        <v>0.0</v>
      </c>
      <c r="G53" s="74">
        <v>0.0</v>
      </c>
      <c r="H53" s="74">
        <v>0.0</v>
      </c>
      <c r="I53" s="74">
        <v>0.0</v>
      </c>
      <c r="J53" s="74">
        <v>0.0</v>
      </c>
      <c r="K53" s="74">
        <v>0.0</v>
      </c>
      <c r="L53" s="74">
        <v>0.0</v>
      </c>
      <c r="M53" s="74">
        <v>0.0</v>
      </c>
      <c r="N53" s="185">
        <f t="shared" si="3"/>
        <v>0</v>
      </c>
      <c r="P53" s="74"/>
    </row>
    <row r="54" ht="12.75" customHeight="1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185">
        <f t="shared" si="3"/>
        <v>0</v>
      </c>
      <c r="P54" s="74"/>
    </row>
    <row r="55" ht="12.75" customHeight="1">
      <c r="A55" s="180" t="s">
        <v>230</v>
      </c>
      <c r="B55" s="74">
        <v>-6392.04</v>
      </c>
      <c r="C55" s="74">
        <v>-73652.88</v>
      </c>
      <c r="D55" s="74">
        <v>-53991.38</v>
      </c>
      <c r="E55" s="74">
        <v>-14747.93</v>
      </c>
      <c r="F55" s="74">
        <v>-60945.76</v>
      </c>
      <c r="G55" s="74">
        <v>-66619.56</v>
      </c>
      <c r="H55" s="74">
        <v>-44488.81</v>
      </c>
      <c r="I55" s="74">
        <v>-76429.46</v>
      </c>
      <c r="J55" s="74">
        <v>-44008.64</v>
      </c>
      <c r="K55" s="74">
        <v>-46336.78</v>
      </c>
      <c r="L55" s="74">
        <v>-1738.94</v>
      </c>
      <c r="M55" s="74">
        <v>-25326.09</v>
      </c>
      <c r="N55" s="185">
        <f t="shared" si="3"/>
        <v>-514678.27</v>
      </c>
      <c r="P55" s="74"/>
    </row>
    <row r="56" ht="12.75" customHeight="1">
      <c r="P56" s="74"/>
    </row>
    <row r="57" ht="12.75" customHeight="1">
      <c r="A57" s="180" t="s">
        <v>35</v>
      </c>
      <c r="B57" s="186">
        <v>20.0</v>
      </c>
      <c r="C57" s="186">
        <v>20.0</v>
      </c>
      <c r="D57" s="186">
        <v>23.0</v>
      </c>
      <c r="E57" s="186">
        <v>17.0</v>
      </c>
      <c r="F57" s="186">
        <v>23.0</v>
      </c>
      <c r="G57" s="186">
        <v>21.0</v>
      </c>
      <c r="H57" s="186">
        <v>21.0</v>
      </c>
      <c r="I57" s="186">
        <v>23.0</v>
      </c>
      <c r="J57" s="186">
        <v>21.0</v>
      </c>
      <c r="K57" s="186">
        <v>21.0</v>
      </c>
      <c r="L57" s="186">
        <v>22.0</v>
      </c>
      <c r="M57" s="186">
        <v>19.0</v>
      </c>
      <c r="O57" s="74">
        <f>SUMIF($B$5:$M$5,'P&amp;L Summary'!$A$6,$B57:$M57)</f>
        <v>23</v>
      </c>
      <c r="P57" s="74">
        <f>SUMIF($B$6:$M$6,"YTD",$B57:$M57)</f>
        <v>103</v>
      </c>
    </row>
    <row r="58" ht="12.75" customHeight="1">
      <c r="A58" s="186"/>
      <c r="B58" s="186">
        <v>20.0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92"/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 ht="12.75" customHeight="1">
      <c r="P59" s="74"/>
    </row>
    <row r="60" ht="12.75" customHeight="1">
      <c r="P60" s="74"/>
    </row>
    <row r="61" ht="12.75" customHeight="1">
      <c r="A61" s="180"/>
      <c r="D61" t="s">
        <v>205</v>
      </c>
      <c r="E61" t="s">
        <v>206</v>
      </c>
      <c r="M61" t="s">
        <v>207</v>
      </c>
      <c r="N61" t="s">
        <v>233</v>
      </c>
      <c r="P61" s="74"/>
    </row>
    <row r="62" ht="12.75" customHeight="1">
      <c r="A62" s="180"/>
      <c r="C62" t="s">
        <v>205</v>
      </c>
      <c r="D62" t="s">
        <v>258</v>
      </c>
      <c r="E62" t="s">
        <v>259</v>
      </c>
      <c r="F62" t="s">
        <v>260</v>
      </c>
      <c r="N62" t="s">
        <v>212</v>
      </c>
      <c r="P62" s="74"/>
    </row>
    <row r="63" ht="12.75" customHeight="1">
      <c r="A63" s="180"/>
      <c r="D63" t="s">
        <v>213</v>
      </c>
      <c r="E63" t="s">
        <v>214</v>
      </c>
      <c r="F63" t="s">
        <v>215</v>
      </c>
      <c r="P63" s="74"/>
    </row>
    <row r="64" ht="12.75" customHeight="1">
      <c r="A64" s="180"/>
      <c r="P64" s="74"/>
    </row>
    <row r="65" ht="12.75" customHeight="1">
      <c r="A65" s="180" t="s">
        <v>216</v>
      </c>
      <c r="P65" s="74"/>
    </row>
    <row r="66" ht="12.75" customHeight="1">
      <c r="A66" s="180" t="s">
        <v>217</v>
      </c>
      <c r="P66" s="74"/>
    </row>
    <row r="67" ht="12.75" customHeight="1">
      <c r="A67" s="180"/>
      <c r="B67" t="s">
        <v>218</v>
      </c>
      <c r="C67" t="s">
        <v>218</v>
      </c>
      <c r="D67" t="s">
        <v>218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40</v>
      </c>
      <c r="P67" s="74"/>
    </row>
    <row r="68" ht="12.75" customHeight="1">
      <c r="A68" s="180"/>
      <c r="B68" s="119">
        <v>42736.0</v>
      </c>
      <c r="C68" s="119">
        <v>42767.0</v>
      </c>
      <c r="D68" s="119">
        <v>42795.0</v>
      </c>
      <c r="E68" s="119">
        <v>42826.0</v>
      </c>
      <c r="F68" s="119">
        <v>42856.0</v>
      </c>
      <c r="G68" s="119">
        <v>42887.0</v>
      </c>
      <c r="H68" s="119">
        <v>42917.0</v>
      </c>
      <c r="I68" s="119">
        <v>42948.0</v>
      </c>
      <c r="J68" s="119">
        <v>42979.0</v>
      </c>
      <c r="K68" s="119">
        <v>43009.0</v>
      </c>
      <c r="L68" s="119">
        <v>43040.0</v>
      </c>
      <c r="M68" s="119">
        <v>43070.0</v>
      </c>
      <c r="P68" s="74"/>
    </row>
    <row r="69" ht="12.75" customHeight="1">
      <c r="A69" s="180"/>
      <c r="B69" t="s">
        <v>222</v>
      </c>
      <c r="C69" t="s">
        <v>222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  <c r="J69" t="s">
        <v>222</v>
      </c>
      <c r="K69" t="s">
        <v>222</v>
      </c>
      <c r="L69" t="s">
        <v>222</v>
      </c>
      <c r="M69" t="s">
        <v>222</v>
      </c>
      <c r="N69" t="s">
        <v>223</v>
      </c>
      <c r="P69" s="74"/>
    </row>
    <row r="70" ht="12.75" customHeight="1">
      <c r="A70" s="180" t="s">
        <v>2</v>
      </c>
      <c r="B70" s="74">
        <v>169526.95</v>
      </c>
      <c r="C70" s="74">
        <v>184004.91</v>
      </c>
      <c r="D70" s="74">
        <v>184080.67</v>
      </c>
      <c r="E70" s="74">
        <v>181292.66</v>
      </c>
      <c r="F70" s="74">
        <v>186730.78</v>
      </c>
      <c r="G70" s="74">
        <v>179569.03</v>
      </c>
      <c r="H70" s="74">
        <v>171200.53</v>
      </c>
      <c r="I70" s="74">
        <v>170069.01</v>
      </c>
      <c r="J70" s="74">
        <v>180773.46</v>
      </c>
      <c r="K70" s="74">
        <v>163289.8</v>
      </c>
      <c r="L70" s="74">
        <v>182754.01</v>
      </c>
      <c r="M70" s="74">
        <v>171828.49</v>
      </c>
      <c r="N70" s="74">
        <f>SUM(N71:N82)</f>
        <v>2125120.3</v>
      </c>
      <c r="O70" s="74"/>
      <c r="P70" s="74"/>
    </row>
    <row r="71" ht="12.75" customHeight="1">
      <c r="A71" s="180" t="s">
        <v>16</v>
      </c>
      <c r="B71" s="74">
        <v>10417.0</v>
      </c>
      <c r="C71" s="74">
        <v>10417.0</v>
      </c>
      <c r="D71" s="74">
        <v>10417.0</v>
      </c>
      <c r="E71" s="74">
        <v>10417.0</v>
      </c>
      <c r="F71" s="74">
        <v>10417.0</v>
      </c>
      <c r="G71" s="74">
        <v>10417.0</v>
      </c>
      <c r="H71" s="74">
        <v>10417.0</v>
      </c>
      <c r="I71" s="74">
        <v>10417.0</v>
      </c>
      <c r="J71" s="74">
        <v>10417.04</v>
      </c>
      <c r="K71" s="74">
        <v>10417.0</v>
      </c>
      <c r="L71" s="74">
        <v>-49583.33</v>
      </c>
      <c r="M71" s="74">
        <v>10416.67</v>
      </c>
      <c r="N71" s="74">
        <f t="shared" ref="N71:N82" si="5">SUM(B71:M71)</f>
        <v>65003.38</v>
      </c>
      <c r="O71" s="74">
        <f>SUMIF($B$5:$M$5,'P&amp;L Summary'!$A$6,$B71:$M71)</f>
        <v>10417</v>
      </c>
      <c r="P71" s="74">
        <f t="shared" ref="P71:P82" si="6">SUMIF($B$6:$M$6,"YTD",$B71:$M71)</f>
        <v>52085</v>
      </c>
    </row>
    <row r="72" ht="12.75" customHeight="1">
      <c r="A72" s="189" t="s">
        <v>18</v>
      </c>
      <c r="B72" s="190">
        <v>0.0</v>
      </c>
      <c r="C72" s="190">
        <v>0.0</v>
      </c>
      <c r="D72" s="190">
        <v>0.0</v>
      </c>
      <c r="E72" s="190">
        <v>0.0</v>
      </c>
      <c r="F72" s="190">
        <v>0.0</v>
      </c>
      <c r="G72" s="190">
        <v>0.0</v>
      </c>
      <c r="H72" s="190">
        <v>0.0</v>
      </c>
      <c r="I72" s="190">
        <v>0.0</v>
      </c>
      <c r="J72" s="190">
        <v>0.0</v>
      </c>
      <c r="K72" s="190">
        <v>0.0</v>
      </c>
      <c r="L72" s="190">
        <v>0.0</v>
      </c>
      <c r="M72" s="190">
        <v>0.0</v>
      </c>
      <c r="N72" s="74">
        <f t="shared" si="5"/>
        <v>0</v>
      </c>
      <c r="O72" s="74">
        <f>SUMIF($B$5:$M$5,'P&amp;L Summary'!$A$6,$B72:$M72)</f>
        <v>0</v>
      </c>
      <c r="P72" s="74">
        <f t="shared" si="6"/>
        <v>0</v>
      </c>
    </row>
    <row r="73" ht="12.75" customHeight="1">
      <c r="A73" s="180" t="s">
        <v>21</v>
      </c>
      <c r="B73" s="74">
        <v>930.55</v>
      </c>
      <c r="C73" s="74">
        <v>751.22</v>
      </c>
      <c r="D73" s="74">
        <v>804.05</v>
      </c>
      <c r="E73" s="74">
        <v>0.0</v>
      </c>
      <c r="F73" s="74">
        <v>1112.73</v>
      </c>
      <c r="G73" s="74">
        <v>1686.6</v>
      </c>
      <c r="H73" s="74">
        <v>290.15</v>
      </c>
      <c r="I73" s="74">
        <v>1080.62</v>
      </c>
      <c r="J73" s="74">
        <v>301.76</v>
      </c>
      <c r="K73" s="74">
        <v>1124.15</v>
      </c>
      <c r="L73" s="74">
        <v>967.59</v>
      </c>
      <c r="M73" s="74">
        <v>279.26</v>
      </c>
      <c r="N73" s="74">
        <f t="shared" si="5"/>
        <v>9328.68</v>
      </c>
      <c r="O73" s="74">
        <f>SUMIF($B$5:$M$5,'P&amp;L Summary'!$A$6,$B73:$M73)</f>
        <v>1112.73</v>
      </c>
      <c r="P73" s="74">
        <f t="shared" si="6"/>
        <v>3598.55</v>
      </c>
    </row>
    <row r="74" ht="12.75" customHeight="1">
      <c r="A74" s="180" t="s">
        <v>22</v>
      </c>
      <c r="B74" s="74">
        <v>546.0</v>
      </c>
      <c r="C74" s="74">
        <v>546.0</v>
      </c>
      <c r="D74" s="74">
        <v>546.0</v>
      </c>
      <c r="E74" s="74">
        <v>546.0</v>
      </c>
      <c r="F74" s="74">
        <v>546.0</v>
      </c>
      <c r="G74" s="74">
        <v>546.0</v>
      </c>
      <c r="H74" s="74">
        <v>546.0</v>
      </c>
      <c r="I74" s="74">
        <v>546.0</v>
      </c>
      <c r="J74" s="74">
        <v>546.0</v>
      </c>
      <c r="K74" s="74">
        <v>546.0</v>
      </c>
      <c r="L74" s="74">
        <v>546.0</v>
      </c>
      <c r="M74" s="74">
        <v>309.96</v>
      </c>
      <c r="N74" s="74">
        <f t="shared" si="5"/>
        <v>6315.96</v>
      </c>
      <c r="O74" s="74">
        <f>SUMIF($B$5:$M$5,'P&amp;L Summary'!$A$6,$B74:$M74)</f>
        <v>546</v>
      </c>
      <c r="P74" s="74">
        <f t="shared" si="6"/>
        <v>2730</v>
      </c>
    </row>
    <row r="75" ht="12.75" customHeight="1">
      <c r="A75" s="180" t="s">
        <v>24</v>
      </c>
      <c r="B75" s="74">
        <v>1300.0</v>
      </c>
      <c r="C75" s="74">
        <v>1993.2</v>
      </c>
      <c r="D75" s="74">
        <v>4622.99</v>
      </c>
      <c r="E75" s="74">
        <v>4056.82</v>
      </c>
      <c r="F75" s="74">
        <v>982.79</v>
      </c>
      <c r="G75" s="74">
        <v>-522.24</v>
      </c>
      <c r="H75" s="74">
        <v>2763.78</v>
      </c>
      <c r="I75" s="74">
        <v>1505.23</v>
      </c>
      <c r="J75" s="74">
        <v>1480.62</v>
      </c>
      <c r="K75" s="74">
        <v>-5411.68</v>
      </c>
      <c r="L75" s="74">
        <v>2026.29</v>
      </c>
      <c r="M75" s="74">
        <v>3775.55</v>
      </c>
      <c r="N75" s="74">
        <f t="shared" si="5"/>
        <v>18573.35</v>
      </c>
      <c r="O75" s="74">
        <f>SUMIF($B$5:$M$5,'P&amp;L Summary'!$A$6,$B75:$M75)</f>
        <v>982.79</v>
      </c>
      <c r="P75" s="74">
        <f t="shared" si="6"/>
        <v>12955.8</v>
      </c>
    </row>
    <row r="76" ht="12.75" customHeight="1">
      <c r="A76" s="180" t="s">
        <v>26</v>
      </c>
      <c r="B76" s="74">
        <v>0.0</v>
      </c>
      <c r="C76" s="74">
        <v>0.0</v>
      </c>
      <c r="D76" s="74">
        <v>0.0</v>
      </c>
      <c r="E76" s="74">
        <v>0.0</v>
      </c>
      <c r="F76" s="74">
        <v>0.0</v>
      </c>
      <c r="G76" s="74">
        <v>436.95</v>
      </c>
      <c r="H76" s="74">
        <v>0.0</v>
      </c>
      <c r="I76" s="74">
        <v>0.0</v>
      </c>
      <c r="J76" s="74">
        <v>0.0</v>
      </c>
      <c r="K76" s="74">
        <v>73.43</v>
      </c>
      <c r="L76" s="74">
        <v>0.0</v>
      </c>
      <c r="M76" s="74">
        <v>0.0</v>
      </c>
      <c r="N76" s="74">
        <f t="shared" si="5"/>
        <v>510.38</v>
      </c>
      <c r="O76" s="74">
        <f>SUMIF($B$5:$M$5,'P&amp;L Summary'!$A$6,$B76:$M76)</f>
        <v>0</v>
      </c>
      <c r="P76" s="74">
        <f t="shared" si="6"/>
        <v>0</v>
      </c>
    </row>
    <row r="77" ht="12.75" customHeight="1">
      <c r="A77" s="180" t="s">
        <v>29</v>
      </c>
      <c r="B77" s="74">
        <v>56874.75</v>
      </c>
      <c r="C77" s="74">
        <v>60983.23</v>
      </c>
      <c r="D77" s="74">
        <v>71228.77</v>
      </c>
      <c r="E77" s="74">
        <v>67511.82</v>
      </c>
      <c r="F77" s="74">
        <v>74051.33</v>
      </c>
      <c r="G77" s="74">
        <v>73858.15</v>
      </c>
      <c r="H77" s="74">
        <v>69157.34</v>
      </c>
      <c r="I77" s="74">
        <v>66765.78</v>
      </c>
      <c r="J77" s="74">
        <v>66974.47</v>
      </c>
      <c r="K77" s="74">
        <v>60785.22</v>
      </c>
      <c r="L77" s="74">
        <v>55605.18</v>
      </c>
      <c r="M77" s="74">
        <v>60804.41</v>
      </c>
      <c r="N77" s="74">
        <f t="shared" si="5"/>
        <v>784600.45</v>
      </c>
      <c r="O77" s="74">
        <f>SUMIF($B$5:$M$5,'P&amp;L Summary'!$A$6,$B77:$M77)</f>
        <v>74051.33</v>
      </c>
      <c r="P77" s="74">
        <f t="shared" si="6"/>
        <v>330649.9</v>
      </c>
    </row>
    <row r="78" ht="12.75" customHeight="1">
      <c r="A78" s="180" t="s">
        <v>31</v>
      </c>
      <c r="B78" s="74">
        <v>34494.18</v>
      </c>
      <c r="C78" s="74">
        <v>31614.58</v>
      </c>
      <c r="D78" s="74">
        <v>29071.14</v>
      </c>
      <c r="E78" s="74">
        <v>27275.14</v>
      </c>
      <c r="F78" s="74">
        <v>29420.24</v>
      </c>
      <c r="G78" s="74">
        <v>30679.5</v>
      </c>
      <c r="H78" s="74">
        <v>33558.32</v>
      </c>
      <c r="I78" s="74">
        <v>33808.74</v>
      </c>
      <c r="J78" s="74">
        <v>34203.63</v>
      </c>
      <c r="K78" s="74">
        <v>30786.61</v>
      </c>
      <c r="L78" s="74">
        <v>30914.21</v>
      </c>
      <c r="M78" s="74">
        <v>34152.99</v>
      </c>
      <c r="N78" s="74">
        <f t="shared" si="5"/>
        <v>379979.28</v>
      </c>
      <c r="O78" s="74">
        <f>SUMIF($B$5:$M$5,'P&amp;L Summary'!$A$6,$B78:$M78)</f>
        <v>29420.24</v>
      </c>
      <c r="P78" s="74">
        <f t="shared" si="6"/>
        <v>151875.28</v>
      </c>
    </row>
    <row r="79" ht="12.75" customHeight="1">
      <c r="A79" s="180" t="s">
        <v>33</v>
      </c>
      <c r="B79" s="74">
        <v>62880.46</v>
      </c>
      <c r="C79" s="74">
        <v>76063.0</v>
      </c>
      <c r="D79" s="74">
        <v>65609.14</v>
      </c>
      <c r="E79" s="74">
        <v>66758.57</v>
      </c>
      <c r="F79" s="74">
        <v>66995.39</v>
      </c>
      <c r="G79" s="74">
        <v>60442.53</v>
      </c>
      <c r="H79" s="74">
        <v>52287.04</v>
      </c>
      <c r="I79" s="74">
        <v>53538.47</v>
      </c>
      <c r="J79" s="74">
        <v>60654.48</v>
      </c>
      <c r="K79" s="74">
        <v>58934.3</v>
      </c>
      <c r="L79" s="74">
        <v>75392.32</v>
      </c>
      <c r="M79" s="74">
        <v>55776.62</v>
      </c>
      <c r="N79" s="74">
        <f t="shared" si="5"/>
        <v>755332.32</v>
      </c>
      <c r="O79" s="74">
        <f>SUMIF($B$5:$M$5,'P&amp;L Summary'!$A$6,$B79:$M79)</f>
        <v>66995.39</v>
      </c>
      <c r="P79" s="74">
        <f t="shared" si="6"/>
        <v>338306.56</v>
      </c>
    </row>
    <row r="80" ht="12.75" customHeight="1">
      <c r="A80" s="180" t="s">
        <v>34</v>
      </c>
      <c r="B80" s="74">
        <v>950.58</v>
      </c>
      <c r="C80" s="74">
        <v>950.58</v>
      </c>
      <c r="D80" s="74">
        <v>950.58</v>
      </c>
      <c r="E80" s="74">
        <v>2808.66</v>
      </c>
      <c r="F80" s="74">
        <v>867.71</v>
      </c>
      <c r="G80" s="74">
        <v>805.31</v>
      </c>
      <c r="H80" s="74">
        <v>805.31</v>
      </c>
      <c r="I80" s="74">
        <v>829.54</v>
      </c>
      <c r="J80" s="74">
        <v>5240.65</v>
      </c>
      <c r="K80" s="74">
        <v>5214.4</v>
      </c>
      <c r="L80" s="74">
        <v>5325.04</v>
      </c>
      <c r="M80" s="74">
        <v>5396.89</v>
      </c>
      <c r="N80" s="74">
        <f t="shared" si="5"/>
        <v>30145.25</v>
      </c>
      <c r="O80" s="74">
        <f>SUMIF($B$5:$M$5,'P&amp;L Summary'!$A$6,$B80:$M80)</f>
        <v>867.71</v>
      </c>
      <c r="P80" s="74">
        <f t="shared" si="6"/>
        <v>6528.11</v>
      </c>
    </row>
    <row r="81" ht="12.75" customHeight="1">
      <c r="A81" s="180" t="s">
        <v>37</v>
      </c>
      <c r="B81" s="74">
        <v>0.0</v>
      </c>
      <c r="C81" s="74">
        <v>0.0</v>
      </c>
      <c r="D81" s="74">
        <v>0.0</v>
      </c>
      <c r="E81" s="74">
        <v>0.0</v>
      </c>
      <c r="F81" s="74">
        <v>0.0</v>
      </c>
      <c r="G81" s="74">
        <v>0.0</v>
      </c>
      <c r="H81" s="74">
        <v>0.0</v>
      </c>
      <c r="I81" s="74">
        <v>0.0</v>
      </c>
      <c r="J81" s="74">
        <v>0.0</v>
      </c>
      <c r="K81" s="74">
        <v>0.0</v>
      </c>
      <c r="L81" s="74">
        <v>60000.0</v>
      </c>
      <c r="M81" s="74">
        <v>0.0</v>
      </c>
      <c r="N81" s="74">
        <f t="shared" si="5"/>
        <v>60000</v>
      </c>
      <c r="O81" s="74">
        <f>SUMIF($B$5:$M$5,'P&amp;L Summary'!$A$6,$B81:$M81)</f>
        <v>0</v>
      </c>
      <c r="P81" s="74">
        <f t="shared" si="6"/>
        <v>0</v>
      </c>
    </row>
    <row r="82" ht="12.75" customHeight="1">
      <c r="A82" s="180" t="s">
        <v>39</v>
      </c>
      <c r="B82" s="74">
        <v>1133.43</v>
      </c>
      <c r="C82" s="74">
        <v>686.1</v>
      </c>
      <c r="D82" s="74">
        <v>831.0</v>
      </c>
      <c r="E82" s="74">
        <v>1918.65</v>
      </c>
      <c r="F82" s="74">
        <v>2337.59</v>
      </c>
      <c r="G82" s="74">
        <v>1219.23</v>
      </c>
      <c r="H82" s="74">
        <v>1375.59</v>
      </c>
      <c r="I82" s="74">
        <v>1577.63</v>
      </c>
      <c r="J82" s="74">
        <v>954.81</v>
      </c>
      <c r="K82" s="74">
        <v>820.37</v>
      </c>
      <c r="L82" s="74">
        <v>1560.71</v>
      </c>
      <c r="M82" s="74">
        <v>916.14</v>
      </c>
      <c r="N82" s="74">
        <f t="shared" si="5"/>
        <v>15331.25</v>
      </c>
      <c r="O82" s="74">
        <f>SUMIF($B$5:$M$5,'P&amp;L Summary'!$A$6,$B82:$M82)</f>
        <v>2337.59</v>
      </c>
      <c r="P82" s="74">
        <f t="shared" si="6"/>
        <v>6906.77</v>
      </c>
    </row>
    <row r="83" ht="12.75" customHeight="1">
      <c r="N83" t="e">
        <v>#VALUE!</v>
      </c>
      <c r="P83" s="74"/>
    </row>
    <row r="84" ht="12.75" customHeight="1">
      <c r="A84" s="180" t="s">
        <v>44</v>
      </c>
      <c r="B84">
        <v>-51.68</v>
      </c>
      <c r="C84">
        <v>0.0</v>
      </c>
      <c r="D84">
        <v>174.46</v>
      </c>
      <c r="E84">
        <v>100.42</v>
      </c>
      <c r="F84">
        <v>-85.76</v>
      </c>
      <c r="G84">
        <v>0.0</v>
      </c>
      <c r="H84">
        <v>-321.99</v>
      </c>
      <c r="I84">
        <v>311.65</v>
      </c>
      <c r="J84">
        <v>3.3</v>
      </c>
      <c r="K84">
        <v>39.6</v>
      </c>
      <c r="L84">
        <v>20.71</v>
      </c>
      <c r="M84">
        <v>-295.13</v>
      </c>
      <c r="N84">
        <f t="shared" ref="N84:N87" si="7">SUM(B84:M84)</f>
        <v>-104.42</v>
      </c>
      <c r="P84" s="74"/>
    </row>
    <row r="85" ht="12.75" customHeight="1">
      <c r="A85" s="180" t="s">
        <v>45</v>
      </c>
      <c r="B85">
        <v>-51.68</v>
      </c>
      <c r="C85">
        <v>0.0</v>
      </c>
      <c r="D85">
        <v>0.0</v>
      </c>
      <c r="E85">
        <v>0.0</v>
      </c>
      <c r="F85">
        <v>-103.8</v>
      </c>
      <c r="G85">
        <v>0.0</v>
      </c>
      <c r="H85">
        <v>-171.55</v>
      </c>
      <c r="I85">
        <v>-37.16</v>
      </c>
      <c r="J85">
        <v>-39.09</v>
      </c>
      <c r="K85">
        <v>-35.58</v>
      </c>
      <c r="L85">
        <v>0.0</v>
      </c>
      <c r="M85">
        <v>-88.66</v>
      </c>
      <c r="N85">
        <f t="shared" si="7"/>
        <v>-527.52</v>
      </c>
      <c r="O85">
        <f>SUMIF($B$5:$M$5,'P&amp;L Summary'!$A$6,$B85:$M85)</f>
        <v>-103.8</v>
      </c>
      <c r="P85" s="74">
        <f t="shared" ref="P85:P87" si="8">SUMIF($B$6:$M$6,"YTD",$B85:$M85)</f>
        <v>-155.48</v>
      </c>
    </row>
    <row r="86" ht="12.75" customHeight="1">
      <c r="A86" s="180" t="s">
        <v>47</v>
      </c>
      <c r="B86">
        <v>0.0</v>
      </c>
      <c r="C86">
        <v>0.0</v>
      </c>
      <c r="D86">
        <v>15.9</v>
      </c>
      <c r="E86">
        <v>0.0</v>
      </c>
      <c r="F86">
        <v>18.04</v>
      </c>
      <c r="G86">
        <v>0.0</v>
      </c>
      <c r="H86">
        <v>87.56</v>
      </c>
      <c r="I86">
        <v>110.81</v>
      </c>
      <c r="J86">
        <v>42.39</v>
      </c>
      <c r="K86">
        <v>75.18</v>
      </c>
      <c r="L86">
        <v>0.0</v>
      </c>
      <c r="M86">
        <v>9.53</v>
      </c>
      <c r="N86">
        <f t="shared" si="7"/>
        <v>359.41</v>
      </c>
      <c r="O86">
        <f>SUMIF($B$5:$M$5,'P&amp;L Summary'!$A$6,$B86:$M86)</f>
        <v>18.04</v>
      </c>
      <c r="P86" s="74">
        <f t="shared" si="8"/>
        <v>33.94</v>
      </c>
    </row>
    <row r="87" ht="12.75" customHeight="1">
      <c r="A87" s="180" t="s">
        <v>49</v>
      </c>
      <c r="B87">
        <v>0.0</v>
      </c>
      <c r="C87">
        <v>0.0</v>
      </c>
      <c r="D87">
        <v>158.56</v>
      </c>
      <c r="E87">
        <v>100.42</v>
      </c>
      <c r="F87">
        <v>0.0</v>
      </c>
      <c r="G87">
        <v>0.0</v>
      </c>
      <c r="H87">
        <v>-238.0</v>
      </c>
      <c r="I87">
        <v>238.0</v>
      </c>
      <c r="J87">
        <v>0.0</v>
      </c>
      <c r="K87">
        <v>0.0</v>
      </c>
      <c r="L87">
        <v>20.71</v>
      </c>
      <c r="M87">
        <v>-216.0</v>
      </c>
      <c r="N87">
        <f t="shared" si="7"/>
        <v>63.69</v>
      </c>
      <c r="O87">
        <f>SUMIF($B$5:$M$5,'P&amp;L Summary'!$A$6,$B87:$M87)</f>
        <v>0</v>
      </c>
      <c r="P87" s="74">
        <f t="shared" si="8"/>
        <v>258.98</v>
      </c>
    </row>
    <row r="88" ht="12.75" customHeight="1">
      <c r="P88" s="74"/>
    </row>
    <row r="89" ht="12.75" customHeight="1">
      <c r="P89" s="74"/>
    </row>
    <row r="90" ht="12.75" customHeight="1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92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ht="12.75" customHeight="1">
      <c r="P91" s="74"/>
    </row>
    <row r="92" ht="12.75" customHeight="1">
      <c r="P92" s="74"/>
    </row>
    <row r="93" ht="12.75" customHeight="1">
      <c r="A93" s="180"/>
      <c r="D93" t="s">
        <v>205</v>
      </c>
      <c r="E93" t="s">
        <v>206</v>
      </c>
      <c r="M93" t="s">
        <v>261</v>
      </c>
      <c r="N93" t="s">
        <v>262</v>
      </c>
      <c r="P93" s="74"/>
    </row>
    <row r="94" ht="12.75" customHeight="1">
      <c r="A94" s="180"/>
      <c r="C94" t="s">
        <v>263</v>
      </c>
      <c r="D94" t="s">
        <v>264</v>
      </c>
      <c r="E94" t="s">
        <v>265</v>
      </c>
      <c r="F94" t="s">
        <v>266</v>
      </c>
      <c r="N94" t="s">
        <v>212</v>
      </c>
      <c r="P94" s="74"/>
    </row>
    <row r="95" ht="12.75" customHeight="1">
      <c r="A95" s="180"/>
      <c r="D95" t="s">
        <v>213</v>
      </c>
      <c r="E95" t="s">
        <v>214</v>
      </c>
      <c r="F95" t="s">
        <v>215</v>
      </c>
      <c r="P95" s="74"/>
    </row>
    <row r="96" ht="12.75" customHeight="1">
      <c r="A96" s="180"/>
      <c r="P96" s="74"/>
    </row>
    <row r="97" ht="12.75" customHeight="1">
      <c r="A97" s="180" t="s">
        <v>216</v>
      </c>
      <c r="P97" s="74"/>
    </row>
    <row r="98" ht="12.75" customHeight="1">
      <c r="A98" s="180" t="s">
        <v>217</v>
      </c>
      <c r="P98" s="74"/>
    </row>
    <row r="99" ht="12.75" customHeight="1">
      <c r="A99" s="180"/>
      <c r="B99" t="s">
        <v>218</v>
      </c>
      <c r="C99" t="s">
        <v>218</v>
      </c>
      <c r="D99" t="s">
        <v>218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  <c r="M99" t="s">
        <v>218</v>
      </c>
      <c r="N99" t="s">
        <v>40</v>
      </c>
      <c r="P99" s="74"/>
    </row>
    <row r="100" ht="12.75" customHeight="1">
      <c r="A100" s="180"/>
      <c r="B100" s="119">
        <v>42736.0</v>
      </c>
      <c r="C100" s="119">
        <v>42767.0</v>
      </c>
      <c r="D100" s="119">
        <v>42795.0</v>
      </c>
      <c r="E100" s="119">
        <v>42826.0</v>
      </c>
      <c r="F100" s="119">
        <v>42856.0</v>
      </c>
      <c r="G100" s="119">
        <v>42887.0</v>
      </c>
      <c r="H100" s="119">
        <v>42917.0</v>
      </c>
      <c r="I100" s="119">
        <v>42948.0</v>
      </c>
      <c r="J100" s="119">
        <v>42979.0</v>
      </c>
      <c r="K100" s="119">
        <v>43009.0</v>
      </c>
      <c r="L100" s="119">
        <v>43040.0</v>
      </c>
      <c r="M100" s="119">
        <v>43070.0</v>
      </c>
      <c r="P100" s="74"/>
    </row>
    <row r="101" ht="12.75" customHeight="1">
      <c r="A101" s="180"/>
      <c r="B101" t="s">
        <v>222</v>
      </c>
      <c r="C101" t="s">
        <v>222</v>
      </c>
      <c r="D101" t="s">
        <v>222</v>
      </c>
      <c r="E101" t="s">
        <v>222</v>
      </c>
      <c r="F101" t="s">
        <v>222</v>
      </c>
      <c r="G101" t="s">
        <v>222</v>
      </c>
      <c r="H101" t="s">
        <v>222</v>
      </c>
      <c r="I101" t="s">
        <v>222</v>
      </c>
      <c r="J101" t="s">
        <v>222</v>
      </c>
      <c r="K101" t="s">
        <v>222</v>
      </c>
      <c r="L101" t="s">
        <v>222</v>
      </c>
      <c r="M101" t="s">
        <v>222</v>
      </c>
      <c r="N101" t="s">
        <v>223</v>
      </c>
      <c r="P101" s="74"/>
    </row>
    <row r="102" ht="12.75" customHeight="1">
      <c r="A102" s="180" t="s">
        <v>78</v>
      </c>
      <c r="B102" s="74">
        <v>34494.18</v>
      </c>
      <c r="C102" s="74">
        <v>31614.58</v>
      </c>
      <c r="D102" s="74">
        <v>29071.14</v>
      </c>
      <c r="E102" s="74">
        <v>27275.14</v>
      </c>
      <c r="F102" s="74">
        <v>29420.24</v>
      </c>
      <c r="G102" s="74">
        <v>30679.5</v>
      </c>
      <c r="H102" s="74">
        <v>33558.32</v>
      </c>
      <c r="I102" s="74">
        <v>33808.74</v>
      </c>
      <c r="J102" s="74">
        <v>34203.63</v>
      </c>
      <c r="K102" s="74">
        <v>30786.61</v>
      </c>
      <c r="L102" s="74">
        <v>30914.21</v>
      </c>
      <c r="M102" s="74">
        <v>34152.99</v>
      </c>
      <c r="N102" s="74">
        <f t="shared" ref="N102:N116" si="9">SUM(B102:M102)</f>
        <v>379979.28</v>
      </c>
      <c r="O102" s="74"/>
      <c r="P102" s="74"/>
    </row>
    <row r="103" ht="12.75" customHeight="1">
      <c r="A103" s="180" t="s">
        <v>79</v>
      </c>
      <c r="B103" s="74">
        <v>0.0</v>
      </c>
      <c r="C103" s="74">
        <v>0.0</v>
      </c>
      <c r="D103" s="74">
        <v>0.0</v>
      </c>
      <c r="E103" s="74">
        <v>0.0</v>
      </c>
      <c r="F103" s="74">
        <v>0.0</v>
      </c>
      <c r="G103" s="74">
        <v>0.0</v>
      </c>
      <c r="H103" s="74">
        <v>0.0</v>
      </c>
      <c r="I103" s="74">
        <v>0.0</v>
      </c>
      <c r="J103" s="74">
        <v>0.0</v>
      </c>
      <c r="K103" s="74">
        <v>0.0</v>
      </c>
      <c r="L103" s="74">
        <v>0.0</v>
      </c>
      <c r="M103" s="74">
        <v>0.0</v>
      </c>
      <c r="N103" s="74">
        <f t="shared" si="9"/>
        <v>0</v>
      </c>
      <c r="O103" s="74">
        <f>SUMIF($B$5:$M$5,'P&amp;L Summary'!$A$6,$B103:$M103)</f>
        <v>0</v>
      </c>
      <c r="P103" s="74">
        <f t="shared" ref="P103:P124" si="10">SUMIF($B$6:$M$6,"YTD",$B103:$M103)</f>
        <v>0</v>
      </c>
    </row>
    <row r="104" ht="12.75" customHeight="1">
      <c r="A104" s="180" t="s">
        <v>80</v>
      </c>
      <c r="B104" s="74">
        <v>0.0</v>
      </c>
      <c r="C104" s="74">
        <v>0.0</v>
      </c>
      <c r="D104" s="74">
        <v>0.0</v>
      </c>
      <c r="E104" s="74">
        <v>0.0</v>
      </c>
      <c r="F104" s="74">
        <v>0.0</v>
      </c>
      <c r="G104" s="74">
        <v>0.0</v>
      </c>
      <c r="H104" s="74">
        <v>0.0</v>
      </c>
      <c r="I104" s="74">
        <v>0.0</v>
      </c>
      <c r="J104" s="74">
        <v>0.0</v>
      </c>
      <c r="K104" s="74">
        <v>0.0</v>
      </c>
      <c r="L104" s="74">
        <v>0.0</v>
      </c>
      <c r="M104" s="74">
        <v>0.0</v>
      </c>
      <c r="N104" s="74">
        <f t="shared" si="9"/>
        <v>0</v>
      </c>
      <c r="O104" s="74">
        <f>SUMIF($B$5:$M$5,'P&amp;L Summary'!$A$6,$B104:$M104)</f>
        <v>0</v>
      </c>
      <c r="P104" s="74">
        <f t="shared" si="10"/>
        <v>0</v>
      </c>
    </row>
    <row r="105" ht="12.75" customHeight="1">
      <c r="A105" s="180" t="s">
        <v>81</v>
      </c>
      <c r="B105" s="74">
        <v>0.0</v>
      </c>
      <c r="C105" s="74">
        <v>0.0</v>
      </c>
      <c r="D105" s="74">
        <v>0.0</v>
      </c>
      <c r="E105" s="74">
        <v>0.0</v>
      </c>
      <c r="F105" s="74">
        <v>0.0</v>
      </c>
      <c r="G105" s="74">
        <v>0.0</v>
      </c>
      <c r="H105" s="74">
        <v>0.0</v>
      </c>
      <c r="I105" s="74">
        <v>0.0</v>
      </c>
      <c r="J105" s="74">
        <v>0.0</v>
      </c>
      <c r="K105" s="74">
        <v>0.0</v>
      </c>
      <c r="L105" s="74">
        <v>0.0</v>
      </c>
      <c r="M105" s="74">
        <v>0.0</v>
      </c>
      <c r="N105" s="74">
        <f t="shared" si="9"/>
        <v>0</v>
      </c>
      <c r="O105" s="74">
        <f>SUMIF($B$5:$M$5,'P&amp;L Summary'!$A$6,$B105:$M105)</f>
        <v>0</v>
      </c>
      <c r="P105" s="74">
        <f t="shared" si="10"/>
        <v>0</v>
      </c>
    </row>
    <row r="106" ht="12.75" customHeight="1">
      <c r="A106" s="180" t="s">
        <v>82</v>
      </c>
      <c r="B106" s="74">
        <v>0.0</v>
      </c>
      <c r="C106" s="74">
        <v>0.0</v>
      </c>
      <c r="D106" s="74">
        <v>0.0</v>
      </c>
      <c r="E106" s="74">
        <v>0.0</v>
      </c>
      <c r="F106" s="74">
        <v>0.0</v>
      </c>
      <c r="G106" s="74">
        <v>0.0</v>
      </c>
      <c r="H106" s="74">
        <v>0.0</v>
      </c>
      <c r="I106" s="74">
        <v>0.0</v>
      </c>
      <c r="J106" s="74">
        <v>0.0</v>
      </c>
      <c r="K106" s="74">
        <v>0.0</v>
      </c>
      <c r="L106" s="74">
        <v>0.0</v>
      </c>
      <c r="M106" s="74">
        <v>0.0</v>
      </c>
      <c r="N106" s="74">
        <f t="shared" si="9"/>
        <v>0</v>
      </c>
      <c r="O106" s="74">
        <f>SUMIF($B$5:$M$5,'P&amp;L Summary'!$A$6,$B106:$M106)</f>
        <v>0</v>
      </c>
      <c r="P106" s="74">
        <f t="shared" si="10"/>
        <v>0</v>
      </c>
    </row>
    <row r="107" ht="12.75" customHeight="1">
      <c r="A107" s="180" t="s">
        <v>83</v>
      </c>
      <c r="B107" s="74">
        <v>0.0</v>
      </c>
      <c r="C107" s="74">
        <v>0.0</v>
      </c>
      <c r="D107" s="74">
        <v>0.0</v>
      </c>
      <c r="E107" s="74">
        <v>0.0</v>
      </c>
      <c r="F107" s="74">
        <v>0.0</v>
      </c>
      <c r="G107" s="74">
        <v>0.0</v>
      </c>
      <c r="H107" s="74">
        <v>0.0</v>
      </c>
      <c r="I107" s="74">
        <v>0.0</v>
      </c>
      <c r="J107" s="74">
        <v>0.0</v>
      </c>
      <c r="K107" s="74">
        <v>0.0</v>
      </c>
      <c r="L107" s="74">
        <v>0.0</v>
      </c>
      <c r="M107" s="74">
        <v>0.0</v>
      </c>
      <c r="N107" s="74">
        <f t="shared" si="9"/>
        <v>0</v>
      </c>
      <c r="O107" s="74">
        <f>SUMIF($B$5:$M$5,'P&amp;L Summary'!$A$6,$B107:$M107)</f>
        <v>0</v>
      </c>
      <c r="P107" s="74">
        <f t="shared" si="10"/>
        <v>0</v>
      </c>
    </row>
    <row r="108" ht="12.75" customHeight="1">
      <c r="A108" s="180" t="s">
        <v>84</v>
      </c>
      <c r="B108" s="74">
        <v>121.18</v>
      </c>
      <c r="C108" s="74">
        <v>168.41</v>
      </c>
      <c r="D108" s="74">
        <v>320.46</v>
      </c>
      <c r="E108" s="74">
        <v>68.99</v>
      </c>
      <c r="F108" s="74">
        <v>142.44</v>
      </c>
      <c r="G108" s="74">
        <v>336.13</v>
      </c>
      <c r="H108" s="74">
        <v>160.35</v>
      </c>
      <c r="I108" s="74">
        <v>1012.26</v>
      </c>
      <c r="J108" s="74">
        <v>-107.43</v>
      </c>
      <c r="K108" s="74">
        <v>1586.13</v>
      </c>
      <c r="L108" s="74">
        <v>40.86</v>
      </c>
      <c r="M108" s="74">
        <v>68.99</v>
      </c>
      <c r="N108" s="74">
        <f t="shared" si="9"/>
        <v>3918.77</v>
      </c>
      <c r="O108" s="74">
        <f>SUMIF($B$5:$M$5,'P&amp;L Summary'!$A$6,$B108:$M108)</f>
        <v>142.44</v>
      </c>
      <c r="P108" s="74">
        <f t="shared" si="10"/>
        <v>821.48</v>
      </c>
    </row>
    <row r="109" ht="12.75" customHeight="1">
      <c r="A109" s="180" t="s">
        <v>85</v>
      </c>
      <c r="B109" s="74">
        <v>0.0</v>
      </c>
      <c r="C109" s="74">
        <v>0.0</v>
      </c>
      <c r="D109" s="74">
        <v>0.0</v>
      </c>
      <c r="E109" s="74">
        <v>0.0</v>
      </c>
      <c r="F109" s="74">
        <v>0.0</v>
      </c>
      <c r="G109" s="74">
        <v>49.91</v>
      </c>
      <c r="H109" s="74">
        <v>0.0</v>
      </c>
      <c r="I109" s="74">
        <v>0.0</v>
      </c>
      <c r="J109" s="74">
        <v>0.0</v>
      </c>
      <c r="K109" s="74">
        <v>88.34</v>
      </c>
      <c r="L109" s="74">
        <v>0.0</v>
      </c>
      <c r="M109" s="74">
        <v>0.0</v>
      </c>
      <c r="N109" s="74">
        <f t="shared" si="9"/>
        <v>138.25</v>
      </c>
      <c r="O109" s="74">
        <f>SUMIF($B$5:$M$5,'P&amp;L Summary'!$A$6,$B109:$M109)</f>
        <v>0</v>
      </c>
      <c r="P109" s="74">
        <f t="shared" si="10"/>
        <v>0</v>
      </c>
    </row>
    <row r="110" ht="12.75" customHeight="1">
      <c r="A110" s="180" t="s">
        <v>87</v>
      </c>
      <c r="B110" s="74">
        <v>0.0</v>
      </c>
      <c r="C110" s="74">
        <v>0.0</v>
      </c>
      <c r="D110" s="74">
        <v>0.0</v>
      </c>
      <c r="E110" s="74">
        <v>0.0</v>
      </c>
      <c r="F110" s="74">
        <v>0.0</v>
      </c>
      <c r="G110" s="74">
        <v>0.0</v>
      </c>
      <c r="H110" s="74">
        <v>0.0</v>
      </c>
      <c r="I110" s="74">
        <v>0.0</v>
      </c>
      <c r="J110" s="74">
        <v>0.0</v>
      </c>
      <c r="K110" s="74">
        <v>0.0</v>
      </c>
      <c r="L110" s="74">
        <v>0.0</v>
      </c>
      <c r="M110" s="74">
        <v>0.0</v>
      </c>
      <c r="N110" s="74">
        <f t="shared" si="9"/>
        <v>0</v>
      </c>
      <c r="O110" s="74">
        <f>SUMIF($B$5:$M$5,'P&amp;L Summary'!$A$6,$B110:$M110)</f>
        <v>0</v>
      </c>
      <c r="P110" s="74">
        <f t="shared" si="10"/>
        <v>0</v>
      </c>
    </row>
    <row r="111" ht="12.75" customHeight="1">
      <c r="A111" s="180" t="s">
        <v>88</v>
      </c>
      <c r="B111" s="74">
        <v>0.0</v>
      </c>
      <c r="C111" s="74">
        <v>0.0</v>
      </c>
      <c r="D111" s="74">
        <v>0.0</v>
      </c>
      <c r="E111" s="74">
        <v>0.0</v>
      </c>
      <c r="F111" s="74">
        <v>0.0</v>
      </c>
      <c r="G111" s="74">
        <v>0.0</v>
      </c>
      <c r="H111" s="74">
        <v>0.0</v>
      </c>
      <c r="I111" s="74">
        <v>0.0</v>
      </c>
      <c r="J111" s="74">
        <v>0.0</v>
      </c>
      <c r="K111" s="74">
        <v>0.0</v>
      </c>
      <c r="L111" s="74">
        <v>0.0</v>
      </c>
      <c r="M111" s="74">
        <v>0.0</v>
      </c>
      <c r="N111" s="74">
        <f t="shared" si="9"/>
        <v>0</v>
      </c>
      <c r="O111" s="74">
        <f>SUMIF($B$5:$M$5,'P&amp;L Summary'!$A$6,$B111:$M111)</f>
        <v>0</v>
      </c>
      <c r="P111" s="74">
        <f t="shared" si="10"/>
        <v>0</v>
      </c>
    </row>
    <row r="112" ht="12.75" customHeight="1">
      <c r="A112" s="180" t="s">
        <v>91</v>
      </c>
      <c r="B112" s="74">
        <v>0.0</v>
      </c>
      <c r="C112" s="74">
        <v>0.0</v>
      </c>
      <c r="D112" s="74">
        <v>0.0</v>
      </c>
      <c r="E112" s="74">
        <v>0.0</v>
      </c>
      <c r="F112" s="74">
        <v>0.0</v>
      </c>
      <c r="G112" s="74">
        <v>907.48</v>
      </c>
      <c r="H112" s="74">
        <v>504.0</v>
      </c>
      <c r="I112" s="74">
        <v>252.0</v>
      </c>
      <c r="J112" s="74">
        <v>252.0</v>
      </c>
      <c r="K112" s="74">
        <v>2738.19</v>
      </c>
      <c r="L112" s="74">
        <v>252.0</v>
      </c>
      <c r="M112" s="74">
        <v>252.0</v>
      </c>
      <c r="N112" s="74">
        <f t="shared" si="9"/>
        <v>5157.67</v>
      </c>
      <c r="O112" s="74">
        <f>SUMIF($B$5:$M$5,'P&amp;L Summary'!$A$6,$B112:$M112)</f>
        <v>0</v>
      </c>
      <c r="P112" s="74">
        <f t="shared" si="10"/>
        <v>0</v>
      </c>
    </row>
    <row r="113" ht="12.75" customHeight="1">
      <c r="A113" s="180" t="s">
        <v>94</v>
      </c>
      <c r="B113" s="74">
        <v>0.0</v>
      </c>
      <c r="C113" s="74">
        <v>0.0</v>
      </c>
      <c r="D113" s="74">
        <v>0.0</v>
      </c>
      <c r="E113" s="74">
        <v>0.0</v>
      </c>
      <c r="F113" s="74">
        <v>0.0</v>
      </c>
      <c r="G113" s="74">
        <v>0.0</v>
      </c>
      <c r="H113" s="74">
        <v>0.0</v>
      </c>
      <c r="I113" s="74">
        <v>0.0</v>
      </c>
      <c r="J113" s="74">
        <v>0.0</v>
      </c>
      <c r="K113" s="74">
        <v>0.0</v>
      </c>
      <c r="L113" s="74">
        <v>0.0</v>
      </c>
      <c r="M113" s="74">
        <v>0.0</v>
      </c>
      <c r="N113" s="74">
        <f t="shared" si="9"/>
        <v>0</v>
      </c>
      <c r="O113" s="74">
        <f>SUMIF($B$5:$M$5,'P&amp;L Summary'!$A$6,$B113:$M113)</f>
        <v>0</v>
      </c>
      <c r="P113" s="74">
        <f t="shared" si="10"/>
        <v>0</v>
      </c>
    </row>
    <row r="114" ht="12.75" customHeight="1">
      <c r="A114" s="180" t="s">
        <v>95</v>
      </c>
      <c r="B114" s="74">
        <v>0.0</v>
      </c>
      <c r="C114" s="74">
        <v>0.0</v>
      </c>
      <c r="D114" s="74">
        <v>0.0</v>
      </c>
      <c r="E114" s="74">
        <v>0.0</v>
      </c>
      <c r="F114" s="74">
        <v>0.0</v>
      </c>
      <c r="G114" s="74">
        <v>0.0</v>
      </c>
      <c r="H114" s="74">
        <v>0.0</v>
      </c>
      <c r="I114" s="74">
        <v>0.0</v>
      </c>
      <c r="J114" s="74">
        <v>0.0</v>
      </c>
      <c r="K114" s="74">
        <v>0.0</v>
      </c>
      <c r="L114" s="74">
        <v>0.0</v>
      </c>
      <c r="M114" s="74">
        <v>0.0</v>
      </c>
      <c r="N114" s="74">
        <f t="shared" si="9"/>
        <v>0</v>
      </c>
      <c r="O114" s="74">
        <f>SUMIF($B$5:$M$5,'P&amp;L Summary'!$A$6,$B114:$M114)</f>
        <v>0</v>
      </c>
      <c r="P114" s="74">
        <f t="shared" si="10"/>
        <v>0</v>
      </c>
    </row>
    <row r="115" ht="12.75" customHeight="1">
      <c r="A115" s="180" t="s">
        <v>96</v>
      </c>
      <c r="B115" s="74">
        <v>0.0</v>
      </c>
      <c r="C115" s="74">
        <v>0.0</v>
      </c>
      <c r="D115" s="74">
        <v>0.0</v>
      </c>
      <c r="E115" s="74">
        <v>0.0</v>
      </c>
      <c r="F115" s="74">
        <v>0.0</v>
      </c>
      <c r="G115" s="74">
        <v>0.0</v>
      </c>
      <c r="H115" s="74">
        <v>0.0</v>
      </c>
      <c r="I115" s="74">
        <v>0.0</v>
      </c>
      <c r="J115" s="74">
        <v>0.0</v>
      </c>
      <c r="K115" s="74">
        <v>0.0</v>
      </c>
      <c r="L115" s="74">
        <v>0.0</v>
      </c>
      <c r="M115" s="74">
        <v>0.0</v>
      </c>
      <c r="N115" s="74">
        <f t="shared" si="9"/>
        <v>0</v>
      </c>
      <c r="O115" s="74">
        <f>SUMIF($B$5:$M$5,'P&amp;L Summary'!$A$6,$B115:$M115)</f>
        <v>0</v>
      </c>
      <c r="P115" s="74">
        <f t="shared" si="10"/>
        <v>0</v>
      </c>
    </row>
    <row r="116" ht="12.75" customHeight="1">
      <c r="A116" s="189" t="s">
        <v>97</v>
      </c>
      <c r="B116" s="190">
        <v>0.0</v>
      </c>
      <c r="C116" s="190">
        <v>0.0</v>
      </c>
      <c r="D116" s="190">
        <v>0.0</v>
      </c>
      <c r="E116" s="190">
        <v>0.0</v>
      </c>
      <c r="F116" s="190">
        <v>0.0</v>
      </c>
      <c r="G116" s="190">
        <v>0.0</v>
      </c>
      <c r="H116" s="190">
        <v>0.0</v>
      </c>
      <c r="I116" s="190">
        <v>0.0</v>
      </c>
      <c r="J116" s="190">
        <v>0.0</v>
      </c>
      <c r="K116" s="190">
        <v>0.0</v>
      </c>
      <c r="L116" s="190">
        <v>0.0</v>
      </c>
      <c r="M116" s="190">
        <v>0.0</v>
      </c>
      <c r="N116" s="190">
        <f t="shared" si="9"/>
        <v>0</v>
      </c>
      <c r="O116" s="74">
        <f>SUMIF($B$5:$M$5,'P&amp;L Summary'!$A$6,$B116:$M116)</f>
        <v>0</v>
      </c>
      <c r="P116" s="74">
        <f t="shared" si="10"/>
        <v>0</v>
      </c>
    </row>
    <row r="117" ht="12.75" customHeight="1">
      <c r="A117" s="189" t="s">
        <v>99</v>
      </c>
      <c r="B117" s="190">
        <v>0.0</v>
      </c>
      <c r="C117" s="190">
        <v>0.0</v>
      </c>
      <c r="D117" s="190">
        <v>0.0</v>
      </c>
      <c r="E117" s="190">
        <v>0.0</v>
      </c>
      <c r="F117" s="190">
        <v>0.0</v>
      </c>
      <c r="G117" s="190">
        <v>0.0</v>
      </c>
      <c r="H117" s="190">
        <v>0.0</v>
      </c>
      <c r="I117" s="190">
        <v>0.0</v>
      </c>
      <c r="J117" s="190">
        <v>0.0</v>
      </c>
      <c r="K117" s="190">
        <v>0.0</v>
      </c>
      <c r="L117" s="190">
        <v>0.0</v>
      </c>
      <c r="M117" s="190">
        <v>0.0</v>
      </c>
      <c r="N117" s="190">
        <v>0.0</v>
      </c>
      <c r="O117" s="74">
        <f>SUMIF($B$5:$M$5,'P&amp;L Summary'!$A$6,$B117:$M117)</f>
        <v>0</v>
      </c>
      <c r="P117" s="74">
        <f t="shared" si="10"/>
        <v>0</v>
      </c>
    </row>
    <row r="118" ht="12.75" customHeight="1">
      <c r="A118" s="180" t="s">
        <v>101</v>
      </c>
      <c r="B118" s="74">
        <v>0.0</v>
      </c>
      <c r="C118" s="74">
        <v>0.0</v>
      </c>
      <c r="D118" s="74">
        <v>0.0</v>
      </c>
      <c r="E118" s="74">
        <v>0.0</v>
      </c>
      <c r="F118" s="74">
        <v>0.0</v>
      </c>
      <c r="G118" s="74">
        <v>0.0</v>
      </c>
      <c r="H118" s="74">
        <v>0.0</v>
      </c>
      <c r="I118" s="74">
        <v>0.0</v>
      </c>
      <c r="J118" s="74">
        <v>0.0</v>
      </c>
      <c r="K118" s="74">
        <v>0.0</v>
      </c>
      <c r="L118" s="74">
        <v>0.0</v>
      </c>
      <c r="M118" s="74">
        <v>-1.0</v>
      </c>
      <c r="N118" s="185">
        <f t="shared" ref="N118:N124" si="11">SUM(B118:M118)</f>
        <v>-1</v>
      </c>
      <c r="O118">
        <f>SUMIF($B$5:$M$5,'P&amp;L Summary'!$A$6,$B118:$M118)</f>
        <v>0</v>
      </c>
      <c r="P118" s="74">
        <f t="shared" si="10"/>
        <v>0</v>
      </c>
    </row>
    <row r="119" ht="12.75" customHeight="1">
      <c r="A119" s="180" t="s">
        <v>102</v>
      </c>
      <c r="B119" s="74">
        <v>0.0</v>
      </c>
      <c r="C119" s="74">
        <v>0.0</v>
      </c>
      <c r="D119" s="74">
        <v>0.0</v>
      </c>
      <c r="E119" s="74">
        <v>0.0</v>
      </c>
      <c r="F119" s="74">
        <v>0.0</v>
      </c>
      <c r="G119" s="74">
        <v>0.0</v>
      </c>
      <c r="H119" s="74">
        <v>0.0</v>
      </c>
      <c r="I119" s="74">
        <v>0.0</v>
      </c>
      <c r="J119" s="74">
        <v>0.0</v>
      </c>
      <c r="K119" s="74">
        <v>0.0</v>
      </c>
      <c r="L119" s="74">
        <v>0.0</v>
      </c>
      <c r="M119" s="74">
        <v>0.0</v>
      </c>
      <c r="N119" s="185">
        <f t="shared" si="11"/>
        <v>0</v>
      </c>
      <c r="O119">
        <f>SUMIF($B$5:$M$5,'P&amp;L Summary'!$A$6,$B119:$M119)</f>
        <v>0</v>
      </c>
      <c r="P119" s="74">
        <f t="shared" si="10"/>
        <v>0</v>
      </c>
    </row>
    <row r="120" ht="12.75" customHeight="1">
      <c r="A120" s="180" t="s">
        <v>103</v>
      </c>
      <c r="B120" s="74">
        <v>33078.0</v>
      </c>
      <c r="C120" s="74">
        <v>28880.01</v>
      </c>
      <c r="D120" s="74">
        <v>27795.0</v>
      </c>
      <c r="E120" s="74">
        <v>26546.0</v>
      </c>
      <c r="F120" s="74">
        <v>28897.0</v>
      </c>
      <c r="G120" s="74">
        <v>28634.0</v>
      </c>
      <c r="H120" s="74">
        <v>32226.0</v>
      </c>
      <c r="I120" s="74">
        <v>31900.04</v>
      </c>
      <c r="J120" s="74">
        <v>33434.0</v>
      </c>
      <c r="K120" s="74">
        <v>25689.0</v>
      </c>
      <c r="L120" s="74">
        <v>29356.0</v>
      </c>
      <c r="M120" s="74">
        <v>33833.0</v>
      </c>
      <c r="N120" s="74">
        <f t="shared" si="11"/>
        <v>360268.05</v>
      </c>
      <c r="O120" s="74">
        <f>SUMIF($B$5:$M$5,'P&amp;L Summary'!$A$6,$B120:$M120)</f>
        <v>28897</v>
      </c>
      <c r="P120" s="74">
        <f t="shared" si="10"/>
        <v>145196.01</v>
      </c>
    </row>
    <row r="121" ht="12.75" customHeight="1">
      <c r="A121" s="180" t="s">
        <v>107</v>
      </c>
      <c r="B121" s="74">
        <v>395.0</v>
      </c>
      <c r="C121" s="74">
        <v>0.0</v>
      </c>
      <c r="D121" s="74">
        <v>0.0</v>
      </c>
      <c r="E121" s="74">
        <v>0.0</v>
      </c>
      <c r="F121" s="74">
        <v>0.0</v>
      </c>
      <c r="G121" s="74">
        <v>0.0</v>
      </c>
      <c r="H121" s="74">
        <v>0.0</v>
      </c>
      <c r="I121" s="74">
        <v>61.55</v>
      </c>
      <c r="J121" s="74">
        <v>0.0</v>
      </c>
      <c r="K121" s="74">
        <v>0.0</v>
      </c>
      <c r="L121" s="74">
        <v>678.16</v>
      </c>
      <c r="M121" s="74">
        <v>0.0</v>
      </c>
      <c r="N121" s="74">
        <f t="shared" si="11"/>
        <v>1134.71</v>
      </c>
      <c r="O121" s="74">
        <f>SUMIF($B$5:$M$5,'P&amp;L Summary'!$A$6,$B121:$M121)</f>
        <v>0</v>
      </c>
      <c r="P121" s="74">
        <f t="shared" si="10"/>
        <v>395</v>
      </c>
    </row>
    <row r="122" ht="12.75" customHeight="1">
      <c r="A122" s="180" t="s">
        <v>109</v>
      </c>
      <c r="B122" s="74">
        <v>0.0</v>
      </c>
      <c r="C122" s="74">
        <v>0.0</v>
      </c>
      <c r="D122" s="74">
        <v>0.0</v>
      </c>
      <c r="E122" s="74">
        <v>0.0</v>
      </c>
      <c r="F122" s="74">
        <v>0.0</v>
      </c>
      <c r="G122" s="74">
        <v>0.0</v>
      </c>
      <c r="H122" s="74">
        <v>0.0</v>
      </c>
      <c r="I122" s="74">
        <v>0.0</v>
      </c>
      <c r="J122" s="74">
        <v>0.0</v>
      </c>
      <c r="K122" s="74">
        <v>0.0</v>
      </c>
      <c r="L122" s="74">
        <v>0.0</v>
      </c>
      <c r="M122" s="74">
        <v>0.0</v>
      </c>
      <c r="N122" s="74">
        <f t="shared" si="11"/>
        <v>0</v>
      </c>
      <c r="O122" s="74">
        <f>SUMIF($B$5:$M$5,'P&amp;L Summary'!$A$6,$B122:$M122)</f>
        <v>0</v>
      </c>
      <c r="P122" s="74">
        <f t="shared" si="10"/>
        <v>0</v>
      </c>
    </row>
    <row r="123" ht="12.75" customHeight="1">
      <c r="A123" s="180" t="s">
        <v>110</v>
      </c>
      <c r="B123" s="74">
        <v>900.0</v>
      </c>
      <c r="C123" s="74">
        <v>2566.16</v>
      </c>
      <c r="D123" s="74">
        <v>955.68</v>
      </c>
      <c r="E123" s="74">
        <v>660.15</v>
      </c>
      <c r="F123" s="74">
        <v>380.8</v>
      </c>
      <c r="G123" s="74">
        <v>751.98</v>
      </c>
      <c r="H123" s="74">
        <v>667.97</v>
      </c>
      <c r="I123" s="74">
        <v>582.89</v>
      </c>
      <c r="J123" s="74">
        <v>625.06</v>
      </c>
      <c r="K123" s="74">
        <v>684.95</v>
      </c>
      <c r="L123" s="74">
        <v>587.19</v>
      </c>
      <c r="M123" s="74">
        <v>0.0</v>
      </c>
      <c r="N123" s="74">
        <f t="shared" si="11"/>
        <v>9362.83</v>
      </c>
      <c r="O123" s="74">
        <f>SUMIF($B$5:$M$5,'P&amp;L Summary'!$A$6,$B123:$M123)</f>
        <v>380.8</v>
      </c>
      <c r="P123" s="74">
        <f t="shared" si="10"/>
        <v>5462.79</v>
      </c>
    </row>
    <row r="124" ht="12.75" customHeight="1">
      <c r="A124" s="180" t="s">
        <v>111</v>
      </c>
      <c r="B124" s="74">
        <v>0.0</v>
      </c>
      <c r="C124" s="74">
        <v>0.0</v>
      </c>
      <c r="D124" s="74">
        <v>0.0</v>
      </c>
      <c r="E124" s="74">
        <v>0.0</v>
      </c>
      <c r="F124" s="74">
        <v>0.0</v>
      </c>
      <c r="G124" s="74">
        <v>0.0</v>
      </c>
      <c r="H124" s="74">
        <v>0.0</v>
      </c>
      <c r="I124" s="74">
        <v>0.0</v>
      </c>
      <c r="J124" s="74">
        <v>0.0</v>
      </c>
      <c r="K124" s="74">
        <v>0.0</v>
      </c>
      <c r="L124" s="74">
        <v>0.0</v>
      </c>
      <c r="M124" s="74">
        <v>0.0</v>
      </c>
      <c r="N124" s="74">
        <f t="shared" si="11"/>
        <v>0</v>
      </c>
      <c r="O124" s="74">
        <f>SUMIF($B$5:$M$5,'P&amp;L Summary'!$A$6,$B124:$M124)</f>
        <v>0</v>
      </c>
      <c r="P124" s="74">
        <f t="shared" si="10"/>
        <v>0</v>
      </c>
    </row>
    <row r="125" ht="12.75" customHeight="1">
      <c r="P125" s="74"/>
    </row>
    <row r="126" ht="12.75" customHeight="1">
      <c r="P126" s="74"/>
    </row>
    <row r="127" ht="12.75" customHeight="1">
      <c r="A127" s="180" t="s">
        <v>33</v>
      </c>
      <c r="B127" s="74">
        <v>62880.46</v>
      </c>
      <c r="C127" s="74">
        <v>76063.0</v>
      </c>
      <c r="D127" s="74">
        <v>65609.14</v>
      </c>
      <c r="E127" s="74">
        <v>66758.57</v>
      </c>
      <c r="F127" s="74">
        <v>66995.39</v>
      </c>
      <c r="G127" s="74">
        <v>60442.53</v>
      </c>
      <c r="H127" s="74">
        <v>52287.04</v>
      </c>
      <c r="I127" s="74">
        <v>53538.47</v>
      </c>
      <c r="J127" s="74">
        <v>60654.48</v>
      </c>
      <c r="K127" s="74">
        <v>58934.3</v>
      </c>
      <c r="L127" s="74">
        <v>75392.32</v>
      </c>
      <c r="M127" s="74">
        <v>55776.62</v>
      </c>
      <c r="N127" s="74">
        <f>SUM(B127:M127)</f>
        <v>755332.32</v>
      </c>
      <c r="O127" s="74"/>
      <c r="P127" s="74"/>
    </row>
    <row r="128" ht="12.75" customHeight="1">
      <c r="P128" s="74"/>
    </row>
    <row r="129" ht="12.75" customHeight="1">
      <c r="A129" s="180" t="s">
        <v>128</v>
      </c>
      <c r="B129" s="74">
        <v>3187.62</v>
      </c>
      <c r="C129" s="74">
        <v>3350.66</v>
      </c>
      <c r="D129" s="74">
        <v>3008.77</v>
      </c>
      <c r="E129" s="74">
        <v>2760.42</v>
      </c>
      <c r="F129" s="74">
        <v>2758.5</v>
      </c>
      <c r="G129" s="74">
        <v>2907.67</v>
      </c>
      <c r="H129" s="74">
        <v>2011.76</v>
      </c>
      <c r="I129" s="74">
        <v>2135.75</v>
      </c>
      <c r="J129" s="74">
        <v>1990.89</v>
      </c>
      <c r="K129" s="74">
        <v>1452.36</v>
      </c>
      <c r="L129" s="74">
        <v>1964.2</v>
      </c>
      <c r="M129" s="74">
        <v>1811.64</v>
      </c>
      <c r="N129" s="74">
        <f t="shared" ref="N129:N138" si="12">SUM(B129:M129)</f>
        <v>29340.24</v>
      </c>
      <c r="O129" s="74"/>
      <c r="P129" s="74"/>
    </row>
    <row r="130" ht="12.75" customHeight="1">
      <c r="A130" s="180" t="s">
        <v>115</v>
      </c>
      <c r="B130" s="74">
        <v>0.0</v>
      </c>
      <c r="C130" s="74">
        <v>0.0</v>
      </c>
      <c r="D130" s="74">
        <v>0.0</v>
      </c>
      <c r="E130" s="74">
        <v>0.0</v>
      </c>
      <c r="F130" s="74">
        <v>0.0</v>
      </c>
      <c r="G130" s="74">
        <v>0.0</v>
      </c>
      <c r="H130" s="74">
        <v>0.0</v>
      </c>
      <c r="I130" s="74">
        <v>0.0</v>
      </c>
      <c r="J130" s="74">
        <v>0.0</v>
      </c>
      <c r="K130" s="74">
        <v>0.0</v>
      </c>
      <c r="L130" s="74">
        <v>0.0</v>
      </c>
      <c r="M130" s="74">
        <v>0.0</v>
      </c>
      <c r="N130" s="74">
        <f t="shared" si="12"/>
        <v>0</v>
      </c>
      <c r="O130" s="74">
        <f>SUMIF($B$5:$M$5,'P&amp;L Summary'!$A$6,$B130:$M130)</f>
        <v>0</v>
      </c>
      <c r="P130" s="74">
        <f t="shared" ref="P130:P138" si="13">SUMIF($B$6:$M$6,"YTD",$B130:$M130)</f>
        <v>0</v>
      </c>
    </row>
    <row r="131" ht="12.75" customHeight="1">
      <c r="A131" s="180" t="s">
        <v>117</v>
      </c>
      <c r="B131" s="74">
        <v>190.0</v>
      </c>
      <c r="C131" s="74">
        <v>190.0</v>
      </c>
      <c r="D131" s="74">
        <v>190.0</v>
      </c>
      <c r="E131" s="74">
        <v>190.0</v>
      </c>
      <c r="F131" s="74">
        <v>190.0</v>
      </c>
      <c r="G131" s="74">
        <v>190.0</v>
      </c>
      <c r="H131" s="74">
        <v>190.0</v>
      </c>
      <c r="I131" s="74">
        <v>190.0</v>
      </c>
      <c r="J131" s="74">
        <v>190.0</v>
      </c>
      <c r="K131" s="74">
        <v>190.0</v>
      </c>
      <c r="L131" s="74">
        <v>190.0</v>
      </c>
      <c r="M131" s="74">
        <v>190.0</v>
      </c>
      <c r="N131" s="74">
        <f t="shared" si="12"/>
        <v>2280</v>
      </c>
      <c r="O131" s="74">
        <f>SUMIF($B$5:$M$5,'P&amp;L Summary'!$A$6,$B131:$M131)</f>
        <v>190</v>
      </c>
      <c r="P131" s="74">
        <f t="shared" si="13"/>
        <v>950</v>
      </c>
    </row>
    <row r="132" ht="12.75" customHeight="1">
      <c r="A132" s="180" t="s">
        <v>118</v>
      </c>
      <c r="B132" s="74">
        <v>0.0</v>
      </c>
      <c r="C132" s="74">
        <v>0.0</v>
      </c>
      <c r="D132" s="74">
        <v>0.0</v>
      </c>
      <c r="E132" s="74">
        <v>0.0</v>
      </c>
      <c r="F132" s="74">
        <v>-139.0</v>
      </c>
      <c r="G132" s="74">
        <v>0.0</v>
      </c>
      <c r="H132" s="74">
        <v>0.0</v>
      </c>
      <c r="I132" s="74">
        <v>0.0</v>
      </c>
      <c r="J132" s="74">
        <v>0.0</v>
      </c>
      <c r="K132" s="74">
        <v>0.0</v>
      </c>
      <c r="L132" s="74">
        <v>0.0</v>
      </c>
      <c r="M132" s="74">
        <v>0.0</v>
      </c>
      <c r="N132" s="74">
        <f t="shared" si="12"/>
        <v>-139</v>
      </c>
      <c r="O132" s="74">
        <f>SUMIF($B$5:$M$5,'P&amp;L Summary'!$A$6,$B132:$M132)</f>
        <v>-139</v>
      </c>
      <c r="P132" s="74">
        <f t="shared" si="13"/>
        <v>-139</v>
      </c>
    </row>
    <row r="133" ht="12.75" customHeight="1">
      <c r="A133" s="180" t="s">
        <v>120</v>
      </c>
      <c r="B133" s="74">
        <v>0.0</v>
      </c>
      <c r="C133" s="74">
        <v>0.0</v>
      </c>
      <c r="D133" s="74">
        <v>0.0</v>
      </c>
      <c r="E133" s="74">
        <v>0.0</v>
      </c>
      <c r="F133" s="74">
        <v>0.0</v>
      </c>
      <c r="G133" s="74">
        <v>0.0</v>
      </c>
      <c r="H133" s="74">
        <v>0.0</v>
      </c>
      <c r="I133" s="74">
        <v>0.0</v>
      </c>
      <c r="J133" s="74">
        <v>0.0</v>
      </c>
      <c r="K133" s="74">
        <v>0.0</v>
      </c>
      <c r="L133" s="74">
        <v>0.0</v>
      </c>
      <c r="M133" s="74">
        <v>0.0</v>
      </c>
      <c r="N133" s="74">
        <f t="shared" si="12"/>
        <v>0</v>
      </c>
      <c r="O133" s="74">
        <f>SUMIF($B$5:$M$5,'P&amp;L Summary'!$A$6,$B133:$M133)</f>
        <v>0</v>
      </c>
      <c r="P133" s="74">
        <f t="shared" si="13"/>
        <v>0</v>
      </c>
    </row>
    <row r="134" ht="12.75" customHeight="1">
      <c r="A134" s="180" t="s">
        <v>100</v>
      </c>
      <c r="B134" s="74">
        <v>0.0</v>
      </c>
      <c r="C134" s="74">
        <v>0.0</v>
      </c>
      <c r="D134" s="74">
        <v>0.0</v>
      </c>
      <c r="E134" s="74">
        <v>0.0</v>
      </c>
      <c r="F134" s="74">
        <v>0.0</v>
      </c>
      <c r="G134" s="74">
        <v>0.0</v>
      </c>
      <c r="H134" s="74">
        <v>0.0</v>
      </c>
      <c r="I134" s="74">
        <v>0.0</v>
      </c>
      <c r="J134" s="74">
        <v>0.0</v>
      </c>
      <c r="K134" s="74">
        <v>33.46</v>
      </c>
      <c r="L134" s="74">
        <v>40.86</v>
      </c>
      <c r="M134" s="74">
        <v>0.0</v>
      </c>
      <c r="N134" s="74">
        <f t="shared" si="12"/>
        <v>74.32</v>
      </c>
      <c r="O134" s="74">
        <f>SUMIF($B$5:$M$5,'P&amp;L Summary'!$A$6,$B134:$M134)</f>
        <v>0</v>
      </c>
      <c r="P134" s="74">
        <f t="shared" si="13"/>
        <v>0</v>
      </c>
    </row>
    <row r="135" ht="12.75" customHeight="1">
      <c r="A135" s="180" t="s">
        <v>122</v>
      </c>
      <c r="B135" s="74">
        <v>0.0</v>
      </c>
      <c r="C135" s="74">
        <v>0.0</v>
      </c>
      <c r="D135" s="74">
        <v>0.0</v>
      </c>
      <c r="E135" s="74">
        <v>0.0</v>
      </c>
      <c r="F135" s="74">
        <v>0.0</v>
      </c>
      <c r="G135" s="74">
        <v>0.0</v>
      </c>
      <c r="H135" s="74">
        <v>0.0</v>
      </c>
      <c r="I135" s="74">
        <v>0.0</v>
      </c>
      <c r="J135" s="74">
        <v>0.0</v>
      </c>
      <c r="K135" s="74">
        <v>0.0</v>
      </c>
      <c r="L135" s="74">
        <v>0.0</v>
      </c>
      <c r="M135" s="74">
        <v>0.0</v>
      </c>
      <c r="N135" s="74">
        <f t="shared" si="12"/>
        <v>0</v>
      </c>
      <c r="O135" s="74">
        <f>SUMIF($B$5:$M$5,'P&amp;L Summary'!$A$6,$B135:$M135)</f>
        <v>0</v>
      </c>
      <c r="P135" s="74">
        <f t="shared" si="13"/>
        <v>0</v>
      </c>
    </row>
    <row r="136" ht="12.75" customHeight="1">
      <c r="A136" s="180" t="s">
        <v>123</v>
      </c>
      <c r="B136" s="74">
        <v>0.0</v>
      </c>
      <c r="C136" s="74">
        <v>0.0</v>
      </c>
      <c r="D136" s="74">
        <v>0.0</v>
      </c>
      <c r="E136" s="74">
        <v>0.0</v>
      </c>
      <c r="F136" s="74">
        <v>0.0</v>
      </c>
      <c r="G136" s="74">
        <v>0.0</v>
      </c>
      <c r="H136" s="74">
        <v>0.0</v>
      </c>
      <c r="I136" s="74">
        <v>0.0</v>
      </c>
      <c r="J136" s="74">
        <v>0.0</v>
      </c>
      <c r="K136" s="74">
        <v>0.0</v>
      </c>
      <c r="L136" s="74">
        <v>0.0</v>
      </c>
      <c r="M136" s="74">
        <v>0.0</v>
      </c>
      <c r="N136" s="74">
        <f t="shared" si="12"/>
        <v>0</v>
      </c>
      <c r="O136" s="74">
        <f>SUMIF($B$5:$M$5,'P&amp;L Summary'!$A$6,$B136:$M136)</f>
        <v>0</v>
      </c>
      <c r="P136" s="74">
        <f t="shared" si="13"/>
        <v>0</v>
      </c>
    </row>
    <row r="137" ht="12.75" customHeight="1">
      <c r="A137" s="180" t="s">
        <v>125</v>
      </c>
      <c r="B137" s="74">
        <v>0.0</v>
      </c>
      <c r="C137" s="74">
        <v>0.0</v>
      </c>
      <c r="D137" s="74">
        <v>0.0</v>
      </c>
      <c r="E137" s="74">
        <v>0.0</v>
      </c>
      <c r="F137" s="74">
        <v>0.0</v>
      </c>
      <c r="G137" s="74">
        <v>0.0</v>
      </c>
      <c r="H137" s="74">
        <v>0.0</v>
      </c>
      <c r="I137" s="74">
        <v>0.0</v>
      </c>
      <c r="J137" s="74">
        <v>0.0</v>
      </c>
      <c r="K137" s="74">
        <v>0.0</v>
      </c>
      <c r="L137" s="74">
        <v>0.0</v>
      </c>
      <c r="M137" s="74">
        <v>0.0</v>
      </c>
      <c r="N137" s="74">
        <f t="shared" si="12"/>
        <v>0</v>
      </c>
      <c r="O137" s="74">
        <f>SUMIF($B$5:$M$5,'P&amp;L Summary'!$A$6,$B137:$M137)</f>
        <v>0</v>
      </c>
      <c r="P137" s="74">
        <f t="shared" si="13"/>
        <v>0</v>
      </c>
    </row>
    <row r="138" ht="12.75" customHeight="1">
      <c r="A138" s="180" t="s">
        <v>126</v>
      </c>
      <c r="B138" s="74">
        <v>2997.62</v>
      </c>
      <c r="C138" s="74">
        <v>3160.66</v>
      </c>
      <c r="D138" s="74">
        <v>2818.77</v>
      </c>
      <c r="E138" s="74">
        <v>2570.42</v>
      </c>
      <c r="F138" s="74">
        <v>2707.5</v>
      </c>
      <c r="G138" s="74">
        <v>2717.67</v>
      </c>
      <c r="H138" s="74">
        <v>1821.76</v>
      </c>
      <c r="I138" s="74">
        <v>1945.75</v>
      </c>
      <c r="J138" s="74">
        <v>1800.89</v>
      </c>
      <c r="K138" s="74">
        <v>1228.9</v>
      </c>
      <c r="L138" s="74">
        <v>1733.34</v>
      </c>
      <c r="M138" s="74">
        <v>1621.64</v>
      </c>
      <c r="N138" s="74">
        <f t="shared" si="12"/>
        <v>27124.92</v>
      </c>
      <c r="O138" s="74">
        <f>SUMIF($B$5:$M$5,'P&amp;L Summary'!$A$6,$B138:$M138)</f>
        <v>2707.5</v>
      </c>
      <c r="P138" s="74">
        <f t="shared" si="13"/>
        <v>14254.97</v>
      </c>
    </row>
    <row r="139" ht="12.75" customHeight="1"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P139" s="74"/>
    </row>
    <row r="140" ht="12.75" customHeight="1">
      <c r="A140" s="180" t="s">
        <v>153</v>
      </c>
      <c r="B140" s="74">
        <v>59692.84</v>
      </c>
      <c r="C140" s="74">
        <v>72712.34</v>
      </c>
      <c r="D140" s="74">
        <v>62600.37</v>
      </c>
      <c r="E140" s="74">
        <v>63998.15</v>
      </c>
      <c r="F140" s="74">
        <v>64236.89</v>
      </c>
      <c r="G140" s="74">
        <v>57534.86</v>
      </c>
      <c r="H140" s="74">
        <v>50275.28</v>
      </c>
      <c r="I140" s="74">
        <v>51402.72</v>
      </c>
      <c r="J140" s="74">
        <v>58663.59</v>
      </c>
      <c r="K140" s="74">
        <v>57481.94</v>
      </c>
      <c r="L140" s="74">
        <v>73428.12</v>
      </c>
      <c r="M140" s="74">
        <v>53964.98</v>
      </c>
      <c r="N140" s="74">
        <f t="shared" ref="N140:N150" si="14">SUM(B140:M140)</f>
        <v>725992.08</v>
      </c>
      <c r="O140" s="74"/>
      <c r="P140" s="74"/>
    </row>
    <row r="141" ht="12.75" customHeight="1">
      <c r="A141" s="180" t="s">
        <v>130</v>
      </c>
      <c r="B141" s="74">
        <v>39447.35</v>
      </c>
      <c r="C141" s="74">
        <v>53971.02</v>
      </c>
      <c r="D141" s="74">
        <v>45196.98</v>
      </c>
      <c r="E141" s="74">
        <v>46416.91</v>
      </c>
      <c r="F141" s="74">
        <v>46808.39</v>
      </c>
      <c r="G141" s="74">
        <v>41625.64</v>
      </c>
      <c r="H141" s="74">
        <v>38118.28</v>
      </c>
      <c r="I141" s="74">
        <v>33329.21</v>
      </c>
      <c r="J141" s="74">
        <v>37532.71</v>
      </c>
      <c r="K141" s="74">
        <v>39577.67</v>
      </c>
      <c r="L141" s="74">
        <v>50259.82</v>
      </c>
      <c r="M141" s="74">
        <v>43387.63</v>
      </c>
      <c r="N141" s="74">
        <f t="shared" si="14"/>
        <v>515671.61</v>
      </c>
      <c r="O141" s="74">
        <f>SUMIF($B$5:$M$5,'P&amp;L Summary'!$A$6,$B141:$M141)</f>
        <v>46808.39</v>
      </c>
      <c r="P141" s="74">
        <f t="shared" ref="P141:P150" si="15">SUMIF($B$6:$M$6,"YTD",$B141:$M141)</f>
        <v>231840.65</v>
      </c>
    </row>
    <row r="142" ht="12.75" customHeight="1">
      <c r="A142" s="180" t="s">
        <v>132</v>
      </c>
      <c r="B142" s="74">
        <v>0.0</v>
      </c>
      <c r="C142" s="74">
        <v>0.0</v>
      </c>
      <c r="D142" s="74">
        <v>0.0</v>
      </c>
      <c r="E142" s="74">
        <v>0.0</v>
      </c>
      <c r="F142" s="74">
        <v>0.0</v>
      </c>
      <c r="G142" s="74">
        <v>0.0</v>
      </c>
      <c r="H142" s="74">
        <v>0.0</v>
      </c>
      <c r="I142" s="74">
        <v>0.0</v>
      </c>
      <c r="J142" s="74">
        <v>0.0</v>
      </c>
      <c r="K142" s="74">
        <v>0.0</v>
      </c>
      <c r="L142" s="74">
        <v>0.0</v>
      </c>
      <c r="M142" s="74">
        <v>0.0</v>
      </c>
      <c r="N142" s="74">
        <f t="shared" si="14"/>
        <v>0</v>
      </c>
      <c r="O142" s="74">
        <f>SUMIF($B$5:$M$5,'P&amp;L Summary'!$A$6,$B142:$M142)</f>
        <v>0</v>
      </c>
      <c r="P142" s="74">
        <f t="shared" si="15"/>
        <v>0</v>
      </c>
    </row>
    <row r="143" ht="12.75" customHeight="1">
      <c r="A143" s="180" t="s">
        <v>134</v>
      </c>
      <c r="B143" s="74">
        <v>5633.18</v>
      </c>
      <c r="C143" s="74">
        <v>8338.57</v>
      </c>
      <c r="D143" s="74">
        <v>5072.87</v>
      </c>
      <c r="E143" s="74">
        <v>5207.95</v>
      </c>
      <c r="F143" s="74">
        <v>5230.57</v>
      </c>
      <c r="G143" s="74">
        <v>4768.38</v>
      </c>
      <c r="H143" s="74">
        <v>4396.15</v>
      </c>
      <c r="I143" s="74">
        <v>4457.12</v>
      </c>
      <c r="J143" s="74">
        <v>4457.12</v>
      </c>
      <c r="K143" s="74">
        <v>4457.12</v>
      </c>
      <c r="L143" s="74">
        <v>5032.01</v>
      </c>
      <c r="M143" s="74">
        <v>4951.19</v>
      </c>
      <c r="N143" s="74">
        <f t="shared" si="14"/>
        <v>62002.23</v>
      </c>
      <c r="O143" s="74">
        <f>SUMIF($B$5:$M$5,'P&amp;L Summary'!$A$6,$B143:$M143)</f>
        <v>5230.57</v>
      </c>
      <c r="P143" s="74">
        <f t="shared" si="15"/>
        <v>29483.14</v>
      </c>
    </row>
    <row r="144" ht="12.75" customHeight="1">
      <c r="A144" s="180" t="s">
        <v>136</v>
      </c>
      <c r="B144" s="74">
        <v>2000.0</v>
      </c>
      <c r="C144" s="74">
        <v>2000.0</v>
      </c>
      <c r="D144" s="74">
        <v>2000.0</v>
      </c>
      <c r="E144" s="74">
        <v>2000.0</v>
      </c>
      <c r="F144" s="74">
        <v>2000.0</v>
      </c>
      <c r="G144" s="74">
        <v>2000.0</v>
      </c>
      <c r="H144" s="74">
        <v>2000.0</v>
      </c>
      <c r="I144" s="74">
        <v>2000.0</v>
      </c>
      <c r="J144" s="74">
        <v>2000.0</v>
      </c>
      <c r="K144" s="74">
        <v>2000.0</v>
      </c>
      <c r="L144" s="74">
        <v>2000.0</v>
      </c>
      <c r="M144" s="74">
        <v>2000.0</v>
      </c>
      <c r="N144" s="74">
        <f t="shared" si="14"/>
        <v>24000</v>
      </c>
      <c r="O144" s="74">
        <f>SUMIF($B$5:$M$5,'P&amp;L Summary'!$A$6,$B144:$M144)</f>
        <v>2000</v>
      </c>
      <c r="P144" s="74">
        <f t="shared" si="15"/>
        <v>10000</v>
      </c>
    </row>
    <row r="145" ht="12.75" customHeight="1">
      <c r="A145" s="180" t="s">
        <v>137</v>
      </c>
      <c r="B145" s="74">
        <v>469.16</v>
      </c>
      <c r="C145" s="74">
        <v>525.91</v>
      </c>
      <c r="D145" s="74">
        <v>1005.99</v>
      </c>
      <c r="E145" s="74">
        <v>1088.0</v>
      </c>
      <c r="F145" s="74">
        <v>638.67</v>
      </c>
      <c r="G145" s="74">
        <v>1318.24</v>
      </c>
      <c r="H145" s="74">
        <v>819.9</v>
      </c>
      <c r="I145" s="74">
        <v>2442.13</v>
      </c>
      <c r="J145" s="74">
        <v>2353.7</v>
      </c>
      <c r="K145" s="74">
        <v>493.75</v>
      </c>
      <c r="L145" s="74">
        <v>1009.71</v>
      </c>
      <c r="M145" s="74">
        <v>767.54</v>
      </c>
      <c r="N145" s="74">
        <f t="shared" si="14"/>
        <v>12932.7</v>
      </c>
      <c r="O145" s="74">
        <f>SUMIF($B$5:$M$5,'P&amp;L Summary'!$A$6,$B145:$M145)</f>
        <v>638.67</v>
      </c>
      <c r="P145" s="74">
        <f t="shared" si="15"/>
        <v>3727.73</v>
      </c>
    </row>
    <row r="146" ht="12.75" customHeight="1">
      <c r="A146" s="180" t="s">
        <v>138</v>
      </c>
      <c r="B146" s="74">
        <v>0.0</v>
      </c>
      <c r="C146" s="74">
        <v>0.0</v>
      </c>
      <c r="D146" s="74">
        <v>0.0</v>
      </c>
      <c r="E146" s="74">
        <v>0.0</v>
      </c>
      <c r="F146" s="74">
        <v>0.0</v>
      </c>
      <c r="G146" s="74">
        <v>0.0</v>
      </c>
      <c r="H146" s="74">
        <v>0.0</v>
      </c>
      <c r="I146" s="74">
        <v>3058.5</v>
      </c>
      <c r="J146" s="74">
        <v>5505.3</v>
      </c>
      <c r="K146" s="74">
        <v>4088.2</v>
      </c>
      <c r="L146" s="74">
        <v>7625.87</v>
      </c>
      <c r="M146" s="74">
        <v>0.0</v>
      </c>
      <c r="N146" s="74">
        <f t="shared" si="14"/>
        <v>20277.87</v>
      </c>
      <c r="O146" s="74">
        <f>SUMIF($B$5:$M$5,'P&amp;L Summary'!$A$6,$B146:$M146)</f>
        <v>0</v>
      </c>
      <c r="P146" s="74">
        <f t="shared" si="15"/>
        <v>0</v>
      </c>
    </row>
    <row r="147" ht="12.75" customHeight="1">
      <c r="A147" s="180" t="s">
        <v>139</v>
      </c>
      <c r="B147" s="74">
        <v>0.0</v>
      </c>
      <c r="C147" s="74">
        <v>0.0</v>
      </c>
      <c r="D147" s="74">
        <v>0.0</v>
      </c>
      <c r="E147" s="74">
        <v>0.0</v>
      </c>
      <c r="F147" s="74">
        <v>0.0</v>
      </c>
      <c r="G147" s="74">
        <v>0.0</v>
      </c>
      <c r="H147" s="74">
        <v>0.0</v>
      </c>
      <c r="I147" s="74">
        <v>0.0</v>
      </c>
      <c r="J147" s="74">
        <v>0.0</v>
      </c>
      <c r="K147" s="74">
        <v>0.0</v>
      </c>
      <c r="L147" s="74">
        <v>0.0</v>
      </c>
      <c r="M147" s="74">
        <v>0.0</v>
      </c>
      <c r="N147" s="74">
        <f t="shared" si="14"/>
        <v>0</v>
      </c>
      <c r="O147" s="74">
        <f>SUMIF($B$5:$M$5,'P&amp;L Summary'!$A$6,$B147:$M147)</f>
        <v>0</v>
      </c>
      <c r="P147" s="74">
        <f t="shared" si="15"/>
        <v>0</v>
      </c>
    </row>
    <row r="148" ht="12.75" customHeight="1">
      <c r="A148" s="180" t="s">
        <v>140</v>
      </c>
      <c r="B148" s="74">
        <v>-694.0</v>
      </c>
      <c r="C148" s="74">
        <v>-775.0</v>
      </c>
      <c r="D148" s="74">
        <v>393.0</v>
      </c>
      <c r="E148" s="74">
        <v>731.0</v>
      </c>
      <c r="F148" s="74">
        <v>495.0</v>
      </c>
      <c r="G148" s="74">
        <v>-33.0</v>
      </c>
      <c r="H148" s="74">
        <v>-1524.0</v>
      </c>
      <c r="I148" s="74">
        <v>-404.0</v>
      </c>
      <c r="J148" s="74">
        <v>235.0</v>
      </c>
      <c r="K148" s="74">
        <v>266.0</v>
      </c>
      <c r="L148" s="74">
        <v>180.0</v>
      </c>
      <c r="M148" s="74">
        <v>357.0</v>
      </c>
      <c r="N148" s="74">
        <f t="shared" si="14"/>
        <v>-773</v>
      </c>
      <c r="O148" s="74">
        <f>SUMIF($B$5:$M$5,'P&amp;L Summary'!$A$6,$B148:$M148)</f>
        <v>495</v>
      </c>
      <c r="P148" s="74">
        <f t="shared" si="15"/>
        <v>150</v>
      </c>
    </row>
    <row r="149" ht="12.75" customHeight="1">
      <c r="A149" s="180" t="s">
        <v>142</v>
      </c>
      <c r="B149" s="74">
        <v>4500.01</v>
      </c>
      <c r="C149" s="74">
        <v>4500.01</v>
      </c>
      <c r="D149" s="74">
        <v>4500.01</v>
      </c>
      <c r="E149" s="74">
        <v>4500.01</v>
      </c>
      <c r="F149" s="74">
        <v>4500.01</v>
      </c>
      <c r="G149" s="74">
        <v>3727.28</v>
      </c>
      <c r="H149" s="74">
        <v>3083.34</v>
      </c>
      <c r="I149" s="74">
        <v>3083.34</v>
      </c>
      <c r="J149" s="74">
        <v>3083.34</v>
      </c>
      <c r="K149" s="74">
        <v>3083.34</v>
      </c>
      <c r="L149" s="74">
        <v>3598.49</v>
      </c>
      <c r="M149" s="74">
        <v>4500.01</v>
      </c>
      <c r="N149" s="74">
        <f t="shared" si="14"/>
        <v>46659.19</v>
      </c>
      <c r="O149" s="74">
        <f>SUMIF($B$5:$M$5,'P&amp;L Summary'!$A$6,$B149:$M149)</f>
        <v>4500.01</v>
      </c>
      <c r="P149" s="74">
        <f t="shared" si="15"/>
        <v>22500.05</v>
      </c>
    </row>
    <row r="150" ht="12.75" customHeight="1">
      <c r="A150" s="180" t="s">
        <v>144</v>
      </c>
      <c r="B150" s="74">
        <v>0.0</v>
      </c>
      <c r="C150" s="74">
        <v>0.0</v>
      </c>
      <c r="D150" s="74">
        <v>0.0</v>
      </c>
      <c r="E150" s="74">
        <v>0.0</v>
      </c>
      <c r="F150" s="74">
        <v>0.0</v>
      </c>
      <c r="G150" s="74">
        <v>0.0</v>
      </c>
      <c r="H150" s="74">
        <v>0.0</v>
      </c>
      <c r="I150" s="74">
        <v>0.0</v>
      </c>
      <c r="J150" s="74">
        <v>0.0</v>
      </c>
      <c r="K150" s="74">
        <v>0.0</v>
      </c>
      <c r="L150" s="74">
        <v>0.0</v>
      </c>
      <c r="M150" s="74">
        <v>0.0</v>
      </c>
      <c r="N150" s="74">
        <f t="shared" si="14"/>
        <v>0</v>
      </c>
      <c r="O150" s="74">
        <f>SUMIF($B$5:$M$5,'P&amp;L Summary'!$A$6,$B150:$M150)</f>
        <v>0</v>
      </c>
      <c r="P150" s="74">
        <f t="shared" si="15"/>
        <v>0</v>
      </c>
    </row>
    <row r="151" ht="12.75" customHeight="1">
      <c r="A151" s="180" t="s">
        <v>231</v>
      </c>
      <c r="E151" t="s">
        <v>238</v>
      </c>
      <c r="M151" t="s">
        <v>207</v>
      </c>
      <c r="N151" t="s">
        <v>267</v>
      </c>
      <c r="P151" s="74"/>
    </row>
    <row r="152" ht="12.75" customHeight="1">
      <c r="A152" s="180"/>
      <c r="C152" t="s">
        <v>263</v>
      </c>
      <c r="D152" t="s">
        <v>264</v>
      </c>
      <c r="E152" t="s">
        <v>265</v>
      </c>
      <c r="F152" t="s">
        <v>266</v>
      </c>
      <c r="N152" t="s">
        <v>246</v>
      </c>
      <c r="P152" s="74"/>
    </row>
    <row r="153" ht="12.75" customHeight="1">
      <c r="A153" s="180"/>
      <c r="D153" t="s">
        <v>213</v>
      </c>
      <c r="E153" t="s">
        <v>214</v>
      </c>
      <c r="F153" t="s">
        <v>215</v>
      </c>
      <c r="P153" s="74"/>
    </row>
    <row r="154" ht="12.75" customHeight="1">
      <c r="A154" s="180"/>
      <c r="P154" s="74"/>
    </row>
    <row r="155" ht="12.75" customHeight="1">
      <c r="A155" s="180" t="s">
        <v>216</v>
      </c>
      <c r="P155" s="74"/>
    </row>
    <row r="156" ht="12.75" customHeight="1">
      <c r="A156" s="180" t="s">
        <v>217</v>
      </c>
      <c r="P156" s="74"/>
    </row>
    <row r="157" ht="12.75" customHeight="1">
      <c r="A157" s="180"/>
      <c r="B157" t="s">
        <v>218</v>
      </c>
      <c r="C157" t="s">
        <v>218</v>
      </c>
      <c r="D157" t="s">
        <v>218</v>
      </c>
      <c r="E157" t="s">
        <v>218</v>
      </c>
      <c r="F157" t="s">
        <v>218</v>
      </c>
      <c r="G157" t="s">
        <v>218</v>
      </c>
      <c r="H157" t="s">
        <v>218</v>
      </c>
      <c r="I157" t="s">
        <v>218</v>
      </c>
      <c r="J157" t="s">
        <v>218</v>
      </c>
      <c r="K157" t="s">
        <v>218</v>
      </c>
      <c r="L157" t="s">
        <v>218</v>
      </c>
      <c r="M157" t="s">
        <v>218</v>
      </c>
      <c r="N157" t="s">
        <v>40</v>
      </c>
      <c r="P157" s="74"/>
    </row>
    <row r="158" ht="12.75" customHeight="1">
      <c r="A158" s="180"/>
      <c r="B158" s="119">
        <v>42736.0</v>
      </c>
      <c r="C158" s="119">
        <v>42767.0</v>
      </c>
      <c r="D158" s="119">
        <v>42795.0</v>
      </c>
      <c r="E158" s="119">
        <v>42826.0</v>
      </c>
      <c r="F158" s="119">
        <v>42856.0</v>
      </c>
      <c r="G158" s="119">
        <v>42887.0</v>
      </c>
      <c r="H158" s="119">
        <v>42917.0</v>
      </c>
      <c r="I158" s="119">
        <v>42948.0</v>
      </c>
      <c r="J158" s="119">
        <v>42979.0</v>
      </c>
      <c r="K158" s="119">
        <v>43009.0</v>
      </c>
      <c r="L158" s="119">
        <v>43040.0</v>
      </c>
      <c r="M158" s="119">
        <v>43070.0</v>
      </c>
      <c r="P158" s="74"/>
    </row>
    <row r="159" ht="12.75" customHeight="1">
      <c r="A159" s="180"/>
      <c r="B159" t="s">
        <v>222</v>
      </c>
      <c r="C159" t="s">
        <v>222</v>
      </c>
      <c r="D159" t="s">
        <v>222</v>
      </c>
      <c r="E159" t="s">
        <v>222</v>
      </c>
      <c r="F159" t="s">
        <v>222</v>
      </c>
      <c r="G159" t="s">
        <v>222</v>
      </c>
      <c r="H159" t="s">
        <v>222</v>
      </c>
      <c r="I159" t="s">
        <v>222</v>
      </c>
      <c r="J159" t="s">
        <v>222</v>
      </c>
      <c r="K159" t="s">
        <v>222</v>
      </c>
      <c r="L159" t="s">
        <v>222</v>
      </c>
      <c r="M159" t="s">
        <v>222</v>
      </c>
      <c r="N159" t="s">
        <v>223</v>
      </c>
      <c r="P159" s="74"/>
    </row>
    <row r="160" ht="12.75" customHeight="1">
      <c r="A160" s="180" t="s">
        <v>146</v>
      </c>
      <c r="B160" s="74">
        <v>0.0</v>
      </c>
      <c r="C160" s="74">
        <v>0.0</v>
      </c>
      <c r="D160" s="74">
        <v>0.0</v>
      </c>
      <c r="E160" s="74">
        <v>0.0</v>
      </c>
      <c r="F160" s="74">
        <v>0.0</v>
      </c>
      <c r="G160" s="74">
        <v>0.0</v>
      </c>
      <c r="H160" s="74">
        <v>0.0</v>
      </c>
      <c r="I160" s="74">
        <v>0.0</v>
      </c>
      <c r="J160" s="74">
        <v>0.0</v>
      </c>
      <c r="K160" s="74">
        <v>0.0</v>
      </c>
      <c r="L160" s="74">
        <v>0.0</v>
      </c>
      <c r="M160" s="74">
        <v>0.0</v>
      </c>
      <c r="N160" s="74">
        <f t="shared" ref="N160:N164" si="16">SUM(B160:M160)</f>
        <v>0</v>
      </c>
      <c r="O160" s="74">
        <f>SUMIF($B$5:$M$5,'P&amp;L Summary'!$A$6,$B160:$M160)</f>
        <v>0</v>
      </c>
      <c r="P160" s="74">
        <f t="shared" ref="P160:P164" si="17">SUMIF($B$6:$M$6,"YTD",$B160:$M160)</f>
        <v>0</v>
      </c>
    </row>
    <row r="161" ht="12.75" customHeight="1">
      <c r="A161" s="180" t="s">
        <v>148</v>
      </c>
      <c r="B161" s="74">
        <v>12774.92</v>
      </c>
      <c r="C161" s="74">
        <v>9193.05</v>
      </c>
      <c r="D161" s="74">
        <v>1677.49</v>
      </c>
      <c r="E161" s="74">
        <v>710.34</v>
      </c>
      <c r="F161" s="74">
        <v>1222.67</v>
      </c>
      <c r="G161" s="74">
        <v>4188.11</v>
      </c>
      <c r="H161" s="74">
        <v>2148.46</v>
      </c>
      <c r="I161" s="74">
        <v>5957.08</v>
      </c>
      <c r="J161" s="74">
        <v>1841.99</v>
      </c>
      <c r="K161" s="74">
        <v>1657.0</v>
      </c>
      <c r="L161" s="74">
        <v>2418.21</v>
      </c>
      <c r="M161" s="74">
        <v>1357.32</v>
      </c>
      <c r="N161" s="74">
        <f t="shared" si="16"/>
        <v>45146.64</v>
      </c>
      <c r="O161" s="74">
        <f>SUMIF($B$5:$M$5,'P&amp;L Summary'!$A$6,$B161:$M161)</f>
        <v>1222.67</v>
      </c>
      <c r="P161" s="74">
        <f t="shared" si="17"/>
        <v>25578.47</v>
      </c>
    </row>
    <row r="162" ht="12.75" customHeight="1">
      <c r="A162" s="180" t="s">
        <v>149</v>
      </c>
      <c r="B162" s="74">
        <v>-8615.08</v>
      </c>
      <c r="C162" s="74">
        <v>-1629.24</v>
      </c>
      <c r="D162" s="74">
        <v>2461.36</v>
      </c>
      <c r="E162" s="74">
        <v>3204.51</v>
      </c>
      <c r="F162" s="74">
        <v>3045.89</v>
      </c>
      <c r="G162" s="74">
        <v>-349.45</v>
      </c>
      <c r="H162" s="74">
        <v>1121.88</v>
      </c>
      <c r="I162" s="74">
        <v>-2713.05</v>
      </c>
      <c r="J162" s="74">
        <v>1466.03</v>
      </c>
      <c r="K162" s="74">
        <v>1664.46</v>
      </c>
      <c r="L162" s="74">
        <v>1113.63</v>
      </c>
      <c r="M162" s="74">
        <v>2291.82</v>
      </c>
      <c r="N162" s="74">
        <f t="shared" si="16"/>
        <v>3062.76</v>
      </c>
      <c r="O162" s="74">
        <f>SUMIF($B$5:$M$5,'P&amp;L Summary'!$A$6,$B162:$M162)</f>
        <v>3045.89</v>
      </c>
      <c r="P162" s="74">
        <f t="shared" si="17"/>
        <v>-1532.56</v>
      </c>
    </row>
    <row r="163" ht="12.75" customHeight="1">
      <c r="A163" s="180" t="s">
        <v>151</v>
      </c>
      <c r="B163" s="74">
        <v>0.0</v>
      </c>
      <c r="C163" s="74">
        <v>0.0</v>
      </c>
      <c r="D163" s="74">
        <v>0.0</v>
      </c>
      <c r="E163" s="74">
        <v>0.0</v>
      </c>
      <c r="F163" s="74">
        <v>0.0</v>
      </c>
      <c r="G163" s="74">
        <v>0.0</v>
      </c>
      <c r="H163" s="74">
        <v>0.0</v>
      </c>
      <c r="I163" s="74">
        <v>0.0</v>
      </c>
      <c r="J163" s="74">
        <v>0.0</v>
      </c>
      <c r="K163" s="74">
        <v>0.0</v>
      </c>
      <c r="L163" s="74">
        <v>0.0</v>
      </c>
      <c r="M163" s="74">
        <v>0.0</v>
      </c>
      <c r="N163" s="185">
        <f t="shared" si="16"/>
        <v>0</v>
      </c>
      <c r="O163">
        <f>SUMIF($B$5:$M$5,'P&amp;L Summary'!$A$6,$B163:$M163)</f>
        <v>0</v>
      </c>
      <c r="P163" s="74">
        <f t="shared" si="17"/>
        <v>0</v>
      </c>
    </row>
    <row r="164" ht="12.75" customHeight="1">
      <c r="A164" s="180" t="s">
        <v>152</v>
      </c>
      <c r="B164" s="74">
        <v>4177.3</v>
      </c>
      <c r="C164" s="74">
        <v>-3411.98</v>
      </c>
      <c r="D164" s="74">
        <v>292.67</v>
      </c>
      <c r="E164" s="74">
        <v>139.43</v>
      </c>
      <c r="F164" s="74">
        <v>295.69</v>
      </c>
      <c r="G164" s="74">
        <v>289.66</v>
      </c>
      <c r="H164" s="74">
        <v>111.27</v>
      </c>
      <c r="I164" s="74">
        <v>192.39</v>
      </c>
      <c r="J164" s="74">
        <v>188.4</v>
      </c>
      <c r="K164" s="74">
        <v>194.4</v>
      </c>
      <c r="L164" s="74">
        <v>190.38</v>
      </c>
      <c r="M164" s="74">
        <v>-5647.53</v>
      </c>
      <c r="N164" s="74">
        <f t="shared" si="16"/>
        <v>-2987.92</v>
      </c>
      <c r="O164" s="74">
        <f>SUMIF($B$5:$M$5,'P&amp;L Summary'!$A$6,$B164:$M164)</f>
        <v>295.69</v>
      </c>
      <c r="P164" s="74">
        <f t="shared" si="17"/>
        <v>1493.11</v>
      </c>
    </row>
    <row r="165" ht="12.75" customHeight="1"/>
    <row r="166" ht="12.75" customHeight="1"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</row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0.14"/>
    <col customWidth="1" min="2" max="2" width="9.71"/>
    <col customWidth="1" min="3" max="4" width="8.71"/>
    <col customWidth="1" min="5" max="5" width="10.14"/>
    <col customWidth="1" min="6" max="13" width="8.71"/>
    <col customWidth="1" min="14" max="14" width="10.14"/>
    <col customWidth="1" min="15" max="26" width="8.71"/>
  </cols>
  <sheetData>
    <row r="1" ht="12.75" customHeight="1">
      <c r="A1" s="77"/>
      <c r="B1" s="77" t="s">
        <v>268</v>
      </c>
      <c r="C1" s="77" t="s">
        <v>269</v>
      </c>
      <c r="D1" s="77" t="s">
        <v>270</v>
      </c>
      <c r="E1" s="77" t="s">
        <v>271</v>
      </c>
      <c r="F1" s="77" t="s">
        <v>272</v>
      </c>
      <c r="G1" s="77" t="s">
        <v>273</v>
      </c>
      <c r="H1" s="77" t="s">
        <v>274</v>
      </c>
      <c r="I1" s="77" t="s">
        <v>275</v>
      </c>
      <c r="J1" s="77" t="s">
        <v>276</v>
      </c>
      <c r="K1" s="77" t="s">
        <v>277</v>
      </c>
      <c r="L1" s="77" t="s">
        <v>278</v>
      </c>
      <c r="M1" s="77" t="s">
        <v>279</v>
      </c>
      <c r="N1" s="77" t="s">
        <v>4</v>
      </c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2.75" customHeight="1"/>
    <row r="3" ht="12.75" customHeight="1">
      <c r="A3" s="77" t="s">
        <v>280</v>
      </c>
    </row>
    <row r="4" ht="12.75" customHeight="1">
      <c r="A4" s="124" t="s">
        <v>69</v>
      </c>
      <c r="B4" s="74">
        <f>PRIOR!B13/1000</f>
        <v>287.15943</v>
      </c>
      <c r="C4" s="74">
        <f>PRIOR!C13/1000</f>
        <v>418.64132</v>
      </c>
      <c r="D4" s="74">
        <f>PRIOR!D13/1000</f>
        <v>455.27906</v>
      </c>
      <c r="E4" s="74">
        <f>PRIOR!E13/1000</f>
        <v>309.135</v>
      </c>
      <c r="F4" s="74">
        <f>PRIOR!F13/1000</f>
        <v>390.48268</v>
      </c>
      <c r="G4" s="74">
        <f>PRIOR!G13/1000</f>
        <v>394.81733</v>
      </c>
      <c r="H4" s="74">
        <f>PRIOR!H13/1000</f>
        <v>345.2445</v>
      </c>
      <c r="I4" s="74">
        <f>PRIOR!I13/1000</f>
        <v>367.79622</v>
      </c>
      <c r="J4" s="74">
        <f>PRIOR!J13/1000</f>
        <v>344.76879</v>
      </c>
      <c r="K4" s="74">
        <f>PRIOR!K13/1000</f>
        <v>309.83892</v>
      </c>
      <c r="L4" s="74">
        <f>PRIOR!L13/1000</f>
        <v>303.62837</v>
      </c>
      <c r="M4" s="74">
        <f>PRIOR!M13/1000</f>
        <v>318.96953</v>
      </c>
      <c r="N4" s="74">
        <f>SUM(B4:M4)</f>
        <v>4245.76115</v>
      </c>
    </row>
    <row r="5" ht="12.75" customHeight="1">
      <c r="A5" s="124" t="s">
        <v>281</v>
      </c>
      <c r="B5" s="115">
        <f>PRIOR!B22/PRIOR!B20</f>
        <v>0.0009934654372</v>
      </c>
      <c r="C5" s="115">
        <f>PRIOR!C22/PRIOR!C20</f>
        <v>0.0006858201882</v>
      </c>
      <c r="D5" s="115">
        <f>PRIOR!D22/PRIOR!D20</f>
        <v>0.0005994543783</v>
      </c>
      <c r="E5" s="115">
        <f>PRIOR!E22/PRIOR!E20</f>
        <v>0.0008065667409</v>
      </c>
      <c r="F5" s="115">
        <f>PRIOR!F22/PRIOR!F20</f>
        <v>0.0006378830068</v>
      </c>
      <c r="G5" s="115">
        <f>PRIOR!G22/PRIOR!G20</f>
        <v>0.0006356346077</v>
      </c>
      <c r="H5" s="115">
        <f>PRIOR!H22/PRIOR!H20</f>
        <v>0.0007066357844</v>
      </c>
      <c r="I5" s="115">
        <f>PRIOR!I22/PRIOR!I20</f>
        <v>0.0006627467514</v>
      </c>
      <c r="J5" s="115">
        <f>PRIOR!J22/PRIOR!J20</f>
        <v>0.000669339579</v>
      </c>
      <c r="K5" s="115">
        <f>PRIOR!K22/PRIOR!K20</f>
        <v>0.0007168325548</v>
      </c>
      <c r="L5" s="115">
        <f>PRIOR!L22/PRIOR!L20</f>
        <v>0.0008561452937</v>
      </c>
      <c r="M5" s="115">
        <f>PRIOR!M22/PRIOR!M20</f>
        <v>0.0008149054237</v>
      </c>
      <c r="N5" s="74"/>
    </row>
    <row r="6" ht="12.75" customHeight="1">
      <c r="A6" s="124" t="s">
        <v>282</v>
      </c>
      <c r="B6" s="115">
        <f>PRIOR!B23/PRIOR!B20</f>
        <v>0.3258522878</v>
      </c>
      <c r="C6" s="115">
        <f>PRIOR!C23/PRIOR!C20</f>
        <v>0.3360896959</v>
      </c>
      <c r="D6" s="115">
        <f>PRIOR!D23/PRIOR!D20</f>
        <v>0.3674349804</v>
      </c>
      <c r="E6" s="115">
        <f>PRIOR!E23/PRIOR!E20</f>
        <v>0.3710021772</v>
      </c>
      <c r="F6" s="115">
        <f>PRIOR!F23/PRIOR!F20</f>
        <v>0.3814467746</v>
      </c>
      <c r="G6" s="115">
        <f>PRIOR!G23/PRIOR!G20</f>
        <v>0.3358381502</v>
      </c>
      <c r="H6" s="115">
        <f>PRIOR!H23/PRIOR!H20</f>
        <v>0.3609708705</v>
      </c>
      <c r="I6" s="115">
        <f>PRIOR!I23/PRIOR!I20</f>
        <v>0.2865814345</v>
      </c>
      <c r="J6" s="115">
        <f>PRIOR!J23/PRIOR!J20</f>
        <v>0.371970865</v>
      </c>
      <c r="K6" s="115">
        <f>PRIOR!K23/PRIOR!K20</f>
        <v>0.3663522025</v>
      </c>
      <c r="L6" s="115">
        <f>PRIOR!L23/PRIOR!L20</f>
        <v>0.3889845998</v>
      </c>
      <c r="M6" s="115">
        <f>PRIOR!M23/PRIOR!M20</f>
        <v>0.3479835519</v>
      </c>
      <c r="N6" s="115"/>
    </row>
    <row r="7" ht="12.75" customHeight="1">
      <c r="A7" s="124" t="s">
        <v>283</v>
      </c>
      <c r="B7" s="115">
        <f>PRIOR!B29/PRIOR!B20</f>
        <v>0.6731542468</v>
      </c>
      <c r="C7" s="115">
        <f>PRIOR!C29/PRIOR!C20</f>
        <v>0.663224484</v>
      </c>
      <c r="D7" s="115">
        <f>PRIOR!D29/PRIOR!D20</f>
        <v>0.6319655652</v>
      </c>
      <c r="E7" s="115">
        <f>PRIOR!E29/PRIOR!E20</f>
        <v>0.628191256</v>
      </c>
      <c r="F7" s="115">
        <f>PRIOR!F29/PRIOR!F20</f>
        <v>0.6179153424</v>
      </c>
      <c r="G7" s="115">
        <f>PRIOR!G29/PRIOR!G20</f>
        <v>0.6635262152</v>
      </c>
      <c r="H7" s="115">
        <f>PRIOR!H29/PRIOR!H20</f>
        <v>0.6383224937</v>
      </c>
      <c r="I7" s="115">
        <f>PRIOR!I29/PRIOR!I20</f>
        <v>0.7127558188</v>
      </c>
      <c r="J7" s="115">
        <f>PRIOR!J29/PRIOR!J20</f>
        <v>0.6273597954</v>
      </c>
      <c r="K7" s="115">
        <f>PRIOR!K29/PRIOR!K20</f>
        <v>0.6329309649</v>
      </c>
      <c r="L7" s="115">
        <f>PRIOR!L29/PRIOR!L20</f>
        <v>0.6101592549</v>
      </c>
      <c r="M7" s="115">
        <f>PRIOR!M29/PRIOR!M20</f>
        <v>0.6512015427</v>
      </c>
      <c r="N7" s="115"/>
    </row>
    <row r="8" ht="12.75" customHeight="1">
      <c r="A8" s="124" t="s">
        <v>74</v>
      </c>
      <c r="B8" s="74">
        <f>PRIOR!B31/1000</f>
        <v>169.52695</v>
      </c>
      <c r="C8" s="74">
        <f>PRIOR!C31/1000</f>
        <v>184.00491</v>
      </c>
      <c r="D8" s="74">
        <f>PRIOR!D31/1000</f>
        <v>184.08067</v>
      </c>
      <c r="E8" s="74">
        <f>PRIOR!E31/1000</f>
        <v>181.29266</v>
      </c>
      <c r="F8" s="74">
        <f>PRIOR!F31/1000</f>
        <v>186.73078</v>
      </c>
      <c r="G8" s="74">
        <f>PRIOR!G31/1000</f>
        <v>179.56903</v>
      </c>
      <c r="H8" s="74">
        <f>PRIOR!H31/1000</f>
        <v>171.20053</v>
      </c>
      <c r="I8" s="74">
        <f>PRIOR!I31/1000</f>
        <v>170.06901</v>
      </c>
      <c r="J8" s="74">
        <f>PRIOR!J31/1000</f>
        <v>180.77346</v>
      </c>
      <c r="K8" s="74">
        <f>PRIOR!K31/1000</f>
        <v>163.2898</v>
      </c>
      <c r="L8" s="74">
        <f>PRIOR!L31/1000</f>
        <v>182.75401</v>
      </c>
      <c r="M8" s="74">
        <f>PRIOR!M31/1000</f>
        <v>171.82849</v>
      </c>
      <c r="N8" s="74">
        <f t="shared" ref="N8:N9" si="1">SUM(B8:M8)</f>
        <v>2125.1203</v>
      </c>
    </row>
    <row r="9" ht="12.75" customHeight="1">
      <c r="A9" s="124" t="s">
        <v>75</v>
      </c>
      <c r="B9" s="74">
        <f>PRIOR!B35/1000</f>
        <v>33.54436</v>
      </c>
      <c r="C9" s="74">
        <f>PRIOR!C35/1000</f>
        <v>105.82088</v>
      </c>
      <c r="D9" s="74">
        <f>PRIOR!D35/1000</f>
        <v>117.90484</v>
      </c>
      <c r="E9" s="74">
        <f>PRIOR!E35/1000</f>
        <v>21.16835</v>
      </c>
      <c r="F9" s="74">
        <f>PRIOR!F35/1000</f>
        <v>65.082</v>
      </c>
      <c r="G9" s="74">
        <f>PRIOR!G35/1000</f>
        <v>91.78756</v>
      </c>
      <c r="H9" s="74">
        <f>PRIOR!H35/1000</f>
        <v>63.61907</v>
      </c>
      <c r="I9" s="74">
        <f>PRIOR!I35/1000</f>
        <v>109.49611</v>
      </c>
      <c r="J9" s="74">
        <f>PRIOR!J35/1000</f>
        <v>62.87294</v>
      </c>
      <c r="K9" s="74">
        <f>PRIOR!K35/1000</f>
        <v>66.23438</v>
      </c>
      <c r="L9" s="74">
        <f>PRIOR!L35/1000</f>
        <v>2.50765</v>
      </c>
      <c r="M9" s="74">
        <f>PRIOR!M35/1000</f>
        <v>35.88496</v>
      </c>
      <c r="N9" s="74">
        <f t="shared" si="1"/>
        <v>775.9231</v>
      </c>
    </row>
    <row r="10" ht="12.75" customHeight="1">
      <c r="A10" s="12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ht="12.75" customHeight="1">
      <c r="A11" s="77" t="s">
        <v>284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</row>
    <row r="12" ht="12.75" customHeight="1">
      <c r="A12" s="124" t="s">
        <v>69</v>
      </c>
      <c r="B12" s="74">
        <f>BUDGET!B13/1000</f>
        <v>315</v>
      </c>
      <c r="C12" s="74">
        <f>BUDGET!C13/1000</f>
        <v>440</v>
      </c>
      <c r="D12" s="74">
        <f>BUDGET!D13/1000</f>
        <v>430</v>
      </c>
      <c r="E12" s="74">
        <f>BUDGET!E13/1000</f>
        <v>400</v>
      </c>
      <c r="F12" s="74">
        <f>BUDGET!F13/1000</f>
        <v>430</v>
      </c>
      <c r="G12" s="74">
        <f>BUDGET!G13/1000</f>
        <v>420</v>
      </c>
      <c r="H12" s="74">
        <f>BUDGET!H13/1000</f>
        <v>400</v>
      </c>
      <c r="I12" s="74">
        <f>BUDGET!I13/1000</f>
        <v>420</v>
      </c>
      <c r="J12" s="74">
        <f>BUDGET!J13/1000</f>
        <v>390</v>
      </c>
      <c r="K12" s="74">
        <f>BUDGET!K13/1000</f>
        <v>440</v>
      </c>
      <c r="L12" s="74">
        <f>BUDGET!L13/1000</f>
        <v>420</v>
      </c>
      <c r="M12" s="74">
        <f>BUDGET!M13/1000</f>
        <v>340</v>
      </c>
      <c r="N12" s="74">
        <f>SUM(B12:M12)</f>
        <v>4845</v>
      </c>
    </row>
    <row r="13" ht="12.75" customHeight="1">
      <c r="A13" s="124" t="s">
        <v>281</v>
      </c>
      <c r="B13" s="115">
        <f>BUDGET!B22/BUDGET!B20</f>
        <v>0</v>
      </c>
      <c r="C13" s="115">
        <f>BUDGET!C22/BUDGET!C20</f>
        <v>0</v>
      </c>
      <c r="D13" s="115">
        <f>BUDGET!D22/BUDGET!D20</f>
        <v>0</v>
      </c>
      <c r="E13" s="115">
        <f>BUDGET!E22/BUDGET!E20</f>
        <v>0</v>
      </c>
      <c r="F13" s="115">
        <f>BUDGET!F22/BUDGET!F20</f>
        <v>0</v>
      </c>
      <c r="G13" s="115">
        <f>BUDGET!G22/BUDGET!G20</f>
        <v>0</v>
      </c>
      <c r="H13" s="115">
        <f>BUDGET!H22/BUDGET!H20</f>
        <v>0</v>
      </c>
      <c r="I13" s="115">
        <f>BUDGET!I22/BUDGET!I20</f>
        <v>0</v>
      </c>
      <c r="J13" s="115">
        <f>BUDGET!J22/BUDGET!J20</f>
        <v>0</v>
      </c>
      <c r="K13" s="115">
        <f>BUDGET!K22/BUDGET!K20</f>
        <v>0</v>
      </c>
      <c r="L13" s="115">
        <f>BUDGET!L22/BUDGET!L20</f>
        <v>0</v>
      </c>
      <c r="M13" s="115">
        <f>BUDGET!M22/BUDGET!M20</f>
        <v>0</v>
      </c>
      <c r="N13" s="74"/>
    </row>
    <row r="14" ht="12.75" customHeight="1">
      <c r="A14" s="124" t="s">
        <v>282</v>
      </c>
      <c r="B14" s="115">
        <f>BUDGET!B23/BUDGET!B20</f>
        <v>0.3546992606</v>
      </c>
      <c r="C14" s="115">
        <f>BUDGET!C23/BUDGET!C20</f>
        <v>0.3547001887</v>
      </c>
      <c r="D14" s="115">
        <f>BUDGET!D23/BUDGET!D20</f>
        <v>0.3546983397</v>
      </c>
      <c r="E14" s="115">
        <f>BUDGET!E23/BUDGET!E20</f>
        <v>0.3546999913</v>
      </c>
      <c r="F14" s="115">
        <f>BUDGET!F23/BUDGET!F20</f>
        <v>0.3546981318</v>
      </c>
      <c r="G14" s="115">
        <f>BUDGET!G23/BUDGET!G20</f>
        <v>0.3546992606</v>
      </c>
      <c r="H14" s="115">
        <f>BUDGET!H23/BUDGET!H20</f>
        <v>0.3546997542</v>
      </c>
      <c r="I14" s="115">
        <f>BUDGET!I23/BUDGET!I20</f>
        <v>0.3546992228</v>
      </c>
      <c r="J14" s="115">
        <f>BUDGET!J23/BUDGET!J20</f>
        <v>0.3546991666</v>
      </c>
      <c r="K14" s="115">
        <f>BUDGET!K23/BUDGET!K20</f>
        <v>0.3546992562</v>
      </c>
      <c r="L14" s="115">
        <f>BUDGET!L23/BUDGET!L20</f>
        <v>0.3546992228</v>
      </c>
      <c r="M14" s="115">
        <f>BUDGET!M23/BUDGET!M20</f>
        <v>0.3546990525</v>
      </c>
      <c r="N14" s="115"/>
    </row>
    <row r="15" ht="12.75" customHeight="1">
      <c r="A15" s="124" t="s">
        <v>283</v>
      </c>
      <c r="B15" s="115">
        <f>BUDGET!B29/BUDGET!B20</f>
        <v>0.6453007394</v>
      </c>
      <c r="C15" s="115">
        <f>BUDGET!C29/BUDGET!C20</f>
        <v>0.6453019757</v>
      </c>
      <c r="D15" s="115">
        <f>BUDGET!D29/BUDGET!D20</f>
        <v>0.6452994725</v>
      </c>
      <c r="E15" s="115">
        <f>BUDGET!E29/BUDGET!E20</f>
        <v>0.6453024137</v>
      </c>
      <c r="F15" s="115">
        <f>BUDGET!F29/BUDGET!F20</f>
        <v>0.6452996481</v>
      </c>
      <c r="G15" s="115">
        <f>BUDGET!G29/BUDGET!G20</f>
        <v>0.6453007394</v>
      </c>
      <c r="H15" s="115">
        <f>BUDGET!H29/BUDGET!H20</f>
        <v>0.6453025869</v>
      </c>
      <c r="I15" s="115">
        <f>BUDGET!I29/BUDGET!I20</f>
        <v>0.6453007772</v>
      </c>
      <c r="J15" s="115">
        <f>BUDGET!J29/BUDGET!J20</f>
        <v>0.6453008334</v>
      </c>
      <c r="K15" s="115">
        <f>BUDGET!K29/BUDGET!K20</f>
        <v>0.6453007438</v>
      </c>
      <c r="L15" s="115">
        <f>BUDGET!L29/BUDGET!L20</f>
        <v>0.6453007772</v>
      </c>
      <c r="M15" s="115">
        <f>BUDGET!M29/BUDGET!M20</f>
        <v>0.6453009475</v>
      </c>
      <c r="N15" s="115"/>
    </row>
    <row r="16" ht="12.75" customHeight="1">
      <c r="A16" s="124" t="s">
        <v>74</v>
      </c>
      <c r="B16" s="74">
        <f>BUDGET!B31/1000</f>
        <v>173.602</v>
      </c>
      <c r="C16" s="74">
        <f>BUDGET!C31/1000</f>
        <v>177.966</v>
      </c>
      <c r="D16" s="74">
        <f>BUDGET!D31/1000</f>
        <v>181.12</v>
      </c>
      <c r="E16" s="74">
        <f>BUDGET!E31/1000</f>
        <v>202.472</v>
      </c>
      <c r="F16" s="74">
        <f>BUDGET!F31/1000</f>
        <v>199.197</v>
      </c>
      <c r="G16" s="74">
        <f>BUDGET!G31/1000</f>
        <v>194.961</v>
      </c>
      <c r="H16" s="74">
        <f>BUDGET!H31/1000</f>
        <v>194.469</v>
      </c>
      <c r="I16" s="74">
        <f>BUDGET!I31/1000</f>
        <v>197.122</v>
      </c>
      <c r="J16" s="74">
        <f>BUDGET!J31/1000</f>
        <v>196.811</v>
      </c>
      <c r="K16" s="74">
        <f>BUDGET!K31/1000</f>
        <v>203.017</v>
      </c>
      <c r="L16" s="74">
        <f>BUDGET!L31/1000</f>
        <v>214.117</v>
      </c>
      <c r="M16" s="74">
        <f>BUDGET!M31/1000</f>
        <v>222.001</v>
      </c>
      <c r="N16" s="74">
        <f t="shared" ref="N16:N17" si="2">SUM(B16:M16)</f>
        <v>2356.855</v>
      </c>
    </row>
    <row r="17" ht="12.75" customHeight="1">
      <c r="A17" s="124" t="s">
        <v>75</v>
      </c>
      <c r="B17" s="74">
        <f>BUDGET!B35/1000</f>
        <v>40.905</v>
      </c>
      <c r="C17" s="74">
        <f>BUDGET!C35/1000</f>
        <v>120.179</v>
      </c>
      <c r="D17" s="74">
        <f>BUDGET!D35/1000</f>
        <v>113.838</v>
      </c>
      <c r="E17" s="74">
        <f>BUDGET!E35/1000</f>
        <v>65.837</v>
      </c>
      <c r="F17" s="74">
        <f>BUDGET!F35/1000</f>
        <v>91.475</v>
      </c>
      <c r="G17" s="74">
        <f>BUDGET!G35/1000</f>
        <v>87.018</v>
      </c>
      <c r="H17" s="74">
        <f>BUDGET!H35/1000</f>
        <v>81.171</v>
      </c>
      <c r="I17" s="74">
        <f>BUDGET!I35/1000</f>
        <v>90.153</v>
      </c>
      <c r="J17" s="74">
        <f>BUDGET!J35/1000</f>
        <v>71.105</v>
      </c>
      <c r="K17" s="74">
        <f>BUDGET!K35/1000</f>
        <v>97.163</v>
      </c>
      <c r="L17" s="74">
        <f>BUDGET!L35/1000</f>
        <v>73.158</v>
      </c>
      <c r="M17" s="74">
        <f>BUDGET!M35/1000</f>
        <v>13.65</v>
      </c>
      <c r="N17" s="74">
        <f t="shared" si="2"/>
        <v>945.652</v>
      </c>
    </row>
    <row r="18" ht="12.75" customHeight="1">
      <c r="A18" s="12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ht="12.75" customHeight="1">
      <c r="A19" s="77" t="s">
        <v>5</v>
      </c>
    </row>
    <row r="20" ht="12.75" customHeight="1">
      <c r="A20" s="124" t="s">
        <v>69</v>
      </c>
      <c r="B20" s="74">
        <f>ACTUAL!B13/1000</f>
        <v>303.34966</v>
      </c>
      <c r="C20" s="74">
        <f>ACTUAL!C13/1000</f>
        <v>347.62908</v>
      </c>
      <c r="D20" s="74">
        <f>ACTUAL!D13/1000</f>
        <v>470.62739</v>
      </c>
      <c r="E20" s="74">
        <f>ACTUAL!E13/1000</f>
        <v>389.91994</v>
      </c>
      <c r="F20" s="74">
        <f>ACTUAL!F13/1000</f>
        <v>417.83426</v>
      </c>
      <c r="G20" s="74">
        <f>ACTUAL!G13/1000</f>
        <v>0</v>
      </c>
      <c r="H20" s="74">
        <f>ACTUAL!H13/1000</f>
        <v>0</v>
      </c>
      <c r="I20" s="74">
        <f>ACTUAL!I13/1000</f>
        <v>0</v>
      </c>
      <c r="J20" s="74">
        <f>ACTUAL!J13/1000</f>
        <v>0</v>
      </c>
      <c r="K20" s="74">
        <f>ACTUAL!K13/1000</f>
        <v>0</v>
      </c>
      <c r="L20" s="74">
        <f>ACTUAL!L13/1000</f>
        <v>0</v>
      </c>
      <c r="M20" s="74">
        <f>ACTUAL!M13/1000</f>
        <v>0</v>
      </c>
      <c r="N20" s="74">
        <f>SUM(B20:M20)</f>
        <v>1929.36033</v>
      </c>
    </row>
    <row r="21" ht="12.75" customHeight="1">
      <c r="A21" s="124" t="s">
        <v>281</v>
      </c>
      <c r="B21" s="115">
        <f>ACTUAL!B22/ACTUAL!B20</f>
        <v>0.0008101143345</v>
      </c>
      <c r="C21" s="115">
        <f>ACTUAL!C22/ACTUAL!C20</f>
        <v>0.0005896663455</v>
      </c>
      <c r="D21" s="115">
        <f>ACTUAL!D22/ACTUAL!D20</f>
        <v>0.0004347115244</v>
      </c>
      <c r="E21" s="115">
        <f>ACTUAL!E22/ACTUAL!E20</f>
        <v>0.0005227386943</v>
      </c>
      <c r="F21" s="115">
        <f>ACTUAL!F22/ACTUAL!F20</f>
        <v>0.0004869936503</v>
      </c>
      <c r="G21" s="115" t="str">
        <f>ACTUAL!G22/ACTUAL!G20</f>
        <v>#DIV/0!</v>
      </c>
      <c r="H21" s="115" t="str">
        <f>ACTUAL!H22/ACTUAL!H20</f>
        <v>#DIV/0!</v>
      </c>
      <c r="I21" s="115" t="str">
        <f>ACTUAL!I22/ACTUAL!I20</f>
        <v>#DIV/0!</v>
      </c>
      <c r="J21" s="115" t="str">
        <f>ACTUAL!J22/ACTUAL!J20</f>
        <v>#DIV/0!</v>
      </c>
      <c r="K21" s="115" t="str">
        <f>ACTUAL!K22/ACTUAL!K20</f>
        <v>#DIV/0!</v>
      </c>
      <c r="L21" s="115" t="str">
        <f>ACTUAL!L22/ACTUAL!L20</f>
        <v>#DIV/0!</v>
      </c>
      <c r="M21" s="115" t="str">
        <f>ACTUAL!M22/ACTUAL!M20</f>
        <v>#DIV/0!</v>
      </c>
      <c r="N21" s="74"/>
    </row>
    <row r="22" ht="12.75" customHeight="1">
      <c r="A22" s="124" t="s">
        <v>282</v>
      </c>
      <c r="B22" s="115">
        <f>ACTUAL!B23/ACTUAL!B20</f>
        <v>0.3432742807</v>
      </c>
      <c r="C22" s="115">
        <f>ACTUAL!C23/ACTUAL!C20</f>
        <v>0.3635776935</v>
      </c>
      <c r="D22" s="115">
        <f>ACTUAL!D23/ACTUAL!D20</f>
        <v>0.3373863027</v>
      </c>
      <c r="E22" s="115">
        <f>ACTUAL!E23/ACTUAL!E20</f>
        <v>0.3254459556</v>
      </c>
      <c r="F22" s="115">
        <f>ACTUAL!F23/ACTUAL!F20</f>
        <v>0.3541943628</v>
      </c>
      <c r="G22" s="115" t="str">
        <f>ACTUAL!G23/ACTUAL!G20</f>
        <v>#DIV/0!</v>
      </c>
      <c r="H22" s="115" t="str">
        <f>ACTUAL!H23/ACTUAL!H20</f>
        <v>#DIV/0!</v>
      </c>
      <c r="I22" s="115" t="str">
        <f>ACTUAL!I23/ACTUAL!I20</f>
        <v>#DIV/0!</v>
      </c>
      <c r="J22" s="115" t="str">
        <f>ACTUAL!J23/ACTUAL!J20</f>
        <v>#DIV/0!</v>
      </c>
      <c r="K22" s="115" t="str">
        <f>ACTUAL!K23/ACTUAL!K20</f>
        <v>#DIV/0!</v>
      </c>
      <c r="L22" s="115" t="str">
        <f>ACTUAL!L23/ACTUAL!L20</f>
        <v>#DIV/0!</v>
      </c>
      <c r="M22" s="115" t="str">
        <f>ACTUAL!M23/ACTUAL!M20</f>
        <v>#DIV/0!</v>
      </c>
      <c r="N22" s="115"/>
    </row>
    <row r="23" ht="12.75" customHeight="1">
      <c r="A23" s="124" t="s">
        <v>283</v>
      </c>
      <c r="B23" s="115">
        <f>ACTUAL!B29/ACTUAL!B20</f>
        <v>0.6559156049</v>
      </c>
      <c r="C23" s="115">
        <f>ACTUAL!C29/ACTUAL!C20</f>
        <v>0.6358326401</v>
      </c>
      <c r="D23" s="115">
        <f>ACTUAL!D29/ACTUAL!D20</f>
        <v>0.6621789857</v>
      </c>
      <c r="E23" s="115">
        <f>ACTUAL!E29/ACTUAL!E20</f>
        <v>0.6740313057</v>
      </c>
      <c r="F23" s="115">
        <f>ACTUAL!F29/ACTUAL!F20</f>
        <v>0.6453186436</v>
      </c>
      <c r="G23" s="115" t="str">
        <f>ACTUAL!G29/ACTUAL!G20</f>
        <v>#DIV/0!</v>
      </c>
      <c r="H23" s="115" t="str">
        <f>ACTUAL!H29/ACTUAL!H20</f>
        <v>#DIV/0!</v>
      </c>
      <c r="I23" s="115" t="str">
        <f>ACTUAL!I29/ACTUAL!I20</f>
        <v>#DIV/0!</v>
      </c>
      <c r="J23" s="115" t="str">
        <f>ACTUAL!J29/ACTUAL!J20</f>
        <v>#DIV/0!</v>
      </c>
      <c r="K23" s="115" t="str">
        <f>ACTUAL!K29/ACTUAL!K20</f>
        <v>#DIV/0!</v>
      </c>
      <c r="L23" s="115" t="str">
        <f>ACTUAL!L29/ACTUAL!L20</f>
        <v>#DIV/0!</v>
      </c>
      <c r="M23" s="115" t="str">
        <f>ACTUAL!M29/ACTUAL!M20</f>
        <v>#DIV/0!</v>
      </c>
      <c r="N23" s="115"/>
    </row>
    <row r="24" ht="12.75" customHeight="1">
      <c r="A24" s="124" t="s">
        <v>74</v>
      </c>
      <c r="B24" s="74">
        <f>ACTUAL!B31/1000</f>
        <v>165.54801</v>
      </c>
      <c r="C24" s="74">
        <f>ACTUAL!C31/1000</f>
        <v>162.29088</v>
      </c>
      <c r="D24" s="74">
        <f>ACTUAL!D31/1000</f>
        <v>187.32158</v>
      </c>
      <c r="E24" s="74">
        <f>ACTUAL!E31/1000</f>
        <v>200.37443</v>
      </c>
      <c r="F24" s="74">
        <f>ACTUAL!F31/1000</f>
        <v>205.20161</v>
      </c>
      <c r="G24" s="74">
        <f>ACTUAL!G31/1000</f>
        <v>0</v>
      </c>
      <c r="H24" s="74">
        <f>ACTUAL!H31/1000</f>
        <v>0</v>
      </c>
      <c r="I24" s="74">
        <f>ACTUAL!I31/1000</f>
        <v>0</v>
      </c>
      <c r="J24" s="74">
        <f>ACTUAL!J31/1000</f>
        <v>0</v>
      </c>
      <c r="K24" s="74">
        <f>ACTUAL!K31/1000</f>
        <v>0</v>
      </c>
      <c r="L24" s="74">
        <f>ACTUAL!L31/1000</f>
        <v>0</v>
      </c>
      <c r="M24" s="74">
        <f>ACTUAL!M31/1000</f>
        <v>0</v>
      </c>
      <c r="N24" s="74">
        <f t="shared" ref="N24:N25" si="3">SUM(B24:M24)</f>
        <v>920.73651</v>
      </c>
    </row>
    <row r="25" ht="12.75" customHeight="1">
      <c r="A25" s="124" t="s">
        <v>75</v>
      </c>
      <c r="B25" s="74">
        <f>ACTUAL!B35/1000</f>
        <v>35.27148</v>
      </c>
      <c r="C25" s="74">
        <f>ACTUAL!C35/1000</f>
        <v>62.45757</v>
      </c>
      <c r="D25" s="74">
        <f>ACTUAL!D35/1000</f>
        <v>130.17165</v>
      </c>
      <c r="E25" s="74">
        <f>ACTUAL!E35/1000</f>
        <v>68.38001</v>
      </c>
      <c r="F25" s="74">
        <f>ACTUAL!F35/1000</f>
        <v>70.99042</v>
      </c>
      <c r="G25" s="74">
        <f>ACTUAL!G35/1000</f>
        <v>0</v>
      </c>
      <c r="H25" s="74">
        <f>ACTUAL!H35/1000</f>
        <v>0</v>
      </c>
      <c r="I25" s="74">
        <f>ACTUAL!I35/1000</f>
        <v>0</v>
      </c>
      <c r="J25" s="74">
        <f>ACTUAL!J35/1000</f>
        <v>0</v>
      </c>
      <c r="K25" s="74">
        <f>ACTUAL!K35/1000</f>
        <v>0</v>
      </c>
      <c r="L25" s="74">
        <f>ACTUAL!L35/1000</f>
        <v>0</v>
      </c>
      <c r="M25" s="74">
        <f>ACTUAL!M35/1000</f>
        <v>0</v>
      </c>
      <c r="N25" s="74">
        <f t="shared" si="3"/>
        <v>367.27113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Col="1" outlineLevelRow="1"/>
  <cols>
    <col customWidth="1" hidden="1" min="1" max="1" width="24.71" outlineLevel="1"/>
    <col collapsed="1" customWidth="1" min="2" max="2" width="46.71"/>
    <col customWidth="1" min="3" max="3" width="13.14"/>
    <col customWidth="1" min="4" max="4" width="10.86"/>
    <col customWidth="1" min="5" max="5" width="9.0"/>
    <col customWidth="1" min="6" max="6" width="11.71"/>
    <col customWidth="1" min="7" max="7" width="9.0"/>
    <col customWidth="1" min="8" max="8" width="5.86"/>
    <col customWidth="1" min="9" max="10" width="11.57"/>
    <col customWidth="1" min="11" max="11" width="9.0"/>
    <col customWidth="1" min="12" max="12" width="11.71"/>
    <col customWidth="1" min="13" max="26" width="9.0"/>
  </cols>
  <sheetData>
    <row r="1" ht="12.75" customHeight="1"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ht="12.75" customHeight="1"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</row>
    <row r="3" ht="12.75" customHeight="1">
      <c r="B3" s="202">
        <f>'P&amp;L Summary'!A5</f>
        <v>43221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ht="12.75" customHeight="1">
      <c r="B4" s="10">
        <f>'P&amp;L Summary'!A6</f>
        <v>5</v>
      </c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</row>
    <row r="5" ht="12.75" customHeight="1">
      <c r="C5" s="203" t="s">
        <v>3</v>
      </c>
      <c r="D5" s="204"/>
      <c r="E5" s="204"/>
      <c r="F5" s="204"/>
      <c r="G5" s="205"/>
      <c r="H5" s="206"/>
      <c r="I5" s="207" t="s">
        <v>4</v>
      </c>
      <c r="J5" s="204"/>
      <c r="K5" s="204"/>
      <c r="L5" s="204"/>
      <c r="M5" s="205"/>
    </row>
    <row r="6" ht="39.0" customHeight="1">
      <c r="A6" s="208" t="s">
        <v>285</v>
      </c>
      <c r="B6" s="209" t="s">
        <v>286</v>
      </c>
      <c r="C6" s="210" t="s">
        <v>5</v>
      </c>
      <c r="D6" s="211" t="s">
        <v>6</v>
      </c>
      <c r="E6" s="211" t="s">
        <v>287</v>
      </c>
      <c r="F6" s="211" t="s">
        <v>7</v>
      </c>
      <c r="G6" s="212" t="s">
        <v>287</v>
      </c>
      <c r="H6" s="213"/>
      <c r="I6" s="210" t="s">
        <v>5</v>
      </c>
      <c r="J6" s="211" t="s">
        <v>6</v>
      </c>
      <c r="K6" s="211" t="s">
        <v>287</v>
      </c>
      <c r="L6" s="211" t="s">
        <v>7</v>
      </c>
      <c r="M6" s="212" t="s">
        <v>287</v>
      </c>
    </row>
    <row r="7" ht="12.75" hidden="1" customHeight="1" outlineLevel="1">
      <c r="A7" s="214" t="s">
        <v>288</v>
      </c>
      <c r="B7" s="215" t="s">
        <v>289</v>
      </c>
      <c r="C7" s="216" t="e">
        <v>#N/A</v>
      </c>
      <c r="D7" s="217" t="e">
        <v>#N/A</v>
      </c>
      <c r="E7" s="218" t="str">
        <f t="shared" ref="E7:E20" si="1">IF(D7=0,0,(C7-D7)/D7)</f>
        <v>#N/A</v>
      </c>
      <c r="F7" s="217" t="e">
        <v>#N/A</v>
      </c>
      <c r="G7" s="219" t="str">
        <f t="shared" ref="G7:G20" si="2">IF(F7=0,0,(C7-F7)/F7)</f>
        <v>#N/A</v>
      </c>
      <c r="H7" s="201"/>
      <c r="I7" s="216" t="e">
        <v>#N/A</v>
      </c>
      <c r="J7" s="217" t="e">
        <v>#N/A</v>
      </c>
      <c r="K7" s="218" t="str">
        <f t="shared" ref="K7:K20" si="3">IF(J7=0,0,(I7-J7)/J7)</f>
        <v>#N/A</v>
      </c>
      <c r="L7" s="217" t="e">
        <v>#N/A</v>
      </c>
      <c r="M7" s="219" t="str">
        <f t="shared" ref="M7:M20" si="4">IF(L7=0,0,(I7-L7)/L7)</f>
        <v>#N/A</v>
      </c>
    </row>
    <row r="8" ht="12.75" hidden="1" customHeight="1" outlineLevel="1">
      <c r="A8" s="214" t="s">
        <v>290</v>
      </c>
      <c r="B8" s="215" t="s">
        <v>291</v>
      </c>
      <c r="C8" s="216" t="e">
        <v>#N/A</v>
      </c>
      <c r="D8" s="220" t="e">
        <v>#N/A</v>
      </c>
      <c r="E8" s="221" t="str">
        <f t="shared" si="1"/>
        <v>#N/A</v>
      </c>
      <c r="F8" s="220" t="e">
        <v>#N/A</v>
      </c>
      <c r="G8" s="219" t="str">
        <f t="shared" si="2"/>
        <v>#N/A</v>
      </c>
      <c r="H8" s="201"/>
      <c r="I8" s="222" t="e">
        <v>#N/A</v>
      </c>
      <c r="J8" s="220" t="e">
        <v>#N/A</v>
      </c>
      <c r="K8" s="221" t="str">
        <f t="shared" si="3"/>
        <v>#N/A</v>
      </c>
      <c r="L8" s="220" t="e">
        <v>#N/A</v>
      </c>
      <c r="M8" s="219" t="str">
        <f t="shared" si="4"/>
        <v>#N/A</v>
      </c>
    </row>
    <row r="9" ht="12.75" hidden="1" customHeight="1" outlineLevel="1">
      <c r="A9" s="214" t="s">
        <v>292</v>
      </c>
      <c r="B9" s="215" t="s">
        <v>293</v>
      </c>
      <c r="C9" s="216" t="e">
        <v>#N/A</v>
      </c>
      <c r="D9" s="220" t="e">
        <v>#N/A</v>
      </c>
      <c r="E9" s="221" t="str">
        <f t="shared" si="1"/>
        <v>#N/A</v>
      </c>
      <c r="F9" s="220" t="e">
        <v>#N/A</v>
      </c>
      <c r="G9" s="219" t="str">
        <f t="shared" si="2"/>
        <v>#N/A</v>
      </c>
      <c r="H9" s="201"/>
      <c r="I9" s="222" t="e">
        <v>#N/A</v>
      </c>
      <c r="J9" s="220" t="e">
        <v>#N/A</v>
      </c>
      <c r="K9" s="221" t="str">
        <f t="shared" si="3"/>
        <v>#N/A</v>
      </c>
      <c r="L9" s="220" t="e">
        <v>#N/A</v>
      </c>
      <c r="M9" s="219" t="str">
        <f t="shared" si="4"/>
        <v>#N/A</v>
      </c>
    </row>
    <row r="10" ht="12.75" hidden="1" customHeight="1" outlineLevel="1">
      <c r="A10" s="214" t="s">
        <v>294</v>
      </c>
      <c r="B10" s="215" t="s">
        <v>295</v>
      </c>
      <c r="C10" s="216" t="e">
        <v>#N/A</v>
      </c>
      <c r="D10" s="220" t="e">
        <v>#N/A</v>
      </c>
      <c r="E10" s="221" t="str">
        <f t="shared" si="1"/>
        <v>#N/A</v>
      </c>
      <c r="F10" s="220" t="e">
        <v>#N/A</v>
      </c>
      <c r="G10" s="219" t="str">
        <f t="shared" si="2"/>
        <v>#N/A</v>
      </c>
      <c r="H10" s="201"/>
      <c r="I10" s="222" t="e">
        <v>#N/A</v>
      </c>
      <c r="J10" s="220" t="e">
        <v>#N/A</v>
      </c>
      <c r="K10" s="221" t="str">
        <f t="shared" si="3"/>
        <v>#N/A</v>
      </c>
      <c r="L10" s="220" t="e">
        <v>#N/A</v>
      </c>
      <c r="M10" s="219" t="str">
        <f t="shared" si="4"/>
        <v>#N/A</v>
      </c>
    </row>
    <row r="11" ht="12.75" customHeight="1" collapsed="1">
      <c r="A11" s="223" t="s">
        <v>296</v>
      </c>
      <c r="B11" s="224" t="s">
        <v>297</v>
      </c>
      <c r="C11" s="225" t="str">
        <f t="shared" ref="C11:D11" si="5">SUM(C7:C10)</f>
        <v>#N/A</v>
      </c>
      <c r="D11" s="226" t="str">
        <f t="shared" si="5"/>
        <v>#N/A</v>
      </c>
      <c r="E11" s="227" t="str">
        <f t="shared" si="1"/>
        <v>#N/A</v>
      </c>
      <c r="F11" s="226" t="str">
        <f>SUM(F7:F10)</f>
        <v>#N/A</v>
      </c>
      <c r="G11" s="228" t="str">
        <f t="shared" si="2"/>
        <v>#N/A</v>
      </c>
      <c r="H11" s="206"/>
      <c r="I11" s="225" t="str">
        <f t="shared" ref="I11:J11" si="6">SUM(I7:I10)</f>
        <v>#N/A</v>
      </c>
      <c r="J11" s="226" t="str">
        <f t="shared" si="6"/>
        <v>#N/A</v>
      </c>
      <c r="K11" s="227" t="str">
        <f t="shared" si="3"/>
        <v>#N/A</v>
      </c>
      <c r="L11" s="226" t="str">
        <f>SUM(L7:L10)</f>
        <v>#N/A</v>
      </c>
      <c r="M11" s="228" t="str">
        <f t="shared" si="4"/>
        <v>#N/A</v>
      </c>
    </row>
    <row r="12" ht="12.75" hidden="1" customHeight="1" outlineLevel="1">
      <c r="A12" s="229" t="s">
        <v>298</v>
      </c>
      <c r="B12" s="230" t="s">
        <v>299</v>
      </c>
      <c r="C12" s="216" t="e">
        <v>#N/A</v>
      </c>
      <c r="D12" s="231" t="e">
        <v>#N/A</v>
      </c>
      <c r="E12" s="232" t="str">
        <f t="shared" si="1"/>
        <v>#N/A</v>
      </c>
      <c r="F12" s="231" t="e">
        <v>#N/A</v>
      </c>
      <c r="G12" s="233" t="str">
        <f t="shared" si="2"/>
        <v>#N/A</v>
      </c>
      <c r="H12" s="234"/>
      <c r="I12" s="235" t="e">
        <v>#N/A</v>
      </c>
      <c r="J12" s="231" t="e">
        <v>#N/A</v>
      </c>
      <c r="K12" s="232" t="str">
        <f t="shared" si="3"/>
        <v>#N/A</v>
      </c>
      <c r="L12" s="231" t="e">
        <v>#N/A</v>
      </c>
      <c r="M12" s="233" t="str">
        <f t="shared" si="4"/>
        <v>#N/A</v>
      </c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</row>
    <row r="13" ht="12.75" hidden="1" customHeight="1" outlineLevel="1">
      <c r="A13" s="229" t="s">
        <v>300</v>
      </c>
      <c r="B13" s="230" t="s">
        <v>302</v>
      </c>
      <c r="C13" s="216" t="e">
        <v>#N/A</v>
      </c>
      <c r="D13" s="231" t="e">
        <v>#N/A</v>
      </c>
      <c r="E13" s="232" t="str">
        <f t="shared" si="1"/>
        <v>#N/A</v>
      </c>
      <c r="F13" s="231" t="e">
        <v>#N/A</v>
      </c>
      <c r="G13" s="233" t="str">
        <f t="shared" si="2"/>
        <v>#N/A</v>
      </c>
      <c r="H13" s="234"/>
      <c r="I13" s="235" t="e">
        <v>#N/A</v>
      </c>
      <c r="J13" s="231" t="e">
        <v>#N/A</v>
      </c>
      <c r="K13" s="232" t="str">
        <f t="shared" si="3"/>
        <v>#N/A</v>
      </c>
      <c r="L13" s="231" t="e">
        <v>#N/A</v>
      </c>
      <c r="M13" s="233" t="str">
        <f t="shared" si="4"/>
        <v>#N/A</v>
      </c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</row>
    <row r="14" ht="12.75" customHeight="1" collapsed="1">
      <c r="A14" s="237" t="s">
        <v>307</v>
      </c>
      <c r="B14" s="224" t="s">
        <v>309</v>
      </c>
      <c r="C14" s="225" t="str">
        <f t="shared" ref="C14:D14" si="7">C13+C12+C11</f>
        <v>#N/A</v>
      </c>
      <c r="D14" s="226" t="str">
        <f t="shared" si="7"/>
        <v>#N/A</v>
      </c>
      <c r="E14" s="227" t="str">
        <f t="shared" si="1"/>
        <v>#N/A</v>
      </c>
      <c r="F14" s="226" t="str">
        <f>F13+F12+F11</f>
        <v>#N/A</v>
      </c>
      <c r="G14" s="228" t="str">
        <f t="shared" si="2"/>
        <v>#N/A</v>
      </c>
      <c r="H14" s="201"/>
      <c r="I14" s="225" t="str">
        <f t="shared" ref="I14:J14" si="8">I13+I12+I11</f>
        <v>#N/A</v>
      </c>
      <c r="J14" s="226" t="str">
        <f t="shared" si="8"/>
        <v>#N/A</v>
      </c>
      <c r="K14" s="227" t="str">
        <f t="shared" si="3"/>
        <v>#N/A</v>
      </c>
      <c r="L14" s="226" t="str">
        <f>L13+L12+L11</f>
        <v>#N/A</v>
      </c>
      <c r="M14" s="228" t="str">
        <f t="shared" si="4"/>
        <v>#N/A</v>
      </c>
    </row>
    <row r="15" ht="12.75" hidden="1" customHeight="1" outlineLevel="1">
      <c r="A15" s="229" t="s">
        <v>310</v>
      </c>
      <c r="B15" s="230" t="s">
        <v>311</v>
      </c>
      <c r="C15" s="216" t="e">
        <v>#N/A</v>
      </c>
      <c r="D15" s="231" t="e">
        <v>#N/A</v>
      </c>
      <c r="E15" s="232" t="str">
        <f t="shared" si="1"/>
        <v>#N/A</v>
      </c>
      <c r="F15" s="231" t="e">
        <v>#N/A</v>
      </c>
      <c r="G15" s="233" t="str">
        <f t="shared" si="2"/>
        <v>#N/A</v>
      </c>
      <c r="H15" s="234"/>
      <c r="I15" s="235" t="e">
        <v>#N/A</v>
      </c>
      <c r="J15" s="231" t="e">
        <v>#N/A</v>
      </c>
      <c r="K15" s="232" t="str">
        <f t="shared" si="3"/>
        <v>#N/A</v>
      </c>
      <c r="L15" s="231" t="e">
        <v>#N/A</v>
      </c>
      <c r="M15" s="233" t="str">
        <f t="shared" si="4"/>
        <v>#N/A</v>
      </c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</row>
    <row r="16" ht="12.75" hidden="1" customHeight="1" outlineLevel="1">
      <c r="A16" s="229" t="s">
        <v>314</v>
      </c>
      <c r="B16" s="230" t="s">
        <v>315</v>
      </c>
      <c r="C16" s="216" t="e">
        <v>#N/A</v>
      </c>
      <c r="D16" s="231" t="e">
        <v>#N/A</v>
      </c>
      <c r="E16" s="232" t="str">
        <f t="shared" si="1"/>
        <v>#N/A</v>
      </c>
      <c r="F16" s="231" t="e">
        <v>#N/A</v>
      </c>
      <c r="G16" s="233" t="str">
        <f t="shared" si="2"/>
        <v>#N/A</v>
      </c>
      <c r="H16" s="234"/>
      <c r="I16" s="235" t="e">
        <v>#N/A</v>
      </c>
      <c r="J16" s="231" t="e">
        <v>#N/A</v>
      </c>
      <c r="K16" s="232" t="str">
        <f t="shared" si="3"/>
        <v>#N/A</v>
      </c>
      <c r="L16" s="231" t="e">
        <v>#N/A</v>
      </c>
      <c r="M16" s="233" t="str">
        <f t="shared" si="4"/>
        <v>#N/A</v>
      </c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</row>
    <row r="17" ht="12.75" customHeight="1" collapsed="1">
      <c r="A17" s="223" t="s">
        <v>316</v>
      </c>
      <c r="B17" s="224" t="s">
        <v>317</v>
      </c>
      <c r="C17" s="225" t="str">
        <f t="shared" ref="C17:D17" si="9">C16+C15</f>
        <v>#N/A</v>
      </c>
      <c r="D17" s="226" t="str">
        <f t="shared" si="9"/>
        <v>#N/A</v>
      </c>
      <c r="E17" s="227" t="str">
        <f t="shared" si="1"/>
        <v>#N/A</v>
      </c>
      <c r="F17" s="226" t="str">
        <f>F16+F15</f>
        <v>#N/A</v>
      </c>
      <c r="G17" s="228" t="str">
        <f t="shared" si="2"/>
        <v>#N/A</v>
      </c>
      <c r="H17" s="201"/>
      <c r="I17" s="225" t="str">
        <f t="shared" ref="I17:J17" si="10">I16+I15</f>
        <v>#N/A</v>
      </c>
      <c r="J17" s="226" t="str">
        <f t="shared" si="10"/>
        <v>#N/A</v>
      </c>
      <c r="K17" s="227" t="str">
        <f t="shared" si="3"/>
        <v>#N/A</v>
      </c>
      <c r="L17" s="226" t="str">
        <f>L16+L15</f>
        <v>#N/A</v>
      </c>
      <c r="M17" s="228" t="str">
        <f t="shared" si="4"/>
        <v>#N/A</v>
      </c>
    </row>
    <row r="18" ht="12.75" hidden="1" customHeight="1" outlineLevel="1">
      <c r="A18" s="229" t="s">
        <v>320</v>
      </c>
      <c r="B18" s="230" t="s">
        <v>321</v>
      </c>
      <c r="C18" s="216" t="e">
        <v>#N/A</v>
      </c>
      <c r="D18" s="231" t="e">
        <v>#N/A</v>
      </c>
      <c r="E18" s="232" t="str">
        <f t="shared" si="1"/>
        <v>#N/A</v>
      </c>
      <c r="F18" s="231" t="e">
        <v>#N/A</v>
      </c>
      <c r="G18" s="233" t="str">
        <f t="shared" si="2"/>
        <v>#N/A</v>
      </c>
      <c r="H18" s="234"/>
      <c r="I18" s="235" t="e">
        <v>#N/A</v>
      </c>
      <c r="J18" s="231" t="e">
        <v>#N/A</v>
      </c>
      <c r="K18" s="232" t="str">
        <f t="shared" si="3"/>
        <v>#N/A</v>
      </c>
      <c r="L18" s="231" t="e">
        <v>#N/A</v>
      </c>
      <c r="M18" s="233" t="str">
        <f t="shared" si="4"/>
        <v>#N/A</v>
      </c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</row>
    <row r="19" ht="12.75" hidden="1" customHeight="1" outlineLevel="1">
      <c r="A19" s="229" t="s">
        <v>322</v>
      </c>
      <c r="B19" s="230" t="s">
        <v>323</v>
      </c>
      <c r="C19" s="216" t="e">
        <v>#N/A</v>
      </c>
      <c r="D19" s="231" t="e">
        <v>#N/A</v>
      </c>
      <c r="E19" s="232" t="str">
        <f t="shared" si="1"/>
        <v>#N/A</v>
      </c>
      <c r="F19" s="231" t="e">
        <v>#N/A</v>
      </c>
      <c r="G19" s="233" t="str">
        <f t="shared" si="2"/>
        <v>#N/A</v>
      </c>
      <c r="H19" s="234"/>
      <c r="I19" s="235" t="e">
        <v>#N/A</v>
      </c>
      <c r="J19" s="231" t="e">
        <v>#N/A</v>
      </c>
      <c r="K19" s="232" t="str">
        <f t="shared" si="3"/>
        <v>#N/A</v>
      </c>
      <c r="L19" s="231" t="e">
        <v>#N/A</v>
      </c>
      <c r="M19" s="233" t="str">
        <f t="shared" si="4"/>
        <v>#N/A</v>
      </c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</row>
    <row r="20" ht="12.75" customHeight="1" collapsed="1">
      <c r="A20" s="237" t="s">
        <v>326</v>
      </c>
      <c r="B20" s="224" t="s">
        <v>327</v>
      </c>
      <c r="C20" s="225" t="str">
        <f t="shared" ref="C20:D20" si="11">C19+C18+C17</f>
        <v>#N/A</v>
      </c>
      <c r="D20" s="226" t="str">
        <f t="shared" si="11"/>
        <v>#N/A</v>
      </c>
      <c r="E20" s="227" t="str">
        <f t="shared" si="1"/>
        <v>#N/A</v>
      </c>
      <c r="F20" s="226" t="str">
        <f>F19+F18+F17</f>
        <v>#N/A</v>
      </c>
      <c r="G20" s="228" t="str">
        <f t="shared" si="2"/>
        <v>#N/A</v>
      </c>
      <c r="H20" s="201"/>
      <c r="I20" s="225" t="str">
        <f t="shared" ref="I20:J20" si="12">I19+I18+I17</f>
        <v>#N/A</v>
      </c>
      <c r="J20" s="226" t="str">
        <f t="shared" si="12"/>
        <v>#N/A</v>
      </c>
      <c r="K20" s="227" t="str">
        <f t="shared" si="3"/>
        <v>#N/A</v>
      </c>
      <c r="L20" s="226" t="str">
        <f>L19+L18+L17</f>
        <v>#N/A</v>
      </c>
      <c r="M20" s="228" t="str">
        <f t="shared" si="4"/>
        <v>#N/A</v>
      </c>
    </row>
    <row r="21" ht="12.75" customHeight="1">
      <c r="A21" s="245"/>
      <c r="B21" s="247"/>
      <c r="C21" s="248"/>
      <c r="D21" s="250"/>
      <c r="E21" s="247"/>
      <c r="F21" s="250"/>
      <c r="G21" s="251"/>
      <c r="H21" s="201"/>
      <c r="I21" s="252"/>
      <c r="J21" s="250"/>
      <c r="K21" s="254"/>
      <c r="L21" s="250"/>
      <c r="M21" s="251"/>
    </row>
    <row r="22" ht="12.75" customHeight="1">
      <c r="A22" s="255" t="s">
        <v>336</v>
      </c>
      <c r="B22" s="256" t="s">
        <v>32</v>
      </c>
      <c r="C22" s="257" t="str">
        <f t="shared" ref="C22:D22" si="13">C20+C14</f>
        <v>#N/A</v>
      </c>
      <c r="D22" s="258" t="str">
        <f t="shared" si="13"/>
        <v>#N/A</v>
      </c>
      <c r="E22" s="260" t="str">
        <f t="shared" ref="E22:E35" si="15">IF(D22=0,0,(C22-D22)/D22)</f>
        <v>#N/A</v>
      </c>
      <c r="F22" s="258" t="str">
        <f>F20+F14</f>
        <v>#N/A</v>
      </c>
      <c r="G22" s="261" t="str">
        <f t="shared" ref="G22:G35" si="16">IF(F22=0,0,(C22-F22)/F22)</f>
        <v>#N/A</v>
      </c>
      <c r="H22" s="201"/>
      <c r="I22" s="257" t="str">
        <f t="shared" ref="I22:J22" si="14">I20+I14</f>
        <v>#N/A</v>
      </c>
      <c r="J22" s="258" t="str">
        <f t="shared" si="14"/>
        <v>#N/A</v>
      </c>
      <c r="K22" s="260" t="str">
        <f t="shared" ref="K22:K35" si="17">IF(J22=0,0,(I22-J22)/J22)</f>
        <v>#N/A</v>
      </c>
      <c r="L22" s="258" t="str">
        <f>L20+L14</f>
        <v>#N/A</v>
      </c>
      <c r="M22" s="261" t="str">
        <f t="shared" ref="M22:M35" si="18">IF(L22=0,0,(I22-L22)/L22)</f>
        <v>#N/A</v>
      </c>
    </row>
    <row r="23" ht="12.75" customHeight="1" outlineLevel="1">
      <c r="A23" s="229" t="s">
        <v>346</v>
      </c>
      <c r="B23" s="230" t="s">
        <v>347</v>
      </c>
      <c r="C23" s="216" t="e">
        <v>#N/A</v>
      </c>
      <c r="D23" s="231" t="e">
        <v>#N/A</v>
      </c>
      <c r="E23" s="232" t="str">
        <f t="shared" si="15"/>
        <v>#N/A</v>
      </c>
      <c r="F23" s="231" t="e">
        <v>#N/A</v>
      </c>
      <c r="G23" s="233" t="str">
        <f t="shared" si="16"/>
        <v>#N/A</v>
      </c>
      <c r="H23" s="234"/>
      <c r="I23" s="235" t="e">
        <v>#N/A</v>
      </c>
      <c r="J23" s="231" t="e">
        <v>#N/A</v>
      </c>
      <c r="K23" s="232" t="str">
        <f t="shared" si="17"/>
        <v>#N/A</v>
      </c>
      <c r="L23" s="231" t="e">
        <v>#N/A</v>
      </c>
      <c r="M23" s="233" t="str">
        <f t="shared" si="18"/>
        <v>#N/A</v>
      </c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</row>
    <row r="24" ht="12.75" customHeight="1" outlineLevel="1">
      <c r="A24" s="229" t="s">
        <v>351</v>
      </c>
      <c r="B24" s="230" t="s">
        <v>352</v>
      </c>
      <c r="C24" s="216" t="e">
        <v>#N/A</v>
      </c>
      <c r="D24" s="231" t="e">
        <v>#N/A</v>
      </c>
      <c r="E24" s="232" t="str">
        <f t="shared" si="15"/>
        <v>#N/A</v>
      </c>
      <c r="F24" s="231" t="e">
        <v>#N/A</v>
      </c>
      <c r="G24" s="233" t="str">
        <f t="shared" si="16"/>
        <v>#N/A</v>
      </c>
      <c r="H24" s="234"/>
      <c r="I24" s="235" t="e">
        <v>#N/A</v>
      </c>
      <c r="J24" s="231" t="e">
        <v>#N/A</v>
      </c>
      <c r="K24" s="232" t="str">
        <f t="shared" si="17"/>
        <v>#N/A</v>
      </c>
      <c r="L24" s="231" t="e">
        <v>#N/A</v>
      </c>
      <c r="M24" s="233" t="str">
        <f t="shared" si="18"/>
        <v>#N/A</v>
      </c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</row>
    <row r="25" ht="12.75" customHeight="1" outlineLevel="1">
      <c r="A25" s="229" t="s">
        <v>354</v>
      </c>
      <c r="B25" s="230" t="s">
        <v>355</v>
      </c>
      <c r="C25" s="216" t="e">
        <v>#N/A</v>
      </c>
      <c r="D25" s="231" t="e">
        <v>#N/A</v>
      </c>
      <c r="E25" s="232" t="str">
        <f t="shared" si="15"/>
        <v>#N/A</v>
      </c>
      <c r="F25" s="231" t="e">
        <v>#N/A</v>
      </c>
      <c r="G25" s="233" t="str">
        <f t="shared" si="16"/>
        <v>#N/A</v>
      </c>
      <c r="H25" s="234"/>
      <c r="I25" s="235" t="e">
        <v>#N/A</v>
      </c>
      <c r="J25" s="231" t="e">
        <v>#N/A</v>
      </c>
      <c r="K25" s="232" t="str">
        <f t="shared" si="17"/>
        <v>#N/A</v>
      </c>
      <c r="L25" s="231" t="e">
        <v>#N/A</v>
      </c>
      <c r="M25" s="233" t="str">
        <f t="shared" si="18"/>
        <v>#N/A</v>
      </c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</row>
    <row r="26" ht="12.75" customHeight="1" outlineLevel="1">
      <c r="A26" s="229" t="s">
        <v>356</v>
      </c>
      <c r="B26" s="230" t="s">
        <v>357</v>
      </c>
      <c r="C26" s="216" t="e">
        <v>#N/A</v>
      </c>
      <c r="D26" s="231" t="e">
        <v>#N/A</v>
      </c>
      <c r="E26" s="232" t="str">
        <f t="shared" si="15"/>
        <v>#N/A</v>
      </c>
      <c r="F26" s="231" t="e">
        <v>#N/A</v>
      </c>
      <c r="G26" s="233" t="str">
        <f t="shared" si="16"/>
        <v>#N/A</v>
      </c>
      <c r="H26" s="234"/>
      <c r="I26" s="235" t="e">
        <v>#N/A</v>
      </c>
      <c r="J26" s="231" t="e">
        <v>#N/A</v>
      </c>
      <c r="K26" s="232" t="str">
        <f t="shared" si="17"/>
        <v>#N/A</v>
      </c>
      <c r="L26" s="231" t="e">
        <v>#N/A</v>
      </c>
      <c r="M26" s="233" t="str">
        <f t="shared" si="18"/>
        <v>#N/A</v>
      </c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</row>
    <row r="27" ht="12.75" customHeight="1" outlineLevel="1">
      <c r="A27" s="229" t="s">
        <v>358</v>
      </c>
      <c r="B27" s="230" t="s">
        <v>359</v>
      </c>
      <c r="C27" s="216" t="e">
        <v>#N/A</v>
      </c>
      <c r="D27" s="231" t="e">
        <v>#N/A</v>
      </c>
      <c r="E27" s="232" t="str">
        <f t="shared" si="15"/>
        <v>#N/A</v>
      </c>
      <c r="F27" s="231" t="e">
        <v>#N/A</v>
      </c>
      <c r="G27" s="233" t="str">
        <f t="shared" si="16"/>
        <v>#N/A</v>
      </c>
      <c r="H27" s="234"/>
      <c r="I27" s="235" t="e">
        <v>#N/A</v>
      </c>
      <c r="J27" s="231" t="e">
        <v>#N/A</v>
      </c>
      <c r="K27" s="232" t="str">
        <f t="shared" si="17"/>
        <v>#N/A</v>
      </c>
      <c r="L27" s="231" t="e">
        <v>#N/A</v>
      </c>
      <c r="M27" s="233" t="str">
        <f t="shared" si="18"/>
        <v>#N/A</v>
      </c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</row>
    <row r="28" ht="12.75" customHeight="1">
      <c r="A28" s="237" t="s">
        <v>360</v>
      </c>
      <c r="B28" s="224" t="s">
        <v>361</v>
      </c>
      <c r="C28" s="225" t="str">
        <f t="shared" ref="C28:D28" si="19">SUM(C23:C27)</f>
        <v>#N/A</v>
      </c>
      <c r="D28" s="226" t="str">
        <f t="shared" si="19"/>
        <v>#N/A</v>
      </c>
      <c r="E28" s="227" t="str">
        <f t="shared" si="15"/>
        <v>#N/A</v>
      </c>
      <c r="F28" s="226" t="str">
        <f>SUM(F23:F27)</f>
        <v>#N/A</v>
      </c>
      <c r="G28" s="228" t="str">
        <f t="shared" si="16"/>
        <v>#N/A</v>
      </c>
      <c r="H28" s="201"/>
      <c r="I28" s="225" t="str">
        <f t="shared" ref="I28:J28" si="20">SUM(I23:I27)</f>
        <v>#N/A</v>
      </c>
      <c r="J28" s="226" t="str">
        <f t="shared" si="20"/>
        <v>#N/A</v>
      </c>
      <c r="K28" s="227" t="str">
        <f t="shared" si="17"/>
        <v>#N/A</v>
      </c>
      <c r="L28" s="226" t="str">
        <f>SUM(L23:L27)</f>
        <v>#N/A</v>
      </c>
      <c r="M28" s="228" t="str">
        <f t="shared" si="18"/>
        <v>#N/A</v>
      </c>
    </row>
    <row r="29" ht="12.75" hidden="1" customHeight="1" outlineLevel="1">
      <c r="A29" s="229" t="s">
        <v>363</v>
      </c>
      <c r="B29" s="230" t="s">
        <v>364</v>
      </c>
      <c r="C29" s="216" t="e">
        <v>#N/A</v>
      </c>
      <c r="D29" s="231" t="e">
        <v>#N/A</v>
      </c>
      <c r="E29" s="232" t="str">
        <f t="shared" si="15"/>
        <v>#N/A</v>
      </c>
      <c r="F29" s="231" t="e">
        <v>#N/A</v>
      </c>
      <c r="G29" s="233" t="str">
        <f t="shared" si="16"/>
        <v>#N/A</v>
      </c>
      <c r="H29" s="234"/>
      <c r="I29" s="235" t="e">
        <v>#N/A</v>
      </c>
      <c r="J29" s="231" t="e">
        <v>#N/A</v>
      </c>
      <c r="K29" s="232" t="str">
        <f t="shared" si="17"/>
        <v>#N/A</v>
      </c>
      <c r="L29" s="231" t="e">
        <v>#N/A</v>
      </c>
      <c r="M29" s="233" t="str">
        <f t="shared" si="18"/>
        <v>#N/A</v>
      </c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</row>
    <row r="30" ht="12.75" hidden="1" customHeight="1" outlineLevel="1">
      <c r="A30" s="229" t="s">
        <v>366</v>
      </c>
      <c r="B30" s="230" t="s">
        <v>367</v>
      </c>
      <c r="C30" s="216" t="e">
        <v>#N/A</v>
      </c>
      <c r="D30" s="231" t="e">
        <v>#N/A</v>
      </c>
      <c r="E30" s="232" t="str">
        <f t="shared" si="15"/>
        <v>#N/A</v>
      </c>
      <c r="F30" s="231" t="e">
        <v>#N/A</v>
      </c>
      <c r="G30" s="233" t="str">
        <f t="shared" si="16"/>
        <v>#N/A</v>
      </c>
      <c r="H30" s="234"/>
      <c r="I30" s="235" t="e">
        <v>#N/A</v>
      </c>
      <c r="J30" s="231" t="e">
        <v>#N/A</v>
      </c>
      <c r="K30" s="232" t="str">
        <f t="shared" si="17"/>
        <v>#N/A</v>
      </c>
      <c r="L30" s="231" t="e">
        <v>#N/A</v>
      </c>
      <c r="M30" s="233" t="str">
        <f t="shared" si="18"/>
        <v>#N/A</v>
      </c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</row>
    <row r="31" ht="12.75" hidden="1" customHeight="1" outlineLevel="1">
      <c r="A31" s="229" t="s">
        <v>368</v>
      </c>
      <c r="B31" s="230" t="s">
        <v>369</v>
      </c>
      <c r="C31" s="216" t="e">
        <v>#N/A</v>
      </c>
      <c r="D31" s="231" t="e">
        <v>#N/A</v>
      </c>
      <c r="E31" s="232" t="str">
        <f t="shared" si="15"/>
        <v>#N/A</v>
      </c>
      <c r="F31" s="231" t="e">
        <v>#N/A</v>
      </c>
      <c r="G31" s="233" t="str">
        <f t="shared" si="16"/>
        <v>#N/A</v>
      </c>
      <c r="H31" s="234"/>
      <c r="I31" s="235" t="e">
        <v>#N/A</v>
      </c>
      <c r="J31" s="231" t="e">
        <v>#N/A</v>
      </c>
      <c r="K31" s="232" t="str">
        <f t="shared" si="17"/>
        <v>#N/A</v>
      </c>
      <c r="L31" s="231" t="e">
        <v>#N/A</v>
      </c>
      <c r="M31" s="233" t="str">
        <f t="shared" si="18"/>
        <v>#N/A</v>
      </c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</row>
    <row r="32" ht="12.75" customHeight="1" collapsed="1">
      <c r="A32" s="237" t="s">
        <v>371</v>
      </c>
      <c r="B32" s="224" t="s">
        <v>372</v>
      </c>
      <c r="C32" s="225" t="str">
        <f t="shared" ref="C32:D32" si="21">C31+C30+C29</f>
        <v>#N/A</v>
      </c>
      <c r="D32" s="226" t="str">
        <f t="shared" si="21"/>
        <v>#N/A</v>
      </c>
      <c r="E32" s="227" t="str">
        <f t="shared" si="15"/>
        <v>#N/A</v>
      </c>
      <c r="F32" s="226" t="str">
        <f>F31+F30+F29</f>
        <v>#N/A</v>
      </c>
      <c r="G32" s="228" t="str">
        <f t="shared" si="16"/>
        <v>#N/A</v>
      </c>
      <c r="H32" s="201"/>
      <c r="I32" s="225" t="str">
        <f t="shared" ref="I32:J32" si="22">I31+I30+I29</f>
        <v>#N/A</v>
      </c>
      <c r="J32" s="226" t="str">
        <f t="shared" si="22"/>
        <v>#N/A</v>
      </c>
      <c r="K32" s="227" t="str">
        <f t="shared" si="17"/>
        <v>#N/A</v>
      </c>
      <c r="L32" s="226" t="str">
        <f>L31+L30+L29</f>
        <v>#N/A</v>
      </c>
      <c r="M32" s="228" t="str">
        <f t="shared" si="18"/>
        <v>#N/A</v>
      </c>
    </row>
    <row r="33" ht="12.75" hidden="1" customHeight="1" outlineLevel="1">
      <c r="A33" s="229" t="s">
        <v>374</v>
      </c>
      <c r="B33" s="230" t="s">
        <v>375</v>
      </c>
      <c r="C33" s="216" t="e">
        <v>#N/A</v>
      </c>
      <c r="D33" s="231" t="e">
        <v>#N/A</v>
      </c>
      <c r="E33" s="232" t="str">
        <f t="shared" si="15"/>
        <v>#N/A</v>
      </c>
      <c r="F33" s="231" t="e">
        <v>#N/A</v>
      </c>
      <c r="G33" s="233" t="str">
        <f t="shared" si="16"/>
        <v>#N/A</v>
      </c>
      <c r="H33" s="234"/>
      <c r="I33" s="235" t="e">
        <v>#N/A</v>
      </c>
      <c r="J33" s="231" t="e">
        <v>#N/A</v>
      </c>
      <c r="K33" s="232" t="str">
        <f t="shared" si="17"/>
        <v>#N/A</v>
      </c>
      <c r="L33" s="231" t="e">
        <v>#N/A</v>
      </c>
      <c r="M33" s="233" t="str">
        <f t="shared" si="18"/>
        <v>#N/A</v>
      </c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ht="12.75" customHeight="1" collapsed="1">
      <c r="A34" s="255" t="s">
        <v>376</v>
      </c>
      <c r="B34" s="256" t="s">
        <v>377</v>
      </c>
      <c r="C34" s="257" t="str">
        <f t="shared" ref="C34:D34" si="23">C32+C33+C28</f>
        <v>#N/A</v>
      </c>
      <c r="D34" s="258" t="str">
        <f t="shared" si="23"/>
        <v>#N/A</v>
      </c>
      <c r="E34" s="260" t="str">
        <f t="shared" si="15"/>
        <v>#N/A</v>
      </c>
      <c r="F34" s="258" t="str">
        <f>F32+F33+F28</f>
        <v>#N/A</v>
      </c>
      <c r="G34" s="261" t="str">
        <f t="shared" si="16"/>
        <v>#N/A</v>
      </c>
      <c r="H34" s="201"/>
      <c r="I34" s="257" t="str">
        <f t="shared" ref="I34:J34" si="24">I32+I33+I28</f>
        <v>#N/A</v>
      </c>
      <c r="J34" s="258" t="str">
        <f t="shared" si="24"/>
        <v>#N/A</v>
      </c>
      <c r="K34" s="260" t="str">
        <f t="shared" si="17"/>
        <v>#N/A</v>
      </c>
      <c r="L34" s="258" t="str">
        <f>L32+L33+L28</f>
        <v>#N/A</v>
      </c>
      <c r="M34" s="261" t="str">
        <f t="shared" si="18"/>
        <v>#N/A</v>
      </c>
    </row>
    <row r="35" ht="12.75" customHeight="1">
      <c r="A35" s="255" t="s">
        <v>380</v>
      </c>
      <c r="B35" s="256" t="s">
        <v>381</v>
      </c>
      <c r="C35" s="257" t="str">
        <f t="shared" ref="C35:D35" si="25">C22-C34</f>
        <v>#N/A</v>
      </c>
      <c r="D35" s="258" t="str">
        <f t="shared" si="25"/>
        <v>#N/A</v>
      </c>
      <c r="E35" s="260" t="str">
        <f t="shared" si="15"/>
        <v>#N/A</v>
      </c>
      <c r="F35" s="258" t="str">
        <f>F22-F34</f>
        <v>#N/A</v>
      </c>
      <c r="G35" s="261" t="str">
        <f t="shared" si="16"/>
        <v>#N/A</v>
      </c>
      <c r="H35" s="201"/>
      <c r="I35" s="257" t="str">
        <f t="shared" ref="I35:J35" si="26">I22-I34</f>
        <v>#N/A</v>
      </c>
      <c r="J35" s="258" t="str">
        <f t="shared" si="26"/>
        <v>#N/A</v>
      </c>
      <c r="K35" s="260" t="str">
        <f t="shared" si="17"/>
        <v>#N/A</v>
      </c>
      <c r="L35" s="258" t="str">
        <f>L22-L34</f>
        <v>#N/A</v>
      </c>
      <c r="M35" s="261" t="str">
        <f t="shared" si="18"/>
        <v>#N/A</v>
      </c>
    </row>
    <row r="36" ht="12.75" customHeight="1">
      <c r="A36" s="262"/>
      <c r="B36" s="263"/>
      <c r="C36" s="264"/>
      <c r="D36" s="265"/>
      <c r="E36" s="263"/>
      <c r="F36" s="265"/>
      <c r="G36" s="266"/>
      <c r="H36" s="201"/>
      <c r="I36" s="267"/>
      <c r="J36" s="265"/>
      <c r="K36" s="263"/>
      <c r="L36" s="265"/>
      <c r="M36" s="266"/>
    </row>
    <row r="37" ht="12.75" customHeight="1">
      <c r="A37" s="262"/>
      <c r="B37" s="263"/>
      <c r="C37" s="267"/>
      <c r="D37" s="265"/>
      <c r="E37" s="263"/>
      <c r="F37" s="265"/>
      <c r="G37" s="266"/>
      <c r="H37" s="201"/>
      <c r="I37" s="267"/>
      <c r="J37" s="265"/>
      <c r="K37" s="263"/>
      <c r="L37" s="265"/>
      <c r="M37" s="266"/>
    </row>
    <row r="38" ht="12.75" hidden="1" customHeight="1" outlineLevel="1">
      <c r="A38" s="268" t="s">
        <v>385</v>
      </c>
      <c r="B38" s="269" t="s">
        <v>386</v>
      </c>
      <c r="C38" s="216" t="e">
        <v>#N/A</v>
      </c>
      <c r="D38" s="270" t="e">
        <v>#N/A</v>
      </c>
      <c r="E38" s="271" t="str">
        <f t="shared" ref="E38:E42" si="27">IF(D38=0,0,(C38-D38)/D38)</f>
        <v>#N/A</v>
      </c>
      <c r="F38" s="270" t="e">
        <v>#N/A</v>
      </c>
      <c r="G38" s="272" t="str">
        <f t="shared" ref="G38:G42" si="28">IF(F38=0,0,(C38-F38)/F38)</f>
        <v>#N/A</v>
      </c>
      <c r="H38" s="201"/>
      <c r="I38" s="273" t="e">
        <v>#N/A</v>
      </c>
      <c r="J38" s="270" t="e">
        <v>#N/A</v>
      </c>
      <c r="K38" s="271" t="str">
        <f t="shared" ref="K38:K87" si="29">IF(J38=0,0,(I38-J38)/J38)</f>
        <v>#N/A</v>
      </c>
      <c r="L38" s="270" t="e">
        <v>#N/A</v>
      </c>
      <c r="M38" s="272" t="str">
        <f t="shared" ref="M38:M42" si="30">IF(L38=0,0,(I38-L38)/L38)</f>
        <v>#N/A</v>
      </c>
    </row>
    <row r="39" ht="12.75" hidden="1" customHeight="1" outlineLevel="1">
      <c r="A39" s="214" t="s">
        <v>390</v>
      </c>
      <c r="B39" s="215" t="s">
        <v>391</v>
      </c>
      <c r="C39" s="216" t="e">
        <v>#N/A</v>
      </c>
      <c r="D39" s="220" t="e">
        <v>#N/A</v>
      </c>
      <c r="E39" s="221" t="str">
        <f t="shared" si="27"/>
        <v>#N/A</v>
      </c>
      <c r="F39" s="220" t="e">
        <v>#N/A</v>
      </c>
      <c r="G39" s="219" t="str">
        <f t="shared" si="28"/>
        <v>#N/A</v>
      </c>
      <c r="H39" s="201"/>
      <c r="I39" s="222" t="e">
        <v>#N/A</v>
      </c>
      <c r="J39" s="220" t="e">
        <v>#N/A</v>
      </c>
      <c r="K39" s="221" t="str">
        <f t="shared" si="29"/>
        <v>#N/A</v>
      </c>
      <c r="L39" s="220" t="e">
        <v>#N/A</v>
      </c>
      <c r="M39" s="219" t="str">
        <f t="shared" si="30"/>
        <v>#N/A</v>
      </c>
    </row>
    <row r="40" ht="12.75" hidden="1" customHeight="1" outlineLevel="1">
      <c r="A40" s="214" t="s">
        <v>392</v>
      </c>
      <c r="B40" s="215" t="s">
        <v>393</v>
      </c>
      <c r="C40" s="216" t="e">
        <v>#N/A</v>
      </c>
      <c r="D40" s="220" t="e">
        <v>#N/A</v>
      </c>
      <c r="E40" s="221" t="str">
        <f t="shared" si="27"/>
        <v>#N/A</v>
      </c>
      <c r="F40" s="220" t="e">
        <v>#N/A</v>
      </c>
      <c r="G40" s="219" t="str">
        <f t="shared" si="28"/>
        <v>#N/A</v>
      </c>
      <c r="H40" s="201"/>
      <c r="I40" s="222" t="e">
        <v>#N/A</v>
      </c>
      <c r="J40" s="220" t="e">
        <v>#N/A</v>
      </c>
      <c r="K40" s="221" t="str">
        <f t="shared" si="29"/>
        <v>#N/A</v>
      </c>
      <c r="L40" s="220" t="e">
        <v>#N/A</v>
      </c>
      <c r="M40" s="219" t="str">
        <f t="shared" si="30"/>
        <v>#N/A</v>
      </c>
    </row>
    <row r="41" ht="12.75" hidden="1" customHeight="1" outlineLevel="1">
      <c r="A41" s="214" t="s">
        <v>395</v>
      </c>
      <c r="B41" s="215" t="s">
        <v>396</v>
      </c>
      <c r="C41" s="216" t="e">
        <v>#N/A</v>
      </c>
      <c r="D41" s="220" t="e">
        <v>#N/A</v>
      </c>
      <c r="E41" s="221" t="str">
        <f t="shared" si="27"/>
        <v>#N/A</v>
      </c>
      <c r="F41" s="220" t="e">
        <v>#N/A</v>
      </c>
      <c r="G41" s="219" t="str">
        <f t="shared" si="28"/>
        <v>#N/A</v>
      </c>
      <c r="H41" s="201"/>
      <c r="I41" s="222" t="e">
        <v>#N/A</v>
      </c>
      <c r="J41" s="220" t="e">
        <v>#N/A</v>
      </c>
      <c r="K41" s="221" t="str">
        <f t="shared" si="29"/>
        <v>#N/A</v>
      </c>
      <c r="L41" s="220" t="e">
        <v>#N/A</v>
      </c>
      <c r="M41" s="219" t="str">
        <f t="shared" si="30"/>
        <v>#N/A</v>
      </c>
    </row>
    <row r="42" ht="12.75" customHeight="1" collapsed="1">
      <c r="A42" s="255" t="s">
        <v>397</v>
      </c>
      <c r="B42" s="256" t="s">
        <v>398</v>
      </c>
      <c r="C42" s="257" t="str">
        <f t="shared" ref="C42:D42" si="31">SUM(C38:C41)</f>
        <v>#N/A</v>
      </c>
      <c r="D42" s="258" t="str">
        <f t="shared" si="31"/>
        <v>#N/A</v>
      </c>
      <c r="E42" s="260" t="str">
        <f t="shared" si="27"/>
        <v>#N/A</v>
      </c>
      <c r="F42" s="258" t="str">
        <f>SUM(F38:F41)</f>
        <v>#N/A</v>
      </c>
      <c r="G42" s="261" t="str">
        <f t="shared" si="28"/>
        <v>#N/A</v>
      </c>
      <c r="H42" s="201"/>
      <c r="I42" s="257" t="str">
        <f t="shared" ref="I42:J42" si="32">SUM(I38:I41)</f>
        <v>#N/A</v>
      </c>
      <c r="J42" s="258" t="str">
        <f t="shared" si="32"/>
        <v>#N/A</v>
      </c>
      <c r="K42" s="260" t="str">
        <f t="shared" si="29"/>
        <v>#N/A</v>
      </c>
      <c r="L42" s="258" t="str">
        <f>SUM(L38:L41)</f>
        <v>#N/A</v>
      </c>
      <c r="M42" s="261" t="str">
        <f t="shared" si="30"/>
        <v>#N/A</v>
      </c>
    </row>
    <row r="43" ht="12.75" customHeight="1">
      <c r="A43" s="245"/>
      <c r="B43" s="247"/>
      <c r="C43" s="248"/>
      <c r="D43" s="250"/>
      <c r="E43" s="247"/>
      <c r="F43" s="250"/>
      <c r="G43" s="251"/>
      <c r="H43" s="201"/>
      <c r="I43" s="252"/>
      <c r="J43" s="250"/>
      <c r="K43" s="254">
        <f t="shared" si="29"/>
        <v>0</v>
      </c>
      <c r="L43" s="250"/>
      <c r="M43" s="251"/>
    </row>
    <row r="44" ht="12.75" customHeight="1">
      <c r="A44" s="255" t="s">
        <v>400</v>
      </c>
      <c r="B44" s="256" t="s">
        <v>401</v>
      </c>
      <c r="C44" s="257" t="str">
        <f t="shared" ref="C44:D44" si="33">C35-C42</f>
        <v>#N/A</v>
      </c>
      <c r="D44" s="258" t="str">
        <f t="shared" si="33"/>
        <v>#N/A</v>
      </c>
      <c r="E44" s="260" t="str">
        <f t="shared" ref="E44:E87" si="35">IF(D44=0,0,(C44-D44)/D44)</f>
        <v>#N/A</v>
      </c>
      <c r="F44" s="258" t="str">
        <f>F35-F42</f>
        <v>#N/A</v>
      </c>
      <c r="G44" s="261" t="str">
        <f t="shared" ref="G44:G87" si="36">IF(F44=0,0,(C44-F44)/F44)</f>
        <v>#N/A</v>
      </c>
      <c r="H44" s="201"/>
      <c r="I44" s="257" t="str">
        <f t="shared" ref="I44:J44" si="34">I35-I42</f>
        <v>#N/A</v>
      </c>
      <c r="J44" s="258" t="str">
        <f t="shared" si="34"/>
        <v>#N/A</v>
      </c>
      <c r="K44" s="260" t="str">
        <f t="shared" si="29"/>
        <v>#N/A</v>
      </c>
      <c r="L44" s="258" t="str">
        <f>L35-L42</f>
        <v>#N/A</v>
      </c>
      <c r="M44" s="261" t="str">
        <f t="shared" ref="M44:M87" si="37">IF(L44=0,0,(I44-L44)/L44)</f>
        <v>#N/A</v>
      </c>
    </row>
    <row r="45" ht="12.75" hidden="1" customHeight="1" outlineLevel="1">
      <c r="A45" s="229" t="s">
        <v>404</v>
      </c>
      <c r="B45" s="230" t="s">
        <v>405</v>
      </c>
      <c r="C45" s="216" t="e">
        <v>#N/A</v>
      </c>
      <c r="D45" s="231" t="e">
        <v>#N/A</v>
      </c>
      <c r="E45" s="232" t="str">
        <f t="shared" si="35"/>
        <v>#N/A</v>
      </c>
      <c r="F45" s="231" t="e">
        <v>#N/A</v>
      </c>
      <c r="G45" s="233" t="str">
        <f t="shared" si="36"/>
        <v>#N/A</v>
      </c>
      <c r="H45" s="234"/>
      <c r="I45" s="235" t="e">
        <v>#N/A</v>
      </c>
      <c r="J45" s="231" t="e">
        <v>#N/A</v>
      </c>
      <c r="K45" s="232" t="str">
        <f t="shared" si="29"/>
        <v>#N/A</v>
      </c>
      <c r="L45" s="231" t="e">
        <v>#N/A</v>
      </c>
      <c r="M45" s="233" t="str">
        <f t="shared" si="37"/>
        <v>#N/A</v>
      </c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</row>
    <row r="46" ht="12.75" hidden="1" customHeight="1" outlineLevel="1">
      <c r="A46" s="229" t="s">
        <v>406</v>
      </c>
      <c r="B46" s="230" t="s">
        <v>407</v>
      </c>
      <c r="C46" s="216" t="e">
        <v>#N/A</v>
      </c>
      <c r="D46" s="231" t="e">
        <v>#N/A</v>
      </c>
      <c r="E46" s="232" t="str">
        <f t="shared" si="35"/>
        <v>#N/A</v>
      </c>
      <c r="F46" s="231" t="e">
        <v>#N/A</v>
      </c>
      <c r="G46" s="233" t="str">
        <f t="shared" si="36"/>
        <v>#N/A</v>
      </c>
      <c r="H46" s="234"/>
      <c r="I46" s="235" t="e">
        <v>#N/A</v>
      </c>
      <c r="J46" s="231" t="e">
        <v>#N/A</v>
      </c>
      <c r="K46" s="232" t="str">
        <f t="shared" si="29"/>
        <v>#N/A</v>
      </c>
      <c r="L46" s="231" t="e">
        <v>#N/A</v>
      </c>
      <c r="M46" s="233" t="str">
        <f t="shared" si="37"/>
        <v>#N/A</v>
      </c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ht="12.75" hidden="1" customHeight="1" outlineLevel="1">
      <c r="A47" s="229" t="s">
        <v>409</v>
      </c>
      <c r="B47" s="230" t="s">
        <v>410</v>
      </c>
      <c r="C47" s="216" t="e">
        <v>#N/A</v>
      </c>
      <c r="D47" s="231" t="e">
        <v>#N/A</v>
      </c>
      <c r="E47" s="232" t="str">
        <f t="shared" si="35"/>
        <v>#N/A</v>
      </c>
      <c r="F47" s="231" t="e">
        <v>#N/A</v>
      </c>
      <c r="G47" s="233" t="str">
        <f t="shared" si="36"/>
        <v>#N/A</v>
      </c>
      <c r="H47" s="234"/>
      <c r="I47" s="235" t="e">
        <v>#N/A</v>
      </c>
      <c r="J47" s="231" t="e">
        <v>#N/A</v>
      </c>
      <c r="K47" s="232" t="str">
        <f t="shared" si="29"/>
        <v>#N/A</v>
      </c>
      <c r="L47" s="231" t="e">
        <v>#N/A</v>
      </c>
      <c r="M47" s="233" t="str">
        <f t="shared" si="37"/>
        <v>#N/A</v>
      </c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</row>
    <row r="48" ht="12.75" customHeight="1" collapsed="1">
      <c r="A48" s="237" t="s">
        <v>411</v>
      </c>
      <c r="B48" s="224" t="s">
        <v>412</v>
      </c>
      <c r="C48" s="225" t="str">
        <f t="shared" ref="C48:D48" si="38">SUM(C45:C47)</f>
        <v>#N/A</v>
      </c>
      <c r="D48" s="226" t="str">
        <f t="shared" si="38"/>
        <v>#N/A</v>
      </c>
      <c r="E48" s="227" t="str">
        <f t="shared" si="35"/>
        <v>#N/A</v>
      </c>
      <c r="F48" s="226" t="str">
        <f>SUM(F45:F47)</f>
        <v>#N/A</v>
      </c>
      <c r="G48" s="228" t="str">
        <f t="shared" si="36"/>
        <v>#N/A</v>
      </c>
      <c r="H48" s="201"/>
      <c r="I48" s="225" t="str">
        <f t="shared" ref="I48:J48" si="39">SUM(I45:I47)</f>
        <v>#N/A</v>
      </c>
      <c r="J48" s="226" t="str">
        <f t="shared" si="39"/>
        <v>#N/A</v>
      </c>
      <c r="K48" s="227" t="str">
        <f t="shared" si="29"/>
        <v>#N/A</v>
      </c>
      <c r="L48" s="226" t="str">
        <f>SUM(L45:L47)</f>
        <v>#N/A</v>
      </c>
      <c r="M48" s="228" t="str">
        <f t="shared" si="37"/>
        <v>#N/A</v>
      </c>
    </row>
    <row r="49" ht="12.75" hidden="1" customHeight="1" outlineLevel="1">
      <c r="A49" s="274" t="s">
        <v>415</v>
      </c>
      <c r="B49" s="275" t="s">
        <v>417</v>
      </c>
      <c r="C49" s="216" t="e">
        <v>#N/A</v>
      </c>
      <c r="D49" s="231" t="e">
        <v>#N/A</v>
      </c>
      <c r="E49" s="232" t="str">
        <f t="shared" si="35"/>
        <v>#N/A</v>
      </c>
      <c r="F49" s="231" t="e">
        <v>#N/A</v>
      </c>
      <c r="G49" s="233" t="str">
        <f t="shared" si="36"/>
        <v>#N/A</v>
      </c>
      <c r="H49" s="234"/>
      <c r="I49" s="235" t="e">
        <v>#N/A</v>
      </c>
      <c r="J49" s="231" t="e">
        <v>#N/A</v>
      </c>
      <c r="K49" s="232" t="str">
        <f t="shared" si="29"/>
        <v>#N/A</v>
      </c>
      <c r="L49" s="231" t="e">
        <v>#N/A</v>
      </c>
      <c r="M49" s="233" t="str">
        <f t="shared" si="37"/>
        <v>#N/A</v>
      </c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ht="12.75" hidden="1" customHeight="1" outlineLevel="1">
      <c r="A50" s="274" t="s">
        <v>418</v>
      </c>
      <c r="B50" s="275" t="s">
        <v>419</v>
      </c>
      <c r="C50" s="216" t="e">
        <v>#N/A</v>
      </c>
      <c r="D50" s="231" t="e">
        <v>#N/A</v>
      </c>
      <c r="E50" s="232" t="str">
        <f t="shared" si="35"/>
        <v>#N/A</v>
      </c>
      <c r="F50" s="231" t="e">
        <v>#N/A</v>
      </c>
      <c r="G50" s="233" t="str">
        <f t="shared" si="36"/>
        <v>#N/A</v>
      </c>
      <c r="H50" s="234"/>
      <c r="I50" s="235" t="e">
        <v>#N/A</v>
      </c>
      <c r="J50" s="231" t="e">
        <v>#N/A</v>
      </c>
      <c r="K50" s="232" t="str">
        <f t="shared" si="29"/>
        <v>#N/A</v>
      </c>
      <c r="L50" s="231" t="e">
        <v>#N/A</v>
      </c>
      <c r="M50" s="233" t="str">
        <f t="shared" si="37"/>
        <v>#N/A</v>
      </c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ht="12.75" hidden="1" customHeight="1" outlineLevel="1">
      <c r="A51" s="274" t="s">
        <v>420</v>
      </c>
      <c r="B51" s="275" t="s">
        <v>421</v>
      </c>
      <c r="C51" s="216" t="e">
        <v>#N/A</v>
      </c>
      <c r="D51" s="231" t="e">
        <v>#N/A</v>
      </c>
      <c r="E51" s="232" t="str">
        <f t="shared" si="35"/>
        <v>#N/A</v>
      </c>
      <c r="F51" s="231" t="e">
        <v>#N/A</v>
      </c>
      <c r="G51" s="233" t="str">
        <f t="shared" si="36"/>
        <v>#N/A</v>
      </c>
      <c r="H51" s="234"/>
      <c r="I51" s="235" t="e">
        <v>#N/A</v>
      </c>
      <c r="J51" s="231" t="e">
        <v>#N/A</v>
      </c>
      <c r="K51" s="232" t="str">
        <f t="shared" si="29"/>
        <v>#N/A</v>
      </c>
      <c r="L51" s="231" t="e">
        <v>#N/A</v>
      </c>
      <c r="M51" s="233" t="str">
        <f t="shared" si="37"/>
        <v>#N/A</v>
      </c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</row>
    <row r="52" ht="12.75" customHeight="1" collapsed="1">
      <c r="A52" s="237" t="s">
        <v>423</v>
      </c>
      <c r="B52" s="224" t="s">
        <v>424</v>
      </c>
      <c r="C52" s="225" t="str">
        <f t="shared" ref="C52:D52" si="40">SUM(C49:C51)</f>
        <v>#N/A</v>
      </c>
      <c r="D52" s="226" t="str">
        <f t="shared" si="40"/>
        <v>#N/A</v>
      </c>
      <c r="E52" s="227" t="str">
        <f t="shared" si="35"/>
        <v>#N/A</v>
      </c>
      <c r="F52" s="226" t="str">
        <f>SUM(F49:F51)</f>
        <v>#N/A</v>
      </c>
      <c r="G52" s="228" t="str">
        <f t="shared" si="36"/>
        <v>#N/A</v>
      </c>
      <c r="H52" s="201"/>
      <c r="I52" s="225" t="str">
        <f t="shared" ref="I52:J52" si="41">SUM(I49:I51)</f>
        <v>#N/A</v>
      </c>
      <c r="J52" s="226" t="str">
        <f t="shared" si="41"/>
        <v>#N/A</v>
      </c>
      <c r="K52" s="227" t="str">
        <f t="shared" si="29"/>
        <v>#N/A</v>
      </c>
      <c r="L52" s="226" t="str">
        <f>SUM(L49:L51)</f>
        <v>#N/A</v>
      </c>
      <c r="M52" s="228" t="str">
        <f t="shared" si="37"/>
        <v>#N/A</v>
      </c>
    </row>
    <row r="53" ht="12.75" hidden="1" customHeight="1" outlineLevel="1">
      <c r="A53" s="229" t="s">
        <v>427</v>
      </c>
      <c r="B53" s="230" t="s">
        <v>428</v>
      </c>
      <c r="C53" s="216" t="e">
        <v>#N/A</v>
      </c>
      <c r="D53" s="231" t="e">
        <v>#N/A</v>
      </c>
      <c r="E53" s="232" t="str">
        <f t="shared" si="35"/>
        <v>#N/A</v>
      </c>
      <c r="F53" s="231" t="e">
        <v>#N/A</v>
      </c>
      <c r="G53" s="233" t="str">
        <f t="shared" si="36"/>
        <v>#N/A</v>
      </c>
      <c r="H53" s="234"/>
      <c r="I53" s="235" t="e">
        <v>#N/A</v>
      </c>
      <c r="J53" s="231" t="e">
        <v>#N/A</v>
      </c>
      <c r="K53" s="232" t="str">
        <f t="shared" si="29"/>
        <v>#N/A</v>
      </c>
      <c r="L53" s="231" t="e">
        <v>#N/A</v>
      </c>
      <c r="M53" s="233" t="str">
        <f t="shared" si="37"/>
        <v>#N/A</v>
      </c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</row>
    <row r="54" ht="12.75" hidden="1" customHeight="1" outlineLevel="1">
      <c r="A54" s="229" t="s">
        <v>430</v>
      </c>
      <c r="B54" s="230" t="s">
        <v>431</v>
      </c>
      <c r="C54" s="216" t="e">
        <v>#N/A</v>
      </c>
      <c r="D54" s="231" t="e">
        <v>#N/A</v>
      </c>
      <c r="E54" s="232" t="str">
        <f t="shared" si="35"/>
        <v>#N/A</v>
      </c>
      <c r="F54" s="231" t="e">
        <v>#N/A</v>
      </c>
      <c r="G54" s="233" t="str">
        <f t="shared" si="36"/>
        <v>#N/A</v>
      </c>
      <c r="H54" s="234"/>
      <c r="I54" s="235" t="e">
        <v>#N/A</v>
      </c>
      <c r="J54" s="231" t="e">
        <v>#N/A</v>
      </c>
      <c r="K54" s="232" t="str">
        <f t="shared" si="29"/>
        <v>#N/A</v>
      </c>
      <c r="L54" s="231" t="e">
        <v>#N/A</v>
      </c>
      <c r="M54" s="233" t="str">
        <f t="shared" si="37"/>
        <v>#N/A</v>
      </c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</row>
    <row r="55" ht="12.75" hidden="1" customHeight="1" outlineLevel="1">
      <c r="A55" s="229" t="s">
        <v>432</v>
      </c>
      <c r="B55" s="230" t="s">
        <v>433</v>
      </c>
      <c r="C55" s="216" t="e">
        <v>#N/A</v>
      </c>
      <c r="D55" s="231" t="e">
        <v>#N/A</v>
      </c>
      <c r="E55" s="232" t="str">
        <f t="shared" si="35"/>
        <v>#N/A</v>
      </c>
      <c r="F55" s="231" t="e">
        <v>#N/A</v>
      </c>
      <c r="G55" s="233" t="str">
        <f t="shared" si="36"/>
        <v>#N/A</v>
      </c>
      <c r="H55" s="234"/>
      <c r="I55" s="235" t="e">
        <v>#N/A</v>
      </c>
      <c r="J55" s="231" t="e">
        <v>#N/A</v>
      </c>
      <c r="K55" s="232" t="str">
        <f t="shared" si="29"/>
        <v>#N/A</v>
      </c>
      <c r="L55" s="231" t="e">
        <v>#N/A</v>
      </c>
      <c r="M55" s="233" t="str">
        <f t="shared" si="37"/>
        <v>#N/A</v>
      </c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</row>
    <row r="56" ht="12.75" hidden="1" customHeight="1" outlineLevel="1">
      <c r="A56" s="229" t="s">
        <v>434</v>
      </c>
      <c r="B56" s="230" t="s">
        <v>435</v>
      </c>
      <c r="C56" s="216" t="e">
        <v>#N/A</v>
      </c>
      <c r="D56" s="231" t="e">
        <v>#N/A</v>
      </c>
      <c r="E56" s="232" t="str">
        <f t="shared" si="35"/>
        <v>#N/A</v>
      </c>
      <c r="F56" s="231" t="e">
        <v>#N/A</v>
      </c>
      <c r="G56" s="233" t="str">
        <f t="shared" si="36"/>
        <v>#N/A</v>
      </c>
      <c r="H56" s="234"/>
      <c r="I56" s="235" t="e">
        <v>#N/A</v>
      </c>
      <c r="J56" s="231" t="e">
        <v>#N/A</v>
      </c>
      <c r="K56" s="232" t="str">
        <f t="shared" si="29"/>
        <v>#N/A</v>
      </c>
      <c r="L56" s="231" t="e">
        <v>#N/A</v>
      </c>
      <c r="M56" s="233" t="str">
        <f t="shared" si="37"/>
        <v>#N/A</v>
      </c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</row>
    <row r="57" ht="12.75" hidden="1" customHeight="1" outlineLevel="1">
      <c r="A57" s="229" t="s">
        <v>437</v>
      </c>
      <c r="B57" s="230" t="s">
        <v>438</v>
      </c>
      <c r="C57" s="216" t="e">
        <v>#N/A</v>
      </c>
      <c r="D57" s="231" t="e">
        <v>#N/A</v>
      </c>
      <c r="E57" s="232" t="str">
        <f t="shared" si="35"/>
        <v>#N/A</v>
      </c>
      <c r="F57" s="231" t="e">
        <v>#N/A</v>
      </c>
      <c r="G57" s="233" t="str">
        <f t="shared" si="36"/>
        <v>#N/A</v>
      </c>
      <c r="H57" s="234"/>
      <c r="I57" s="235" t="e">
        <v>#N/A</v>
      </c>
      <c r="J57" s="231" t="e">
        <v>#N/A</v>
      </c>
      <c r="K57" s="232" t="str">
        <f t="shared" si="29"/>
        <v>#N/A</v>
      </c>
      <c r="L57" s="231" t="e">
        <v>#N/A</v>
      </c>
      <c r="M57" s="233" t="str">
        <f t="shared" si="37"/>
        <v>#N/A</v>
      </c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ht="12.75" hidden="1" customHeight="1" outlineLevel="1">
      <c r="A58" s="229" t="s">
        <v>440</v>
      </c>
      <c r="B58" s="230" t="s">
        <v>441</v>
      </c>
      <c r="C58" s="216" t="e">
        <v>#N/A</v>
      </c>
      <c r="D58" s="231" t="e">
        <v>#N/A</v>
      </c>
      <c r="E58" s="232" t="str">
        <f t="shared" si="35"/>
        <v>#N/A</v>
      </c>
      <c r="F58" s="231" t="e">
        <v>#N/A</v>
      </c>
      <c r="G58" s="233" t="str">
        <f t="shared" si="36"/>
        <v>#N/A</v>
      </c>
      <c r="H58" s="234"/>
      <c r="I58" s="235" t="e">
        <v>#N/A</v>
      </c>
      <c r="J58" s="231" t="e">
        <v>#N/A</v>
      </c>
      <c r="K58" s="232" t="str">
        <f t="shared" si="29"/>
        <v>#N/A</v>
      </c>
      <c r="L58" s="231" t="e">
        <v>#N/A</v>
      </c>
      <c r="M58" s="233" t="str">
        <f t="shared" si="37"/>
        <v>#N/A</v>
      </c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ht="12.75" customHeight="1" collapsed="1">
      <c r="A59" s="237" t="s">
        <v>442</v>
      </c>
      <c r="B59" s="224" t="s">
        <v>443</v>
      </c>
      <c r="C59" s="225" t="str">
        <f t="shared" ref="C59:D59" si="42">SUM(C53:C58)</f>
        <v>#N/A</v>
      </c>
      <c r="D59" s="226" t="str">
        <f t="shared" si="42"/>
        <v>#N/A</v>
      </c>
      <c r="E59" s="227" t="str">
        <f t="shared" si="35"/>
        <v>#N/A</v>
      </c>
      <c r="F59" s="226" t="str">
        <f>SUM(F53:F58)</f>
        <v>#N/A</v>
      </c>
      <c r="G59" s="228" t="str">
        <f t="shared" si="36"/>
        <v>#N/A</v>
      </c>
      <c r="H59" s="201"/>
      <c r="I59" s="225" t="str">
        <f t="shared" ref="I59:J59" si="43">SUM(I53:I58)</f>
        <v>#N/A</v>
      </c>
      <c r="J59" s="226" t="str">
        <f t="shared" si="43"/>
        <v>#N/A</v>
      </c>
      <c r="K59" s="227" t="str">
        <f t="shared" si="29"/>
        <v>#N/A</v>
      </c>
      <c r="L59" s="226" t="str">
        <f>SUM(L53:L58)</f>
        <v>#N/A</v>
      </c>
      <c r="M59" s="228" t="str">
        <f t="shared" si="37"/>
        <v>#N/A</v>
      </c>
    </row>
    <row r="60" ht="12.75" hidden="1" customHeight="1" outlineLevel="1">
      <c r="A60" s="229" t="s">
        <v>445</v>
      </c>
      <c r="B60" s="230" t="s">
        <v>446</v>
      </c>
      <c r="C60" s="216" t="e">
        <v>#N/A</v>
      </c>
      <c r="D60" s="231" t="e">
        <v>#N/A</v>
      </c>
      <c r="E60" s="232" t="str">
        <f t="shared" si="35"/>
        <v>#N/A</v>
      </c>
      <c r="F60" s="231" t="e">
        <v>#N/A</v>
      </c>
      <c r="G60" s="233" t="str">
        <f t="shared" si="36"/>
        <v>#N/A</v>
      </c>
      <c r="H60" s="234"/>
      <c r="I60" s="235" t="e">
        <v>#N/A</v>
      </c>
      <c r="J60" s="231" t="e">
        <v>#N/A</v>
      </c>
      <c r="K60" s="232" t="str">
        <f t="shared" si="29"/>
        <v>#N/A</v>
      </c>
      <c r="L60" s="231" t="e">
        <v>#N/A</v>
      </c>
      <c r="M60" s="233" t="str">
        <f t="shared" si="37"/>
        <v>#N/A</v>
      </c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ht="12.75" hidden="1" customHeight="1" outlineLevel="1">
      <c r="A61" s="229" t="s">
        <v>448</v>
      </c>
      <c r="B61" s="230" t="s">
        <v>449</v>
      </c>
      <c r="C61" s="216" t="e">
        <v>#N/A</v>
      </c>
      <c r="D61" s="231" t="e">
        <v>#N/A</v>
      </c>
      <c r="E61" s="232" t="str">
        <f t="shared" si="35"/>
        <v>#N/A</v>
      </c>
      <c r="F61" s="231" t="e">
        <v>#N/A</v>
      </c>
      <c r="G61" s="233" t="str">
        <f t="shared" si="36"/>
        <v>#N/A</v>
      </c>
      <c r="H61" s="234"/>
      <c r="I61" s="235" t="e">
        <v>#N/A</v>
      </c>
      <c r="J61" s="231" t="e">
        <v>#N/A</v>
      </c>
      <c r="K61" s="232" t="str">
        <f t="shared" si="29"/>
        <v>#N/A</v>
      </c>
      <c r="L61" s="231" t="e">
        <v>#N/A</v>
      </c>
      <c r="M61" s="233" t="str">
        <f t="shared" si="37"/>
        <v>#N/A</v>
      </c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ht="12.75" hidden="1" customHeight="1" outlineLevel="1">
      <c r="A62" s="229" t="s">
        <v>450</v>
      </c>
      <c r="B62" s="230" t="s">
        <v>451</v>
      </c>
      <c r="C62" s="216" t="e">
        <v>#N/A</v>
      </c>
      <c r="D62" s="231" t="e">
        <v>#N/A</v>
      </c>
      <c r="E62" s="232" t="str">
        <f t="shared" si="35"/>
        <v>#N/A</v>
      </c>
      <c r="F62" s="231" t="e">
        <v>#N/A</v>
      </c>
      <c r="G62" s="233" t="str">
        <f t="shared" si="36"/>
        <v>#N/A</v>
      </c>
      <c r="H62" s="234"/>
      <c r="I62" s="235" t="e">
        <v>#N/A</v>
      </c>
      <c r="J62" s="231" t="e">
        <v>#N/A</v>
      </c>
      <c r="K62" s="232" t="str">
        <f t="shared" si="29"/>
        <v>#N/A</v>
      </c>
      <c r="L62" s="231" t="e">
        <v>#N/A</v>
      </c>
      <c r="M62" s="233" t="str">
        <f t="shared" si="37"/>
        <v>#N/A</v>
      </c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ht="12.75" customHeight="1" collapsed="1">
      <c r="A63" s="237" t="s">
        <v>453</v>
      </c>
      <c r="B63" s="224" t="s">
        <v>454</v>
      </c>
      <c r="C63" s="225" t="str">
        <f t="shared" ref="C63:D63" si="44">SUM(C60:C62)</f>
        <v>#N/A</v>
      </c>
      <c r="D63" s="226" t="str">
        <f t="shared" si="44"/>
        <v>#N/A</v>
      </c>
      <c r="E63" s="227" t="str">
        <f t="shared" si="35"/>
        <v>#N/A</v>
      </c>
      <c r="F63" s="226" t="str">
        <f>SUM(F60:F62)</f>
        <v>#N/A</v>
      </c>
      <c r="G63" s="228" t="str">
        <f t="shared" si="36"/>
        <v>#N/A</v>
      </c>
      <c r="H63" s="201"/>
      <c r="I63" s="225" t="str">
        <f t="shared" ref="I63:J63" si="45">SUM(I60:I62)</f>
        <v>#N/A</v>
      </c>
      <c r="J63" s="226" t="str">
        <f t="shared" si="45"/>
        <v>#N/A</v>
      </c>
      <c r="K63" s="227" t="str">
        <f t="shared" si="29"/>
        <v>#N/A</v>
      </c>
      <c r="L63" s="226" t="str">
        <f>SUM(L60:L62)</f>
        <v>#N/A</v>
      </c>
      <c r="M63" s="228" t="str">
        <f t="shared" si="37"/>
        <v>#N/A</v>
      </c>
    </row>
    <row r="64" ht="12.75" hidden="1" customHeight="1" outlineLevel="1">
      <c r="A64" s="229" t="s">
        <v>456</v>
      </c>
      <c r="B64" s="230" t="s">
        <v>457</v>
      </c>
      <c r="C64" s="216" t="e">
        <v>#N/A</v>
      </c>
      <c r="D64" s="231" t="e">
        <v>#N/A</v>
      </c>
      <c r="E64" s="232" t="str">
        <f t="shared" si="35"/>
        <v>#N/A</v>
      </c>
      <c r="F64" s="231" t="e">
        <v>#N/A</v>
      </c>
      <c r="G64" s="233" t="str">
        <f t="shared" si="36"/>
        <v>#N/A</v>
      </c>
      <c r="H64" s="234"/>
      <c r="I64" s="235" t="e">
        <v>#N/A</v>
      </c>
      <c r="J64" s="231" t="e">
        <v>#N/A</v>
      </c>
      <c r="K64" s="232" t="str">
        <f t="shared" si="29"/>
        <v>#N/A</v>
      </c>
      <c r="L64" s="231" t="e">
        <v>#N/A</v>
      </c>
      <c r="M64" s="233" t="str">
        <f t="shared" si="37"/>
        <v>#N/A</v>
      </c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ht="12.75" hidden="1" customHeight="1" outlineLevel="1">
      <c r="A65" s="229" t="s">
        <v>459</v>
      </c>
      <c r="B65" s="230" t="s">
        <v>460</v>
      </c>
      <c r="C65" s="216" t="e">
        <v>#N/A</v>
      </c>
      <c r="D65" s="231" t="e">
        <v>#N/A</v>
      </c>
      <c r="E65" s="232" t="str">
        <f t="shared" si="35"/>
        <v>#N/A</v>
      </c>
      <c r="F65" s="231" t="e">
        <v>#N/A</v>
      </c>
      <c r="G65" s="233" t="str">
        <f t="shared" si="36"/>
        <v>#N/A</v>
      </c>
      <c r="H65" s="234"/>
      <c r="I65" s="235" t="e">
        <v>#N/A</v>
      </c>
      <c r="J65" s="231" t="e">
        <v>#N/A</v>
      </c>
      <c r="K65" s="232" t="str">
        <f t="shared" si="29"/>
        <v>#N/A</v>
      </c>
      <c r="L65" s="231" t="e">
        <v>#N/A</v>
      </c>
      <c r="M65" s="233" t="str">
        <f t="shared" si="37"/>
        <v>#N/A</v>
      </c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</row>
    <row r="66" ht="12.75" hidden="1" customHeight="1" outlineLevel="1">
      <c r="A66" s="229" t="s">
        <v>462</v>
      </c>
      <c r="B66" s="230" t="s">
        <v>463</v>
      </c>
      <c r="C66" s="216" t="e">
        <v>#N/A</v>
      </c>
      <c r="D66" s="231" t="e">
        <v>#N/A</v>
      </c>
      <c r="E66" s="232" t="str">
        <f t="shared" si="35"/>
        <v>#N/A</v>
      </c>
      <c r="F66" s="231" t="e">
        <v>#N/A</v>
      </c>
      <c r="G66" s="233" t="str">
        <f t="shared" si="36"/>
        <v>#N/A</v>
      </c>
      <c r="H66" s="234"/>
      <c r="I66" s="235" t="e">
        <v>#N/A</v>
      </c>
      <c r="J66" s="231" t="e">
        <v>#N/A</v>
      </c>
      <c r="K66" s="232" t="str">
        <f t="shared" si="29"/>
        <v>#N/A</v>
      </c>
      <c r="L66" s="231" t="e">
        <v>#N/A</v>
      </c>
      <c r="M66" s="233" t="str">
        <f t="shared" si="37"/>
        <v>#N/A</v>
      </c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</row>
    <row r="67" ht="12.75" hidden="1" customHeight="1" outlineLevel="1">
      <c r="A67" s="229" t="s">
        <v>465</v>
      </c>
      <c r="B67" s="230" t="s">
        <v>466</v>
      </c>
      <c r="C67" s="216" t="e">
        <v>#N/A</v>
      </c>
      <c r="D67" s="231" t="e">
        <v>#N/A</v>
      </c>
      <c r="E67" s="232" t="str">
        <f t="shared" si="35"/>
        <v>#N/A</v>
      </c>
      <c r="F67" s="231" t="e">
        <v>#N/A</v>
      </c>
      <c r="G67" s="233" t="str">
        <f t="shared" si="36"/>
        <v>#N/A</v>
      </c>
      <c r="H67" s="234"/>
      <c r="I67" s="235" t="e">
        <v>#N/A</v>
      </c>
      <c r="J67" s="231" t="e">
        <v>#N/A</v>
      </c>
      <c r="K67" s="232" t="str">
        <f t="shared" si="29"/>
        <v>#N/A</v>
      </c>
      <c r="L67" s="231" t="e">
        <v>#N/A</v>
      </c>
      <c r="M67" s="233" t="str">
        <f t="shared" si="37"/>
        <v>#N/A</v>
      </c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</row>
    <row r="68" ht="12.75" hidden="1" customHeight="1" outlineLevel="1">
      <c r="A68" s="229" t="s">
        <v>467</v>
      </c>
      <c r="B68" s="230" t="s">
        <v>468</v>
      </c>
      <c r="C68" s="216" t="e">
        <v>#N/A</v>
      </c>
      <c r="D68" s="231" t="e">
        <v>#N/A</v>
      </c>
      <c r="E68" s="232" t="str">
        <f t="shared" si="35"/>
        <v>#N/A</v>
      </c>
      <c r="F68" s="231" t="e">
        <v>#N/A</v>
      </c>
      <c r="G68" s="233" t="str">
        <f t="shared" si="36"/>
        <v>#N/A</v>
      </c>
      <c r="H68" s="234"/>
      <c r="I68" s="235" t="e">
        <v>#N/A</v>
      </c>
      <c r="J68" s="231" t="e">
        <v>#N/A</v>
      </c>
      <c r="K68" s="232" t="str">
        <f t="shared" si="29"/>
        <v>#N/A</v>
      </c>
      <c r="L68" s="231" t="e">
        <v>#N/A</v>
      </c>
      <c r="M68" s="233" t="str">
        <f t="shared" si="37"/>
        <v>#N/A</v>
      </c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</row>
    <row r="69" ht="12.75" hidden="1" customHeight="1" outlineLevel="1">
      <c r="A69" s="229" t="s">
        <v>469</v>
      </c>
      <c r="B69" s="230" t="s">
        <v>470</v>
      </c>
      <c r="C69" s="216" t="e">
        <v>#N/A</v>
      </c>
      <c r="D69" s="231" t="e">
        <v>#N/A</v>
      </c>
      <c r="E69" s="232" t="str">
        <f t="shared" si="35"/>
        <v>#N/A</v>
      </c>
      <c r="F69" s="231" t="e">
        <v>#N/A</v>
      </c>
      <c r="G69" s="233" t="str">
        <f t="shared" si="36"/>
        <v>#N/A</v>
      </c>
      <c r="H69" s="234"/>
      <c r="I69" s="235" t="e">
        <v>#N/A</v>
      </c>
      <c r="J69" s="231" t="e">
        <v>#N/A</v>
      </c>
      <c r="K69" s="232" t="str">
        <f t="shared" si="29"/>
        <v>#N/A</v>
      </c>
      <c r="L69" s="231" t="e">
        <v>#N/A</v>
      </c>
      <c r="M69" s="233" t="str">
        <f t="shared" si="37"/>
        <v>#N/A</v>
      </c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</row>
    <row r="70" ht="12.75" hidden="1" customHeight="1" outlineLevel="1">
      <c r="A70" s="229" t="s">
        <v>471</v>
      </c>
      <c r="B70" s="230" t="s">
        <v>472</v>
      </c>
      <c r="C70" s="216" t="e">
        <v>#N/A</v>
      </c>
      <c r="D70" s="231" t="e">
        <v>#N/A</v>
      </c>
      <c r="E70" s="232" t="str">
        <f t="shared" si="35"/>
        <v>#N/A</v>
      </c>
      <c r="F70" s="231" t="e">
        <v>#N/A</v>
      </c>
      <c r="G70" s="233" t="str">
        <f t="shared" si="36"/>
        <v>#N/A</v>
      </c>
      <c r="H70" s="234"/>
      <c r="I70" s="235" t="e">
        <v>#N/A</v>
      </c>
      <c r="J70" s="231" t="e">
        <v>#N/A</v>
      </c>
      <c r="K70" s="232" t="str">
        <f t="shared" si="29"/>
        <v>#N/A</v>
      </c>
      <c r="L70" s="231" t="e">
        <v>#N/A</v>
      </c>
      <c r="M70" s="233" t="str">
        <f t="shared" si="37"/>
        <v>#N/A</v>
      </c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</row>
    <row r="71" ht="12.75" customHeight="1" collapsed="1">
      <c r="A71" s="237" t="s">
        <v>474</v>
      </c>
      <c r="B71" s="224" t="s">
        <v>475</v>
      </c>
      <c r="C71" s="225" t="str">
        <f t="shared" ref="C71:D71" si="46">SUM(C64:C70)</f>
        <v>#N/A</v>
      </c>
      <c r="D71" s="226" t="str">
        <f t="shared" si="46"/>
        <v>#N/A</v>
      </c>
      <c r="E71" s="227" t="str">
        <f t="shared" si="35"/>
        <v>#N/A</v>
      </c>
      <c r="F71" s="226" t="str">
        <f>SUM(F64:F70)</f>
        <v>#N/A</v>
      </c>
      <c r="G71" s="228" t="str">
        <f t="shared" si="36"/>
        <v>#N/A</v>
      </c>
      <c r="H71" s="201"/>
      <c r="I71" s="225" t="str">
        <f t="shared" ref="I71:J71" si="47">SUM(I64:I70)</f>
        <v>#N/A</v>
      </c>
      <c r="J71" s="226" t="str">
        <f t="shared" si="47"/>
        <v>#N/A</v>
      </c>
      <c r="K71" s="227" t="str">
        <f t="shared" si="29"/>
        <v>#N/A</v>
      </c>
      <c r="L71" s="226" t="str">
        <f>SUM(L64:L70)</f>
        <v>#N/A</v>
      </c>
      <c r="M71" s="228" t="str">
        <f t="shared" si="37"/>
        <v>#N/A</v>
      </c>
    </row>
    <row r="72" ht="12.75" hidden="1" customHeight="1" outlineLevel="1">
      <c r="A72" s="229" t="s">
        <v>476</v>
      </c>
      <c r="B72" s="230" t="s">
        <v>477</v>
      </c>
      <c r="C72" s="216" t="e">
        <v>#N/A</v>
      </c>
      <c r="D72" s="231" t="e">
        <v>#N/A</v>
      </c>
      <c r="E72" s="232" t="str">
        <f t="shared" si="35"/>
        <v>#N/A</v>
      </c>
      <c r="F72" s="231" t="e">
        <v>#N/A</v>
      </c>
      <c r="G72" s="233" t="str">
        <f t="shared" si="36"/>
        <v>#N/A</v>
      </c>
      <c r="H72" s="234"/>
      <c r="I72" s="235" t="e">
        <v>#N/A</v>
      </c>
      <c r="J72" s="231" t="e">
        <v>#N/A</v>
      </c>
      <c r="K72" s="232" t="str">
        <f t="shared" si="29"/>
        <v>#N/A</v>
      </c>
      <c r="L72" s="231" t="e">
        <v>#N/A</v>
      </c>
      <c r="M72" s="233" t="str">
        <f t="shared" si="37"/>
        <v>#N/A</v>
      </c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</row>
    <row r="73" ht="12.75" hidden="1" customHeight="1" outlineLevel="1">
      <c r="A73" s="229" t="s">
        <v>479</v>
      </c>
      <c r="B73" s="230" t="s">
        <v>480</v>
      </c>
      <c r="C73" s="216" t="e">
        <v>#N/A</v>
      </c>
      <c r="D73" s="231" t="e">
        <v>#N/A</v>
      </c>
      <c r="E73" s="232" t="str">
        <f t="shared" si="35"/>
        <v>#N/A</v>
      </c>
      <c r="F73" s="231" t="e">
        <v>#N/A</v>
      </c>
      <c r="G73" s="233" t="str">
        <f t="shared" si="36"/>
        <v>#N/A</v>
      </c>
      <c r="H73" s="234"/>
      <c r="I73" s="235" t="e">
        <v>#N/A</v>
      </c>
      <c r="J73" s="231" t="e">
        <v>#N/A</v>
      </c>
      <c r="K73" s="232" t="str">
        <f t="shared" si="29"/>
        <v>#N/A</v>
      </c>
      <c r="L73" s="231" t="e">
        <v>#N/A</v>
      </c>
      <c r="M73" s="233" t="str">
        <f t="shared" si="37"/>
        <v>#N/A</v>
      </c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</row>
    <row r="74" ht="12.75" hidden="1" customHeight="1" outlineLevel="1">
      <c r="A74" s="229" t="s">
        <v>482</v>
      </c>
      <c r="B74" s="230" t="s">
        <v>483</v>
      </c>
      <c r="C74" s="216" t="e">
        <v>#N/A</v>
      </c>
      <c r="D74" s="231" t="e">
        <v>#N/A</v>
      </c>
      <c r="E74" s="232" t="str">
        <f t="shared" si="35"/>
        <v>#N/A</v>
      </c>
      <c r="F74" s="231" t="e">
        <v>#N/A</v>
      </c>
      <c r="G74" s="233" t="str">
        <f t="shared" si="36"/>
        <v>#N/A</v>
      </c>
      <c r="H74" s="234"/>
      <c r="I74" s="235" t="e">
        <v>#N/A</v>
      </c>
      <c r="J74" s="231" t="e">
        <v>#N/A</v>
      </c>
      <c r="K74" s="232" t="str">
        <f t="shared" si="29"/>
        <v>#N/A</v>
      </c>
      <c r="L74" s="231" t="e">
        <v>#N/A</v>
      </c>
      <c r="M74" s="233" t="str">
        <f t="shared" si="37"/>
        <v>#N/A</v>
      </c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</row>
    <row r="75" ht="12.75" hidden="1" customHeight="1" outlineLevel="1">
      <c r="A75" s="229" t="s">
        <v>485</v>
      </c>
      <c r="B75" s="230" t="s">
        <v>486</v>
      </c>
      <c r="C75" s="216" t="e">
        <v>#N/A</v>
      </c>
      <c r="D75" s="231" t="e">
        <v>#N/A</v>
      </c>
      <c r="E75" s="232" t="str">
        <f t="shared" si="35"/>
        <v>#N/A</v>
      </c>
      <c r="F75" s="231" t="e">
        <v>#N/A</v>
      </c>
      <c r="G75" s="233" t="str">
        <f t="shared" si="36"/>
        <v>#N/A</v>
      </c>
      <c r="H75" s="234"/>
      <c r="I75" s="235" t="e">
        <v>#N/A</v>
      </c>
      <c r="J75" s="231" t="e">
        <v>#N/A</v>
      </c>
      <c r="K75" s="232" t="str">
        <f t="shared" si="29"/>
        <v>#N/A</v>
      </c>
      <c r="L75" s="231" t="e">
        <v>#N/A</v>
      </c>
      <c r="M75" s="233" t="str">
        <f t="shared" si="37"/>
        <v>#N/A</v>
      </c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</row>
    <row r="76" ht="12.75" hidden="1" customHeight="1" outlineLevel="1">
      <c r="A76" s="229" t="s">
        <v>488</v>
      </c>
      <c r="B76" s="230" t="s">
        <v>489</v>
      </c>
      <c r="C76" s="216" t="e">
        <v>#N/A</v>
      </c>
      <c r="D76" s="231" t="e">
        <v>#N/A</v>
      </c>
      <c r="E76" s="232" t="str">
        <f t="shared" si="35"/>
        <v>#N/A</v>
      </c>
      <c r="F76" s="231" t="e">
        <v>#N/A</v>
      </c>
      <c r="G76" s="233" t="str">
        <f t="shared" si="36"/>
        <v>#N/A</v>
      </c>
      <c r="H76" s="234"/>
      <c r="I76" s="235" t="e">
        <v>#N/A</v>
      </c>
      <c r="J76" s="231" t="e">
        <v>#N/A</v>
      </c>
      <c r="K76" s="232" t="str">
        <f t="shared" si="29"/>
        <v>#N/A</v>
      </c>
      <c r="L76" s="231" t="e">
        <v>#N/A</v>
      </c>
      <c r="M76" s="233" t="str">
        <f t="shared" si="37"/>
        <v>#N/A</v>
      </c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</row>
    <row r="77" ht="12.75" customHeight="1" collapsed="1">
      <c r="A77" s="237" t="s">
        <v>491</v>
      </c>
      <c r="B77" s="224" t="s">
        <v>492</v>
      </c>
      <c r="C77" s="225" t="str">
        <f t="shared" ref="C77:D77" si="48">SUM(C72:C76)</f>
        <v>#N/A</v>
      </c>
      <c r="D77" s="226" t="str">
        <f t="shared" si="48"/>
        <v>#N/A</v>
      </c>
      <c r="E77" s="227" t="str">
        <f t="shared" si="35"/>
        <v>#N/A</v>
      </c>
      <c r="F77" s="226" t="str">
        <f>SUM(F72:F76)</f>
        <v>#N/A</v>
      </c>
      <c r="G77" s="228" t="str">
        <f t="shared" si="36"/>
        <v>#N/A</v>
      </c>
      <c r="H77" s="201"/>
      <c r="I77" s="225" t="str">
        <f t="shared" ref="I77:J77" si="49">SUM(I72:I76)</f>
        <v>#N/A</v>
      </c>
      <c r="J77" s="226" t="str">
        <f t="shared" si="49"/>
        <v>#N/A</v>
      </c>
      <c r="K77" s="227" t="str">
        <f t="shared" si="29"/>
        <v>#N/A</v>
      </c>
      <c r="L77" s="226" t="str">
        <f>SUM(L72:L76)</f>
        <v>#N/A</v>
      </c>
      <c r="M77" s="228" t="str">
        <f t="shared" si="37"/>
        <v>#N/A</v>
      </c>
    </row>
    <row r="78" ht="17.25" hidden="1" customHeight="1" outlineLevel="1">
      <c r="A78" s="229" t="s">
        <v>494</v>
      </c>
      <c r="B78" s="230" t="s">
        <v>495</v>
      </c>
      <c r="C78" s="216" t="e">
        <v>#N/A</v>
      </c>
      <c r="D78" s="231" t="e">
        <v>#N/A</v>
      </c>
      <c r="E78" s="232" t="str">
        <f t="shared" si="35"/>
        <v>#N/A</v>
      </c>
      <c r="F78" s="231" t="e">
        <v>#N/A</v>
      </c>
      <c r="G78" s="233" t="str">
        <f t="shared" si="36"/>
        <v>#N/A</v>
      </c>
      <c r="H78" s="234"/>
      <c r="I78" s="235" t="e">
        <v>#N/A</v>
      </c>
      <c r="J78" s="231" t="e">
        <v>#N/A</v>
      </c>
      <c r="K78" s="232" t="str">
        <f t="shared" si="29"/>
        <v>#N/A</v>
      </c>
      <c r="L78" s="231" t="e">
        <v>#N/A</v>
      </c>
      <c r="M78" s="233" t="str">
        <f t="shared" si="37"/>
        <v>#N/A</v>
      </c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</row>
    <row r="79" ht="12.75" hidden="1" customHeight="1" outlineLevel="1">
      <c r="A79" s="229" t="s">
        <v>497</v>
      </c>
      <c r="B79" s="230" t="s">
        <v>498</v>
      </c>
      <c r="C79" s="216" t="e">
        <v>#N/A</v>
      </c>
      <c r="D79" s="231" t="e">
        <v>#N/A</v>
      </c>
      <c r="E79" s="232" t="str">
        <f t="shared" si="35"/>
        <v>#N/A</v>
      </c>
      <c r="F79" s="231" t="e">
        <v>#N/A</v>
      </c>
      <c r="G79" s="233" t="str">
        <f t="shared" si="36"/>
        <v>#N/A</v>
      </c>
      <c r="H79" s="234"/>
      <c r="I79" s="235" t="e">
        <v>#N/A</v>
      </c>
      <c r="J79" s="231" t="e">
        <v>#N/A</v>
      </c>
      <c r="K79" s="232" t="str">
        <f t="shared" si="29"/>
        <v>#N/A</v>
      </c>
      <c r="L79" s="231" t="e">
        <v>#N/A</v>
      </c>
      <c r="M79" s="233" t="str">
        <f t="shared" si="37"/>
        <v>#N/A</v>
      </c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</row>
    <row r="80" ht="12.75" hidden="1" customHeight="1" outlineLevel="1">
      <c r="A80" s="229" t="s">
        <v>499</v>
      </c>
      <c r="B80" s="230" t="s">
        <v>500</v>
      </c>
      <c r="C80" s="216" t="e">
        <v>#N/A</v>
      </c>
      <c r="D80" s="231" t="e">
        <v>#N/A</v>
      </c>
      <c r="E80" s="232" t="str">
        <f t="shared" si="35"/>
        <v>#N/A</v>
      </c>
      <c r="F80" s="231" t="e">
        <v>#N/A</v>
      </c>
      <c r="G80" s="233" t="str">
        <f t="shared" si="36"/>
        <v>#N/A</v>
      </c>
      <c r="H80" s="234"/>
      <c r="I80" s="235" t="e">
        <v>#N/A</v>
      </c>
      <c r="J80" s="231" t="e">
        <v>#N/A</v>
      </c>
      <c r="K80" s="232" t="str">
        <f t="shared" si="29"/>
        <v>#N/A</v>
      </c>
      <c r="L80" s="231" t="e">
        <v>#N/A</v>
      </c>
      <c r="M80" s="233" t="str">
        <f t="shared" si="37"/>
        <v>#N/A</v>
      </c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</row>
    <row r="81" ht="12.75" hidden="1" customHeight="1" outlineLevel="1">
      <c r="A81" s="229" t="s">
        <v>501</v>
      </c>
      <c r="B81" s="230" t="s">
        <v>502</v>
      </c>
      <c r="C81" s="216" t="e">
        <v>#N/A</v>
      </c>
      <c r="D81" s="231" t="e">
        <v>#N/A</v>
      </c>
      <c r="E81" s="232" t="str">
        <f t="shared" si="35"/>
        <v>#N/A</v>
      </c>
      <c r="F81" s="231" t="e">
        <v>#N/A</v>
      </c>
      <c r="G81" s="233" t="str">
        <f t="shared" si="36"/>
        <v>#N/A</v>
      </c>
      <c r="H81" s="234"/>
      <c r="I81" s="235" t="e">
        <v>#N/A</v>
      </c>
      <c r="J81" s="231" t="e">
        <v>#N/A</v>
      </c>
      <c r="K81" s="232" t="str">
        <f t="shared" si="29"/>
        <v>#N/A</v>
      </c>
      <c r="L81" s="231" t="e">
        <v>#N/A</v>
      </c>
      <c r="M81" s="233" t="str">
        <f t="shared" si="37"/>
        <v>#N/A</v>
      </c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</row>
    <row r="82" ht="12.75" hidden="1" customHeight="1" outlineLevel="1">
      <c r="A82" s="229" t="s">
        <v>504</v>
      </c>
      <c r="B82" s="230" t="s">
        <v>505</v>
      </c>
      <c r="C82" s="216" t="e">
        <v>#N/A</v>
      </c>
      <c r="D82" s="231" t="e">
        <v>#N/A</v>
      </c>
      <c r="E82" s="232" t="str">
        <f t="shared" si="35"/>
        <v>#N/A</v>
      </c>
      <c r="F82" s="231" t="e">
        <v>#N/A</v>
      </c>
      <c r="G82" s="233" t="str">
        <f t="shared" si="36"/>
        <v>#N/A</v>
      </c>
      <c r="H82" s="234"/>
      <c r="I82" s="235" t="e">
        <v>#N/A</v>
      </c>
      <c r="J82" s="231" t="e">
        <v>#N/A</v>
      </c>
      <c r="K82" s="232" t="str">
        <f t="shared" si="29"/>
        <v>#N/A</v>
      </c>
      <c r="L82" s="231" t="e">
        <v>#N/A</v>
      </c>
      <c r="M82" s="233" t="str">
        <f t="shared" si="37"/>
        <v>#N/A</v>
      </c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</row>
    <row r="83" ht="12.75" hidden="1" customHeight="1" outlineLevel="1">
      <c r="A83" s="229" t="s">
        <v>507</v>
      </c>
      <c r="B83" s="230" t="s">
        <v>508</v>
      </c>
      <c r="C83" s="216" t="e">
        <v>#N/A</v>
      </c>
      <c r="D83" s="231" t="e">
        <v>#N/A</v>
      </c>
      <c r="E83" s="232" t="str">
        <f t="shared" si="35"/>
        <v>#N/A</v>
      </c>
      <c r="F83" s="231" t="e">
        <v>#N/A</v>
      </c>
      <c r="G83" s="233" t="str">
        <f t="shared" si="36"/>
        <v>#N/A</v>
      </c>
      <c r="H83" s="234"/>
      <c r="I83" s="235" t="e">
        <v>#N/A</v>
      </c>
      <c r="J83" s="231" t="e">
        <v>#N/A</v>
      </c>
      <c r="K83" s="232" t="str">
        <f t="shared" si="29"/>
        <v>#N/A</v>
      </c>
      <c r="L83" s="231" t="e">
        <v>#N/A</v>
      </c>
      <c r="M83" s="233" t="str">
        <f t="shared" si="37"/>
        <v>#N/A</v>
      </c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</row>
    <row r="84" ht="12.75" customHeight="1" collapsed="1">
      <c r="A84" s="237" t="s">
        <v>510</v>
      </c>
      <c r="B84" s="224" t="s">
        <v>511</v>
      </c>
      <c r="C84" s="225" t="str">
        <f t="shared" ref="C84:D84" si="50">SUM(C78:C83)</f>
        <v>#N/A</v>
      </c>
      <c r="D84" s="226" t="str">
        <f t="shared" si="50"/>
        <v>#N/A</v>
      </c>
      <c r="E84" s="227" t="str">
        <f t="shared" si="35"/>
        <v>#N/A</v>
      </c>
      <c r="F84" s="226" t="str">
        <f>SUM(F78:F83)</f>
        <v>#N/A</v>
      </c>
      <c r="G84" s="228" t="str">
        <f t="shared" si="36"/>
        <v>#N/A</v>
      </c>
      <c r="H84" s="201"/>
      <c r="I84" s="225" t="str">
        <f t="shared" ref="I84:J84" si="51">SUM(I78:I83)</f>
        <v>#N/A</v>
      </c>
      <c r="J84" s="226" t="str">
        <f t="shared" si="51"/>
        <v>#N/A</v>
      </c>
      <c r="K84" s="227" t="str">
        <f t="shared" si="29"/>
        <v>#N/A</v>
      </c>
      <c r="L84" s="226" t="str">
        <f>SUM(L78:L83)</f>
        <v>#N/A</v>
      </c>
      <c r="M84" s="228" t="str">
        <f t="shared" si="37"/>
        <v>#N/A</v>
      </c>
    </row>
    <row r="85" ht="12.75" hidden="1" customHeight="1" outlineLevel="1">
      <c r="A85" s="229" t="s">
        <v>513</v>
      </c>
      <c r="B85" s="230" t="s">
        <v>514</v>
      </c>
      <c r="C85" s="216" t="e">
        <v>#N/A</v>
      </c>
      <c r="D85" s="231" t="e">
        <v>#N/A</v>
      </c>
      <c r="E85" s="232" t="str">
        <f t="shared" si="35"/>
        <v>#N/A</v>
      </c>
      <c r="F85" s="231" t="e">
        <v>#N/A</v>
      </c>
      <c r="G85" s="233" t="str">
        <f t="shared" si="36"/>
        <v>#N/A</v>
      </c>
      <c r="H85" s="234"/>
      <c r="I85" s="235" t="e">
        <v>#N/A</v>
      </c>
      <c r="J85" s="231" t="e">
        <v>#N/A</v>
      </c>
      <c r="K85" s="232" t="str">
        <f t="shared" si="29"/>
        <v>#N/A</v>
      </c>
      <c r="L85" s="231" t="e">
        <v>#N/A</v>
      </c>
      <c r="M85" s="233" t="str">
        <f t="shared" si="37"/>
        <v>#N/A</v>
      </c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</row>
    <row r="86" ht="12.75" hidden="1" customHeight="1" outlineLevel="1">
      <c r="A86" s="276" t="s">
        <v>515</v>
      </c>
      <c r="B86" s="277" t="s">
        <v>518</v>
      </c>
      <c r="C86" s="216" t="e">
        <v>#N/A</v>
      </c>
      <c r="D86" s="278" t="e">
        <v>#N/A</v>
      </c>
      <c r="E86" s="279" t="str">
        <f t="shared" si="35"/>
        <v>#N/A</v>
      </c>
      <c r="F86" s="278" t="e">
        <v>#N/A</v>
      </c>
      <c r="G86" s="280" t="str">
        <f t="shared" si="36"/>
        <v>#N/A</v>
      </c>
      <c r="H86" s="234"/>
      <c r="I86" s="281" t="e">
        <v>#N/A</v>
      </c>
      <c r="J86" s="278" t="e">
        <v>#N/A</v>
      </c>
      <c r="K86" s="279" t="str">
        <f t="shared" si="29"/>
        <v>#N/A</v>
      </c>
      <c r="L86" s="278" t="e">
        <v>#N/A</v>
      </c>
      <c r="M86" s="280" t="str">
        <f t="shared" si="37"/>
        <v>#N/A</v>
      </c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</row>
    <row r="87" ht="12.75" customHeight="1" collapsed="1">
      <c r="A87" s="255" t="s">
        <v>520</v>
      </c>
      <c r="B87" s="256" t="s">
        <v>521</v>
      </c>
      <c r="C87" s="257" t="str">
        <f t="shared" ref="C87:D87" si="52">C85+C86</f>
        <v>#N/A</v>
      </c>
      <c r="D87" s="258" t="str">
        <f t="shared" si="52"/>
        <v>#N/A</v>
      </c>
      <c r="E87" s="260" t="str">
        <f t="shared" si="35"/>
        <v>#N/A</v>
      </c>
      <c r="F87" s="258" t="str">
        <f>F85+F86</f>
        <v>#N/A</v>
      </c>
      <c r="G87" s="261" t="str">
        <f t="shared" si="36"/>
        <v>#N/A</v>
      </c>
      <c r="H87" s="201"/>
      <c r="I87" s="257" t="str">
        <f t="shared" ref="I87:J87" si="53">I85+I86</f>
        <v>#N/A</v>
      </c>
      <c r="J87" s="258" t="str">
        <f t="shared" si="53"/>
        <v>#N/A</v>
      </c>
      <c r="K87" s="260" t="str">
        <f t="shared" si="29"/>
        <v>#N/A</v>
      </c>
      <c r="L87" s="258" t="str">
        <f>L85+L86</f>
        <v>#N/A</v>
      </c>
      <c r="M87" s="261" t="str">
        <f t="shared" si="37"/>
        <v>#N/A</v>
      </c>
    </row>
    <row r="88" ht="12.75" customHeight="1">
      <c r="A88" s="282"/>
      <c r="B88" s="283"/>
      <c r="C88" s="284"/>
      <c r="D88" s="285"/>
      <c r="E88" s="283"/>
      <c r="F88" s="285"/>
      <c r="G88" s="286"/>
      <c r="H88" s="201"/>
      <c r="I88" s="287"/>
      <c r="J88" s="285"/>
      <c r="K88" s="283"/>
      <c r="L88" s="285"/>
      <c r="M88" s="288"/>
    </row>
    <row r="89" ht="12.75" customHeight="1">
      <c r="A89" s="289" t="s">
        <v>530</v>
      </c>
      <c r="B89" s="290" t="s">
        <v>531</v>
      </c>
      <c r="C89" s="291" t="str">
        <f t="shared" ref="C89:D89" si="54">C87+C84+C77+C71+C63+C59+C52+C48</f>
        <v>#N/A</v>
      </c>
      <c r="D89" s="292" t="str">
        <f t="shared" si="54"/>
        <v>#N/A</v>
      </c>
      <c r="E89" s="293" t="str">
        <f>IF(D89=0,0,(C89-D89)/D89)</f>
        <v>#N/A</v>
      </c>
      <c r="F89" s="292" t="str">
        <f>F87+F84+F77+F71+F63+F59+F52+F48</f>
        <v>#N/A</v>
      </c>
      <c r="G89" s="294" t="str">
        <f>IF(F89=0,0,(C89-F89)/F89)</f>
        <v>#N/A</v>
      </c>
      <c r="H89" s="201"/>
      <c r="I89" s="291" t="str">
        <f t="shared" ref="I89:J89" si="55">I87+I84+I77+I71+I63+I59+I52+I48</f>
        <v>#N/A</v>
      </c>
      <c r="J89" s="292" t="str">
        <f t="shared" si="55"/>
        <v>#N/A</v>
      </c>
      <c r="K89" s="293" t="str">
        <f>IF(J89=0,0,(I89-J89)/J89)</f>
        <v>#N/A</v>
      </c>
      <c r="L89" s="292" t="str">
        <f>L87+L84+L77+L71+L63+L59+L52+L48</f>
        <v>#N/A</v>
      </c>
      <c r="M89" s="294" t="str">
        <f>IF(L89=0,0,(I89-L89)/L89)</f>
        <v>#N/A</v>
      </c>
    </row>
    <row r="90" ht="12.75" customHeight="1">
      <c r="A90" s="282"/>
      <c r="B90" s="283"/>
      <c r="C90" s="284"/>
      <c r="D90" s="285"/>
      <c r="E90" s="283"/>
      <c r="F90" s="285"/>
      <c r="G90" s="286"/>
      <c r="H90" s="201"/>
      <c r="I90" s="287"/>
      <c r="J90" s="285"/>
      <c r="K90" s="283"/>
      <c r="L90" s="285"/>
      <c r="M90" s="286"/>
    </row>
    <row r="91" ht="12.75" customHeight="1">
      <c r="A91" s="255" t="s">
        <v>536</v>
      </c>
      <c r="B91" s="256" t="s">
        <v>51</v>
      </c>
      <c r="C91" s="295" t="str">
        <f t="shared" ref="C91:D91" si="56">C44-C89</f>
        <v>#N/A</v>
      </c>
      <c r="D91" s="296" t="str">
        <f t="shared" si="56"/>
        <v>#N/A</v>
      </c>
      <c r="E91" s="297" t="str">
        <f>IF(D91=0,0,(C91-D91)/D91)</f>
        <v>#N/A</v>
      </c>
      <c r="F91" s="296" t="str">
        <f>F44-F89</f>
        <v>#N/A</v>
      </c>
      <c r="G91" s="298" t="str">
        <f>IF(F91=0,0,(C91-F91)/F91)</f>
        <v>#N/A</v>
      </c>
      <c r="H91" s="201"/>
      <c r="I91" s="295" t="str">
        <f t="shared" ref="I91:J91" si="57">I44-I89</f>
        <v>#N/A</v>
      </c>
      <c r="J91" s="296" t="str">
        <f t="shared" si="57"/>
        <v>#N/A</v>
      </c>
      <c r="K91" s="297" t="str">
        <f>IF(J91=0,0,(I91-J91)/J91)</f>
        <v>#N/A</v>
      </c>
      <c r="L91" s="296" t="str">
        <f>L44-L89</f>
        <v>#N/A</v>
      </c>
      <c r="M91" s="298" t="str">
        <f>IF(L91=0,0,(I91-L91)/L91)</f>
        <v>#N/A</v>
      </c>
    </row>
    <row r="92" ht="12.75" customHeight="1">
      <c r="C92" s="201"/>
      <c r="D92" s="299"/>
      <c r="E92" s="201"/>
      <c r="F92" s="299"/>
      <c r="G92" s="201"/>
      <c r="H92" s="201"/>
      <c r="I92" s="299"/>
      <c r="J92" s="299"/>
      <c r="K92" s="201"/>
      <c r="L92" s="299"/>
      <c r="M92" s="201"/>
    </row>
    <row r="93" ht="12.75" customHeight="1">
      <c r="C93" s="201"/>
      <c r="D93" s="201"/>
      <c r="E93" s="201"/>
      <c r="F93" s="201"/>
      <c r="G93" s="201"/>
      <c r="H93" s="201"/>
      <c r="I93" s="299"/>
      <c r="J93" s="299"/>
      <c r="K93" s="201"/>
      <c r="L93" s="201"/>
      <c r="M93" s="201"/>
    </row>
    <row r="94" ht="12.75" customHeight="1">
      <c r="C94" s="201"/>
      <c r="D94" s="201"/>
      <c r="E94" s="201"/>
      <c r="F94" s="201"/>
      <c r="G94" s="201"/>
      <c r="H94" s="201"/>
      <c r="I94" s="201"/>
      <c r="J94" s="201"/>
      <c r="K94" s="201"/>
      <c r="L94" s="201"/>
      <c r="M94" s="201"/>
    </row>
    <row r="95" ht="12.75" customHeight="1"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</row>
    <row r="96" ht="12.75" customHeight="1">
      <c r="C96" s="201"/>
      <c r="D96" s="201"/>
      <c r="E96" s="201"/>
      <c r="F96" s="201"/>
      <c r="G96" s="201"/>
      <c r="H96" s="201"/>
      <c r="I96" s="201"/>
      <c r="J96" s="201"/>
      <c r="K96" s="201"/>
      <c r="L96" s="201"/>
      <c r="M96" s="201"/>
    </row>
    <row r="97" ht="12.75" customHeight="1">
      <c r="C97" s="201"/>
      <c r="D97" s="201"/>
      <c r="E97" s="201"/>
      <c r="F97" s="201"/>
      <c r="G97" s="201"/>
      <c r="H97" s="201"/>
      <c r="I97" s="201"/>
      <c r="J97" s="201"/>
      <c r="K97" s="201"/>
      <c r="L97" s="201"/>
      <c r="M97" s="201"/>
    </row>
    <row r="98" ht="12.75" customHeight="1">
      <c r="C98" s="201"/>
      <c r="D98" s="201"/>
      <c r="E98" s="201"/>
      <c r="F98" s="201"/>
      <c r="G98" s="201"/>
      <c r="H98" s="201"/>
      <c r="I98" s="201"/>
      <c r="J98" s="201"/>
      <c r="K98" s="201"/>
      <c r="L98" s="201"/>
      <c r="M98" s="201"/>
    </row>
    <row r="99" ht="12.75" customHeight="1">
      <c r="C99" s="201"/>
      <c r="D99" s="201"/>
      <c r="E99" s="201"/>
      <c r="F99" s="201"/>
      <c r="G99" s="201"/>
      <c r="H99" s="201"/>
      <c r="I99" s="201"/>
      <c r="J99" s="201"/>
      <c r="K99" s="201"/>
      <c r="L99" s="201"/>
      <c r="M99" s="201"/>
    </row>
    <row r="100" ht="12.75" customHeight="1">
      <c r="C100" s="201"/>
      <c r="D100" s="201"/>
      <c r="E100" s="201"/>
      <c r="F100" s="201"/>
      <c r="G100" s="201"/>
      <c r="H100" s="201"/>
      <c r="I100" s="201"/>
      <c r="J100" s="201"/>
      <c r="K100" s="201"/>
      <c r="L100" s="201"/>
      <c r="M100" s="201"/>
    </row>
    <row r="101" ht="12.75" customHeight="1">
      <c r="C101" s="201"/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</row>
    <row r="102" ht="12.75" customHeight="1"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</row>
    <row r="103" ht="12.75" customHeight="1">
      <c r="C103" s="201"/>
      <c r="D103" s="201"/>
      <c r="E103" s="201"/>
      <c r="F103" s="201"/>
      <c r="G103" s="201"/>
      <c r="H103" s="201"/>
      <c r="I103" s="201"/>
      <c r="J103" s="201"/>
      <c r="K103" s="201"/>
      <c r="L103" s="201"/>
      <c r="M103" s="201"/>
    </row>
    <row r="104" ht="12.75" customHeight="1">
      <c r="C104" s="201"/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</row>
    <row r="105" ht="12.75" customHeight="1">
      <c r="C105" s="201"/>
      <c r="D105" s="201"/>
      <c r="E105" s="201"/>
      <c r="F105" s="201"/>
      <c r="G105" s="201"/>
      <c r="H105" s="201"/>
      <c r="I105" s="201"/>
      <c r="J105" s="201"/>
      <c r="K105" s="201"/>
      <c r="L105" s="201"/>
      <c r="M105" s="201"/>
    </row>
    <row r="106" ht="12.75" customHeight="1">
      <c r="C106" s="201"/>
      <c r="D106" s="201"/>
      <c r="E106" s="201"/>
      <c r="F106" s="201"/>
      <c r="G106" s="201"/>
      <c r="H106" s="201"/>
      <c r="I106" s="201"/>
      <c r="J106" s="201"/>
      <c r="K106" s="201"/>
      <c r="L106" s="201"/>
      <c r="M106" s="201"/>
    </row>
    <row r="107" ht="12.75" customHeight="1">
      <c r="C107" s="201"/>
      <c r="D107" s="201"/>
      <c r="E107" s="201"/>
      <c r="F107" s="201"/>
      <c r="G107" s="201"/>
      <c r="H107" s="201"/>
      <c r="I107" s="201"/>
      <c r="J107" s="201"/>
      <c r="K107" s="201"/>
      <c r="L107" s="201"/>
      <c r="M107" s="201"/>
    </row>
    <row r="108" ht="12.75" customHeight="1">
      <c r="C108" s="201"/>
      <c r="D108" s="201"/>
      <c r="E108" s="201"/>
      <c r="F108" s="201"/>
      <c r="G108" s="201"/>
      <c r="H108" s="201"/>
      <c r="I108" s="201"/>
      <c r="J108" s="201"/>
      <c r="K108" s="201"/>
      <c r="L108" s="201"/>
      <c r="M108" s="201"/>
    </row>
    <row r="109" ht="12.75" customHeight="1"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</row>
    <row r="110" ht="12.75" customHeight="1"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</row>
    <row r="111" ht="12.75" customHeight="1">
      <c r="C111" s="201"/>
      <c r="D111" s="201"/>
      <c r="E111" s="201"/>
      <c r="F111" s="201"/>
      <c r="G111" s="201"/>
      <c r="H111" s="201"/>
      <c r="I111" s="201"/>
      <c r="J111" s="201"/>
      <c r="K111" s="201"/>
      <c r="L111" s="201"/>
      <c r="M111" s="201"/>
    </row>
    <row r="112" ht="12.75" customHeight="1"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</row>
    <row r="113" ht="12.75" customHeight="1">
      <c r="C113" s="201"/>
      <c r="D113" s="201"/>
      <c r="E113" s="201"/>
      <c r="F113" s="201"/>
      <c r="G113" s="201"/>
      <c r="H113" s="201"/>
      <c r="I113" s="201"/>
      <c r="J113" s="201"/>
      <c r="K113" s="201"/>
      <c r="L113" s="201"/>
      <c r="M113" s="201"/>
    </row>
    <row r="114" ht="12.75" customHeight="1">
      <c r="C114" s="201"/>
      <c r="D114" s="201"/>
      <c r="E114" s="201"/>
      <c r="F114" s="201"/>
      <c r="G114" s="201"/>
      <c r="H114" s="201"/>
      <c r="I114" s="201"/>
      <c r="J114" s="201"/>
      <c r="K114" s="201"/>
      <c r="L114" s="201"/>
      <c r="M114" s="201"/>
    </row>
    <row r="115" ht="12.75" customHeight="1">
      <c r="C115" s="201"/>
      <c r="D115" s="201"/>
      <c r="E115" s="201"/>
      <c r="F115" s="201"/>
      <c r="G115" s="201"/>
      <c r="H115" s="201"/>
      <c r="I115" s="201"/>
      <c r="J115" s="201"/>
      <c r="K115" s="201"/>
      <c r="L115" s="201"/>
      <c r="M115" s="201"/>
    </row>
    <row r="116" ht="12.75" customHeight="1">
      <c r="C116" s="201"/>
      <c r="D116" s="201"/>
      <c r="E116" s="201"/>
      <c r="F116" s="201"/>
      <c r="G116" s="201"/>
      <c r="H116" s="201"/>
      <c r="I116" s="201"/>
      <c r="J116" s="201"/>
      <c r="K116" s="201"/>
      <c r="L116" s="201"/>
      <c r="M116" s="201"/>
    </row>
    <row r="117" ht="12.75" customHeight="1">
      <c r="C117" s="201"/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</row>
    <row r="118" ht="12.75" customHeight="1">
      <c r="C118" s="201"/>
      <c r="D118" s="201"/>
      <c r="E118" s="201"/>
      <c r="F118" s="201"/>
      <c r="G118" s="201"/>
      <c r="H118" s="201"/>
      <c r="I118" s="201"/>
      <c r="J118" s="201"/>
      <c r="K118" s="201"/>
      <c r="L118" s="201"/>
      <c r="M118" s="201"/>
    </row>
    <row r="119" ht="12.75" customHeight="1">
      <c r="C119" s="201"/>
      <c r="D119" s="201"/>
      <c r="E119" s="201"/>
      <c r="F119" s="201"/>
      <c r="G119" s="201"/>
      <c r="H119" s="201"/>
      <c r="I119" s="201"/>
      <c r="J119" s="201"/>
      <c r="K119" s="201"/>
      <c r="L119" s="201"/>
      <c r="M119" s="201"/>
    </row>
    <row r="120" ht="12.75" customHeight="1">
      <c r="C120" s="201"/>
      <c r="D120" s="201"/>
      <c r="E120" s="201"/>
      <c r="F120" s="201"/>
      <c r="G120" s="201"/>
      <c r="H120" s="201"/>
      <c r="I120" s="201"/>
      <c r="J120" s="201"/>
      <c r="K120" s="201"/>
      <c r="L120" s="201"/>
      <c r="M120" s="201"/>
    </row>
    <row r="121" ht="12.75" customHeight="1">
      <c r="C121" s="201"/>
      <c r="D121" s="201"/>
      <c r="E121" s="201"/>
      <c r="F121" s="201"/>
      <c r="G121" s="201"/>
      <c r="H121" s="201"/>
      <c r="I121" s="201"/>
      <c r="J121" s="201"/>
      <c r="K121" s="201"/>
      <c r="L121" s="201"/>
      <c r="M121" s="201"/>
    </row>
    <row r="122" ht="12.75" customHeight="1">
      <c r="C122" s="201"/>
      <c r="D122" s="201"/>
      <c r="E122" s="201"/>
      <c r="F122" s="201"/>
      <c r="G122" s="201"/>
      <c r="H122" s="201"/>
      <c r="I122" s="201"/>
      <c r="J122" s="201"/>
      <c r="K122" s="201"/>
      <c r="L122" s="201"/>
      <c r="M122" s="201"/>
    </row>
    <row r="123" ht="12.75" customHeight="1"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</row>
    <row r="124" ht="12.75" customHeight="1">
      <c r="C124" s="201"/>
      <c r="D124" s="201"/>
      <c r="E124" s="201"/>
      <c r="F124" s="201"/>
      <c r="G124" s="201"/>
      <c r="H124" s="201"/>
      <c r="I124" s="201"/>
      <c r="J124" s="201"/>
      <c r="K124" s="201"/>
      <c r="L124" s="201"/>
      <c r="M124" s="201"/>
    </row>
    <row r="125" ht="12.75" customHeight="1"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01"/>
    </row>
    <row r="126" ht="12.75" customHeight="1"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</row>
    <row r="127" ht="12.75" customHeight="1">
      <c r="C127" s="201"/>
      <c r="D127" s="201"/>
      <c r="E127" s="201"/>
      <c r="F127" s="201"/>
      <c r="G127" s="201"/>
      <c r="H127" s="201"/>
      <c r="I127" s="201"/>
      <c r="J127" s="201"/>
      <c r="K127" s="201"/>
      <c r="L127" s="201"/>
      <c r="M127" s="201"/>
    </row>
    <row r="128" ht="12.75" customHeight="1"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M128" s="201"/>
    </row>
    <row r="129" ht="12.75" customHeight="1"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01"/>
    </row>
    <row r="130" ht="12.75" customHeight="1"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  <c r="M130" s="201"/>
    </row>
    <row r="131" ht="12.75" customHeight="1">
      <c r="C131" s="201"/>
      <c r="D131" s="201"/>
      <c r="E131" s="201"/>
      <c r="F131" s="201"/>
      <c r="G131" s="201"/>
      <c r="H131" s="201"/>
      <c r="I131" s="201"/>
      <c r="J131" s="201"/>
      <c r="K131" s="201"/>
      <c r="L131" s="201"/>
      <c r="M131" s="201"/>
    </row>
    <row r="132" ht="12.75" customHeight="1"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01"/>
    </row>
    <row r="133" ht="12.75" customHeight="1"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  <c r="M133" s="201"/>
    </row>
    <row r="134" ht="12.75" customHeight="1"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</row>
    <row r="135" ht="12.75" customHeight="1"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</row>
    <row r="136" ht="12.75" customHeight="1"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  <c r="M136" s="201"/>
    </row>
    <row r="137" ht="12.75" customHeight="1"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</row>
    <row r="138" ht="12.75" customHeight="1"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</row>
    <row r="139" ht="12.75" customHeight="1">
      <c r="C139" s="201"/>
      <c r="D139" s="201"/>
      <c r="E139" s="201"/>
      <c r="F139" s="201"/>
      <c r="G139" s="201"/>
      <c r="H139" s="201"/>
      <c r="I139" s="201"/>
      <c r="J139" s="201"/>
      <c r="K139" s="201"/>
      <c r="L139" s="201"/>
      <c r="M139" s="201"/>
    </row>
    <row r="140" ht="12.75" customHeight="1">
      <c r="C140" s="201"/>
      <c r="D140" s="201"/>
      <c r="E140" s="201"/>
      <c r="F140" s="201"/>
      <c r="G140" s="201"/>
      <c r="H140" s="201"/>
      <c r="I140" s="201"/>
      <c r="J140" s="201"/>
      <c r="K140" s="201"/>
      <c r="L140" s="201"/>
      <c r="M140" s="201"/>
    </row>
    <row r="141" ht="12.75" customHeight="1"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</row>
    <row r="142" ht="12.75" customHeight="1"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</row>
    <row r="143" ht="12.75" customHeight="1"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</row>
    <row r="144" ht="12.75" customHeight="1">
      <c r="C144" s="201"/>
      <c r="D144" s="201"/>
      <c r="E144" s="201"/>
      <c r="F144" s="201"/>
      <c r="G144" s="201"/>
      <c r="H144" s="201"/>
      <c r="I144" s="201"/>
      <c r="J144" s="201"/>
      <c r="K144" s="201"/>
      <c r="L144" s="201"/>
      <c r="M144" s="201"/>
    </row>
    <row r="145" ht="12.75" customHeight="1"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</row>
    <row r="146" ht="12.75" customHeight="1"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</row>
    <row r="147" ht="12.75" customHeight="1"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</row>
    <row r="148" ht="12.75" customHeight="1"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</row>
    <row r="149" ht="12.75" customHeight="1">
      <c r="C149" s="201"/>
      <c r="D149" s="201"/>
      <c r="E149" s="201"/>
      <c r="F149" s="201"/>
      <c r="G149" s="201"/>
      <c r="H149" s="201"/>
      <c r="I149" s="201"/>
      <c r="J149" s="201"/>
      <c r="K149" s="201"/>
      <c r="L149" s="201"/>
      <c r="M149" s="201"/>
    </row>
    <row r="150" ht="12.75" customHeight="1"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  <c r="M150" s="201"/>
    </row>
    <row r="151" ht="12.75" customHeight="1"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  <c r="M151" s="201"/>
    </row>
    <row r="152" ht="12.75" customHeight="1">
      <c r="C152" s="201"/>
      <c r="D152" s="201"/>
      <c r="E152" s="201"/>
      <c r="F152" s="201"/>
      <c r="G152" s="201"/>
      <c r="H152" s="201"/>
      <c r="I152" s="201"/>
      <c r="J152" s="201"/>
      <c r="K152" s="201"/>
      <c r="L152" s="201"/>
      <c r="M152" s="201"/>
    </row>
    <row r="153" ht="12.75" customHeight="1">
      <c r="C153" s="201"/>
      <c r="D153" s="201"/>
      <c r="E153" s="201"/>
      <c r="F153" s="201"/>
      <c r="G153" s="201"/>
      <c r="H153" s="201"/>
      <c r="I153" s="201"/>
      <c r="J153" s="201"/>
      <c r="K153" s="201"/>
      <c r="L153" s="201"/>
      <c r="M153" s="201"/>
    </row>
    <row r="154" ht="12.75" customHeight="1">
      <c r="C154" s="201"/>
      <c r="D154" s="201"/>
      <c r="E154" s="201"/>
      <c r="F154" s="201"/>
      <c r="G154" s="201"/>
      <c r="H154" s="201"/>
      <c r="I154" s="201"/>
      <c r="J154" s="201"/>
      <c r="K154" s="201"/>
      <c r="L154" s="201"/>
      <c r="M154" s="201"/>
    </row>
    <row r="155" ht="12.75" customHeight="1">
      <c r="C155" s="201"/>
      <c r="D155" s="201"/>
      <c r="E155" s="201"/>
      <c r="F155" s="201"/>
      <c r="G155" s="201"/>
      <c r="H155" s="201"/>
      <c r="I155" s="201"/>
      <c r="J155" s="201"/>
      <c r="K155" s="201"/>
      <c r="L155" s="201"/>
      <c r="M155" s="201"/>
    </row>
    <row r="156" ht="12.75" customHeight="1"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  <c r="M156" s="201"/>
    </row>
    <row r="157" ht="12.75" customHeight="1"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  <c r="M157" s="201"/>
    </row>
    <row r="158" ht="12.75" customHeight="1"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  <c r="M158" s="201"/>
    </row>
    <row r="159" ht="12.75" customHeight="1">
      <c r="C159" s="201"/>
      <c r="D159" s="201"/>
      <c r="E159" s="201"/>
      <c r="F159" s="201"/>
      <c r="G159" s="201"/>
      <c r="H159" s="201"/>
      <c r="I159" s="201"/>
      <c r="J159" s="201"/>
      <c r="K159" s="201"/>
      <c r="L159" s="201"/>
      <c r="M159" s="201"/>
    </row>
    <row r="160" ht="12.75" customHeight="1">
      <c r="C160" s="201"/>
      <c r="D160" s="201"/>
      <c r="E160" s="201"/>
      <c r="F160" s="201"/>
      <c r="G160" s="201"/>
      <c r="H160" s="201"/>
      <c r="I160" s="201"/>
      <c r="J160" s="201"/>
      <c r="K160" s="201"/>
      <c r="L160" s="201"/>
      <c r="M160" s="201"/>
    </row>
    <row r="161" ht="12.75" customHeight="1">
      <c r="C161" s="201"/>
      <c r="D161" s="201"/>
      <c r="E161" s="201"/>
      <c r="F161" s="201"/>
      <c r="G161" s="201"/>
      <c r="H161" s="201"/>
      <c r="I161" s="201"/>
      <c r="J161" s="201"/>
      <c r="K161" s="201"/>
      <c r="L161" s="201"/>
      <c r="M161" s="201"/>
    </row>
    <row r="162" ht="12.75" customHeight="1">
      <c r="C162" s="201"/>
      <c r="D162" s="201"/>
      <c r="E162" s="201"/>
      <c r="F162" s="201"/>
      <c r="G162" s="201"/>
      <c r="H162" s="201"/>
      <c r="I162" s="201"/>
      <c r="J162" s="201"/>
      <c r="K162" s="201"/>
      <c r="L162" s="201"/>
      <c r="M162" s="201"/>
    </row>
    <row r="163" ht="12.75" customHeight="1"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M163" s="201"/>
    </row>
    <row r="164" ht="12.75" customHeight="1"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01"/>
    </row>
    <row r="165" ht="12.75" customHeight="1">
      <c r="C165" s="201"/>
      <c r="D165" s="201"/>
      <c r="E165" s="201"/>
      <c r="F165" s="201"/>
      <c r="G165" s="201"/>
      <c r="H165" s="201"/>
      <c r="I165" s="201"/>
      <c r="J165" s="201"/>
      <c r="K165" s="201"/>
      <c r="L165" s="201"/>
      <c r="M165" s="201"/>
    </row>
    <row r="166" ht="12.75" customHeight="1"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</row>
    <row r="167" ht="12.75" customHeight="1">
      <c r="C167" s="201"/>
      <c r="D167" s="201"/>
      <c r="E167" s="201"/>
      <c r="F167" s="201"/>
      <c r="G167" s="201"/>
      <c r="H167" s="201"/>
      <c r="I167" s="201"/>
      <c r="J167" s="201"/>
      <c r="K167" s="201"/>
      <c r="L167" s="201"/>
      <c r="M167" s="201"/>
    </row>
    <row r="168" ht="12.75" customHeight="1"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01"/>
    </row>
    <row r="169" ht="12.75" customHeight="1">
      <c r="C169" s="201"/>
      <c r="D169" s="201"/>
      <c r="E169" s="201"/>
      <c r="F169" s="201"/>
      <c r="G169" s="201"/>
      <c r="H169" s="201"/>
      <c r="I169" s="201"/>
      <c r="J169" s="201"/>
      <c r="K169" s="201"/>
      <c r="L169" s="201"/>
      <c r="M169" s="201"/>
    </row>
    <row r="170" ht="12.75" customHeight="1">
      <c r="C170" s="201"/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</row>
    <row r="171" ht="12.75" customHeight="1">
      <c r="C171" s="201"/>
      <c r="D171" s="201"/>
      <c r="E171" s="201"/>
      <c r="F171" s="201"/>
      <c r="G171" s="201"/>
      <c r="H171" s="201"/>
      <c r="I171" s="201"/>
      <c r="J171" s="201"/>
      <c r="K171" s="201"/>
      <c r="L171" s="201"/>
      <c r="M171" s="201"/>
    </row>
    <row r="172" ht="12.75" customHeight="1"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</row>
    <row r="173" ht="12.75" customHeight="1"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</row>
    <row r="174" ht="12.75" customHeight="1">
      <c r="C174" s="201"/>
      <c r="D174" s="201"/>
      <c r="E174" s="201"/>
      <c r="F174" s="201"/>
      <c r="G174" s="201"/>
      <c r="H174" s="201"/>
      <c r="I174" s="201"/>
      <c r="J174" s="201"/>
      <c r="K174" s="201"/>
      <c r="L174" s="201"/>
      <c r="M174" s="201"/>
    </row>
    <row r="175" ht="12.75" customHeight="1">
      <c r="C175" s="201"/>
      <c r="D175" s="201"/>
      <c r="E175" s="201"/>
      <c r="F175" s="201"/>
      <c r="G175" s="201"/>
      <c r="H175" s="201"/>
      <c r="I175" s="201"/>
      <c r="J175" s="201"/>
      <c r="K175" s="201"/>
      <c r="L175" s="201"/>
      <c r="M175" s="201"/>
    </row>
    <row r="176" ht="12.75" customHeight="1"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</row>
    <row r="177" ht="12.75" customHeight="1"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  <c r="M177" s="201"/>
    </row>
    <row r="178" ht="12.75" customHeight="1"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</row>
    <row r="179" ht="12.75" customHeight="1">
      <c r="C179" s="201"/>
      <c r="D179" s="201"/>
      <c r="E179" s="201"/>
      <c r="F179" s="201"/>
      <c r="G179" s="201"/>
      <c r="H179" s="201"/>
      <c r="I179" s="201"/>
      <c r="J179" s="201"/>
      <c r="K179" s="201"/>
      <c r="L179" s="201"/>
      <c r="M179" s="201"/>
    </row>
    <row r="180" ht="12.75" customHeight="1"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</row>
    <row r="181" ht="12.75" customHeight="1"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</row>
    <row r="182" ht="12.75" customHeight="1"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</row>
    <row r="183" ht="12.75" customHeight="1"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  <c r="M183" s="201"/>
    </row>
    <row r="184" ht="12.75" customHeight="1">
      <c r="C184" s="201"/>
      <c r="D184" s="201"/>
      <c r="E184" s="201"/>
      <c r="F184" s="201"/>
      <c r="G184" s="201"/>
      <c r="H184" s="201"/>
      <c r="I184" s="201"/>
      <c r="J184" s="201"/>
      <c r="K184" s="201"/>
      <c r="L184" s="201"/>
      <c r="M184" s="201"/>
    </row>
    <row r="185" ht="12.75" customHeight="1">
      <c r="C185" s="201"/>
      <c r="D185" s="201"/>
      <c r="E185" s="201"/>
      <c r="F185" s="201"/>
      <c r="G185" s="201"/>
      <c r="H185" s="201"/>
      <c r="I185" s="201"/>
      <c r="J185" s="201"/>
      <c r="K185" s="201"/>
      <c r="L185" s="201"/>
      <c r="M185" s="201"/>
    </row>
    <row r="186" ht="12.75" customHeight="1"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  <c r="M186" s="201"/>
    </row>
    <row r="187" ht="12.75" customHeight="1">
      <c r="C187" s="201"/>
      <c r="D187" s="201"/>
      <c r="E187" s="201"/>
      <c r="F187" s="201"/>
      <c r="G187" s="201"/>
      <c r="H187" s="201"/>
      <c r="I187" s="201"/>
      <c r="J187" s="201"/>
      <c r="K187" s="201"/>
      <c r="L187" s="201"/>
      <c r="M187" s="201"/>
    </row>
    <row r="188" ht="12.75" customHeight="1">
      <c r="C188" s="201"/>
      <c r="D188" s="201"/>
      <c r="E188" s="201"/>
      <c r="F188" s="201"/>
      <c r="G188" s="201"/>
      <c r="H188" s="201"/>
      <c r="I188" s="201"/>
      <c r="J188" s="201"/>
      <c r="K188" s="201"/>
      <c r="L188" s="201"/>
      <c r="M188" s="201"/>
    </row>
    <row r="189" ht="12.75" customHeight="1">
      <c r="C189" s="201"/>
      <c r="D189" s="201"/>
      <c r="E189" s="201"/>
      <c r="F189" s="201"/>
      <c r="G189" s="201"/>
      <c r="H189" s="201"/>
      <c r="I189" s="201"/>
      <c r="J189" s="201"/>
      <c r="K189" s="201"/>
      <c r="L189" s="201"/>
      <c r="M189" s="201"/>
    </row>
    <row r="190" ht="12.75" customHeight="1">
      <c r="C190" s="201"/>
      <c r="D190" s="201"/>
      <c r="E190" s="201"/>
      <c r="F190" s="201"/>
      <c r="G190" s="201"/>
      <c r="H190" s="201"/>
      <c r="I190" s="201"/>
      <c r="J190" s="201"/>
      <c r="K190" s="201"/>
      <c r="L190" s="201"/>
      <c r="M190" s="201"/>
    </row>
    <row r="191" ht="12.75" customHeight="1"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</row>
    <row r="192" ht="12.75" customHeight="1">
      <c r="C192" s="201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</row>
    <row r="193" ht="12.75" customHeight="1">
      <c r="C193" s="201"/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</row>
    <row r="194" ht="12.75" customHeight="1">
      <c r="C194" s="201"/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</row>
    <row r="195" ht="12.75" customHeight="1">
      <c r="C195" s="201"/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</row>
    <row r="196" ht="12.75" customHeight="1">
      <c r="C196" s="201"/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</row>
    <row r="197" ht="12.75" customHeight="1">
      <c r="C197" s="201"/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</row>
    <row r="198" ht="12.75" customHeight="1">
      <c r="C198" s="201"/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</row>
    <row r="199" ht="12.75" customHeight="1">
      <c r="C199" s="201"/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</row>
    <row r="200" ht="12.75" customHeight="1">
      <c r="C200" s="201"/>
      <c r="D200" s="201"/>
      <c r="E200" s="201"/>
      <c r="F200" s="201"/>
      <c r="G200" s="201"/>
      <c r="H200" s="201"/>
      <c r="I200" s="201"/>
      <c r="J200" s="201"/>
      <c r="K200" s="201"/>
      <c r="L200" s="201"/>
      <c r="M200" s="201"/>
    </row>
    <row r="201" ht="12.75" customHeight="1">
      <c r="C201" s="201"/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</row>
    <row r="202" ht="12.75" customHeight="1">
      <c r="C202" s="201"/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</row>
    <row r="203" ht="12.75" customHeight="1">
      <c r="C203" s="201"/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</row>
    <row r="204" ht="12.75" customHeight="1">
      <c r="C204" s="201"/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</row>
    <row r="205" ht="12.75" customHeight="1">
      <c r="C205" s="201"/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</row>
    <row r="206" ht="12.75" customHeight="1">
      <c r="C206" s="201"/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</row>
    <row r="207" ht="12.75" customHeight="1">
      <c r="C207" s="201"/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</row>
    <row r="208" ht="12.75" customHeight="1">
      <c r="C208" s="201"/>
      <c r="D208" s="201"/>
      <c r="E208" s="201"/>
      <c r="F208" s="201"/>
      <c r="G208" s="201"/>
      <c r="H208" s="201"/>
      <c r="I208" s="201"/>
      <c r="J208" s="201"/>
      <c r="K208" s="201"/>
      <c r="L208" s="201"/>
      <c r="M208" s="201"/>
    </row>
    <row r="209" ht="12.75" customHeight="1">
      <c r="C209" s="201"/>
      <c r="D209" s="201"/>
      <c r="E209" s="201"/>
      <c r="F209" s="201"/>
      <c r="G209" s="201"/>
      <c r="H209" s="201"/>
      <c r="I209" s="201"/>
      <c r="J209" s="201"/>
      <c r="K209" s="201"/>
      <c r="L209" s="201"/>
      <c r="M209" s="201"/>
    </row>
    <row r="210" ht="12.75" customHeight="1">
      <c r="C210" s="201"/>
      <c r="D210" s="201"/>
      <c r="E210" s="201"/>
      <c r="F210" s="201"/>
      <c r="G210" s="201"/>
      <c r="H210" s="201"/>
      <c r="I210" s="201"/>
      <c r="J210" s="201"/>
      <c r="K210" s="201"/>
      <c r="L210" s="201"/>
      <c r="M210" s="201"/>
    </row>
    <row r="211" ht="12.75" customHeight="1">
      <c r="C211" s="201"/>
      <c r="D211" s="201"/>
      <c r="E211" s="201"/>
      <c r="F211" s="201"/>
      <c r="G211" s="201"/>
      <c r="H211" s="201"/>
      <c r="I211" s="201"/>
      <c r="J211" s="201"/>
      <c r="K211" s="201"/>
      <c r="L211" s="201"/>
      <c r="M211" s="201"/>
    </row>
    <row r="212" ht="12.75" customHeight="1">
      <c r="C212" s="201"/>
      <c r="D212" s="201"/>
      <c r="E212" s="201"/>
      <c r="F212" s="201"/>
      <c r="G212" s="201"/>
      <c r="H212" s="201"/>
      <c r="I212" s="201"/>
      <c r="J212" s="201"/>
      <c r="K212" s="201"/>
      <c r="L212" s="201"/>
      <c r="M212" s="201"/>
    </row>
    <row r="213" ht="12.75" customHeight="1">
      <c r="C213" s="201"/>
      <c r="D213" s="201"/>
      <c r="E213" s="201"/>
      <c r="F213" s="201"/>
      <c r="G213" s="201"/>
      <c r="H213" s="201"/>
      <c r="I213" s="201"/>
      <c r="J213" s="201"/>
      <c r="K213" s="201"/>
      <c r="L213" s="201"/>
      <c r="M213" s="201"/>
    </row>
    <row r="214" ht="12.75" customHeight="1">
      <c r="C214" s="201"/>
      <c r="D214" s="201"/>
      <c r="E214" s="201"/>
      <c r="F214" s="201"/>
      <c r="G214" s="201"/>
      <c r="H214" s="201"/>
      <c r="I214" s="201"/>
      <c r="J214" s="201"/>
      <c r="K214" s="201"/>
      <c r="L214" s="201"/>
      <c r="M214" s="201"/>
    </row>
    <row r="215" ht="12.75" customHeight="1">
      <c r="C215" s="201"/>
      <c r="D215" s="201"/>
      <c r="E215" s="201"/>
      <c r="F215" s="201"/>
      <c r="G215" s="201"/>
      <c r="H215" s="201"/>
      <c r="I215" s="201"/>
      <c r="J215" s="201"/>
      <c r="K215" s="201"/>
      <c r="L215" s="201"/>
      <c r="M215" s="201"/>
    </row>
    <row r="216" ht="12.75" customHeight="1">
      <c r="C216" s="201"/>
      <c r="D216" s="201"/>
      <c r="E216" s="201"/>
      <c r="F216" s="201"/>
      <c r="G216" s="201"/>
      <c r="H216" s="201"/>
      <c r="I216" s="201"/>
      <c r="J216" s="201"/>
      <c r="K216" s="201"/>
      <c r="L216" s="201"/>
      <c r="M216" s="201"/>
    </row>
    <row r="217" ht="12.75" customHeight="1">
      <c r="C217" s="201"/>
      <c r="D217" s="201"/>
      <c r="E217" s="201"/>
      <c r="F217" s="201"/>
      <c r="G217" s="201"/>
      <c r="H217" s="201"/>
      <c r="I217" s="201"/>
      <c r="J217" s="201"/>
      <c r="K217" s="201"/>
      <c r="L217" s="201"/>
      <c r="M217" s="201"/>
    </row>
    <row r="218" ht="12.75" customHeight="1">
      <c r="C218" s="201"/>
      <c r="D218" s="201"/>
      <c r="E218" s="201"/>
      <c r="F218" s="201"/>
      <c r="G218" s="201"/>
      <c r="H218" s="201"/>
      <c r="I218" s="201"/>
      <c r="J218" s="201"/>
      <c r="K218" s="201"/>
      <c r="L218" s="201"/>
      <c r="M218" s="201"/>
    </row>
    <row r="219" ht="12.75" customHeight="1">
      <c r="C219" s="201"/>
      <c r="D219" s="201"/>
      <c r="E219" s="201"/>
      <c r="F219" s="201"/>
      <c r="G219" s="201"/>
      <c r="H219" s="201"/>
      <c r="I219" s="201"/>
      <c r="J219" s="201"/>
      <c r="K219" s="201"/>
      <c r="L219" s="201"/>
      <c r="M219" s="201"/>
    </row>
    <row r="220" ht="12.75" customHeight="1">
      <c r="C220" s="201"/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</row>
    <row r="221" ht="12.75" customHeight="1">
      <c r="C221" s="201"/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</row>
    <row r="222" ht="12.75" customHeight="1">
      <c r="C222" s="201"/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</row>
    <row r="223" ht="12.75" customHeight="1">
      <c r="C223" s="201"/>
      <c r="D223" s="201"/>
      <c r="E223" s="201"/>
      <c r="F223" s="201"/>
      <c r="G223" s="201"/>
      <c r="H223" s="201"/>
      <c r="I223" s="201"/>
      <c r="J223" s="201"/>
      <c r="K223" s="201"/>
      <c r="L223" s="201"/>
      <c r="M223" s="201"/>
    </row>
    <row r="224" ht="12.75" customHeight="1">
      <c r="C224" s="201"/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</row>
    <row r="225" ht="12.75" customHeight="1">
      <c r="C225" s="201"/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</row>
    <row r="226" ht="12.75" customHeight="1">
      <c r="C226" s="201"/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</row>
    <row r="227" ht="12.75" customHeight="1">
      <c r="C227" s="201"/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</row>
    <row r="228" ht="12.75" customHeight="1">
      <c r="C228" s="201"/>
      <c r="D228" s="201"/>
      <c r="E228" s="201"/>
      <c r="F228" s="201"/>
      <c r="G228" s="201"/>
      <c r="H228" s="201"/>
      <c r="I228" s="201"/>
      <c r="J228" s="201"/>
      <c r="K228" s="201"/>
      <c r="L228" s="201"/>
      <c r="M228" s="201"/>
    </row>
    <row r="229" ht="12.75" customHeight="1">
      <c r="C229" s="201"/>
      <c r="D229" s="201"/>
      <c r="E229" s="201"/>
      <c r="F229" s="201"/>
      <c r="G229" s="201"/>
      <c r="H229" s="201"/>
      <c r="I229" s="201"/>
      <c r="J229" s="201"/>
      <c r="K229" s="201"/>
      <c r="L229" s="201"/>
      <c r="M229" s="201"/>
    </row>
    <row r="230" ht="12.75" customHeight="1">
      <c r="C230" s="201"/>
      <c r="D230" s="201"/>
      <c r="E230" s="201"/>
      <c r="F230" s="201"/>
      <c r="G230" s="201"/>
      <c r="H230" s="201"/>
      <c r="I230" s="201"/>
      <c r="J230" s="201"/>
      <c r="K230" s="201"/>
      <c r="L230" s="201"/>
      <c r="M230" s="201"/>
    </row>
    <row r="231" ht="12.75" customHeight="1">
      <c r="C231" s="201"/>
      <c r="D231" s="201"/>
      <c r="E231" s="201"/>
      <c r="F231" s="201"/>
      <c r="G231" s="201"/>
      <c r="H231" s="201"/>
      <c r="I231" s="201"/>
      <c r="J231" s="201"/>
      <c r="K231" s="201"/>
      <c r="L231" s="201"/>
      <c r="M231" s="201"/>
    </row>
    <row r="232" ht="12.75" customHeight="1">
      <c r="C232" s="201"/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</row>
    <row r="233" ht="12.75" customHeight="1">
      <c r="C233" s="201"/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</row>
    <row r="234" ht="12.75" customHeight="1">
      <c r="C234" s="201"/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</row>
    <row r="235" ht="12.75" customHeight="1">
      <c r="C235" s="201"/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</row>
    <row r="236" ht="12.75" customHeight="1">
      <c r="C236" s="201"/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</row>
    <row r="237" ht="12.75" customHeight="1">
      <c r="C237" s="201"/>
      <c r="D237" s="201"/>
      <c r="E237" s="201"/>
      <c r="F237" s="201"/>
      <c r="G237" s="201"/>
      <c r="H237" s="201"/>
      <c r="I237" s="201"/>
      <c r="J237" s="201"/>
      <c r="K237" s="201"/>
      <c r="L237" s="201"/>
      <c r="M237" s="201"/>
    </row>
    <row r="238" ht="12.75" customHeight="1">
      <c r="C238" s="201"/>
      <c r="D238" s="201"/>
      <c r="E238" s="201"/>
      <c r="F238" s="201"/>
      <c r="G238" s="201"/>
      <c r="H238" s="201"/>
      <c r="I238" s="201"/>
      <c r="J238" s="201"/>
      <c r="K238" s="201"/>
      <c r="L238" s="201"/>
      <c r="M238" s="201"/>
    </row>
    <row r="239" ht="12.75" customHeight="1">
      <c r="C239" s="201"/>
      <c r="D239" s="201"/>
      <c r="E239" s="201"/>
      <c r="F239" s="201"/>
      <c r="G239" s="201"/>
      <c r="H239" s="201"/>
      <c r="I239" s="201"/>
      <c r="J239" s="201"/>
      <c r="K239" s="201"/>
      <c r="L239" s="201"/>
      <c r="M239" s="201"/>
    </row>
    <row r="240" ht="12.75" customHeight="1">
      <c r="C240" s="201"/>
      <c r="D240" s="201"/>
      <c r="E240" s="201"/>
      <c r="F240" s="201"/>
      <c r="G240" s="201"/>
      <c r="H240" s="201"/>
      <c r="I240" s="201"/>
      <c r="J240" s="201"/>
      <c r="K240" s="201"/>
      <c r="L240" s="201"/>
      <c r="M240" s="201"/>
    </row>
    <row r="241" ht="12.75" customHeight="1">
      <c r="C241" s="201"/>
      <c r="D241" s="201"/>
      <c r="E241" s="201"/>
      <c r="F241" s="201"/>
      <c r="G241" s="201"/>
      <c r="H241" s="201"/>
      <c r="I241" s="201"/>
      <c r="J241" s="201"/>
      <c r="K241" s="201"/>
      <c r="L241" s="201"/>
      <c r="M241" s="201"/>
    </row>
    <row r="242" ht="12.75" customHeight="1">
      <c r="C242" s="201"/>
      <c r="D242" s="201"/>
      <c r="E242" s="201"/>
      <c r="F242" s="201"/>
      <c r="G242" s="201"/>
      <c r="H242" s="201"/>
      <c r="I242" s="201"/>
      <c r="J242" s="201"/>
      <c r="K242" s="201"/>
      <c r="L242" s="201"/>
      <c r="M242" s="201"/>
    </row>
    <row r="243" ht="12.75" customHeight="1">
      <c r="C243" s="201"/>
      <c r="D243" s="201"/>
      <c r="E243" s="201"/>
      <c r="F243" s="201"/>
      <c r="G243" s="201"/>
      <c r="H243" s="201"/>
      <c r="I243" s="201"/>
      <c r="J243" s="201"/>
      <c r="K243" s="201"/>
      <c r="L243" s="201"/>
      <c r="M243" s="201"/>
    </row>
    <row r="244" ht="12.75" customHeight="1">
      <c r="C244" s="201"/>
      <c r="D244" s="201"/>
      <c r="E244" s="201"/>
      <c r="F244" s="201"/>
      <c r="G244" s="201"/>
      <c r="H244" s="201"/>
      <c r="I244" s="201"/>
      <c r="J244" s="201"/>
      <c r="K244" s="201"/>
      <c r="L244" s="201"/>
      <c r="M244" s="201"/>
    </row>
    <row r="245" ht="12.75" customHeight="1">
      <c r="C245" s="201"/>
      <c r="D245" s="201"/>
      <c r="E245" s="201"/>
      <c r="F245" s="201"/>
      <c r="G245" s="201"/>
      <c r="H245" s="201"/>
      <c r="I245" s="201"/>
      <c r="J245" s="201"/>
      <c r="K245" s="201"/>
      <c r="L245" s="201"/>
      <c r="M245" s="201"/>
    </row>
    <row r="246" ht="12.75" customHeight="1">
      <c r="C246" s="201"/>
      <c r="D246" s="201"/>
      <c r="E246" s="201"/>
      <c r="F246" s="201"/>
      <c r="G246" s="201"/>
      <c r="H246" s="201"/>
      <c r="I246" s="201"/>
      <c r="J246" s="201"/>
      <c r="K246" s="201"/>
      <c r="L246" s="201"/>
      <c r="M246" s="201"/>
    </row>
    <row r="247" ht="12.75" customHeight="1">
      <c r="C247" s="201"/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</row>
    <row r="248" ht="12.75" customHeight="1">
      <c r="C248" s="201"/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</row>
    <row r="249" ht="12.75" customHeight="1">
      <c r="C249" s="201"/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</row>
    <row r="250" ht="12.75" customHeight="1">
      <c r="C250" s="201"/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</row>
    <row r="251" ht="12.75" customHeight="1">
      <c r="C251" s="201"/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</row>
    <row r="252" ht="12.75" customHeight="1">
      <c r="C252" s="201"/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</row>
    <row r="253" ht="12.75" customHeight="1">
      <c r="C253" s="201"/>
      <c r="D253" s="201"/>
      <c r="E253" s="201"/>
      <c r="F253" s="201"/>
      <c r="G253" s="201"/>
      <c r="H253" s="201"/>
      <c r="I253" s="201"/>
      <c r="J253" s="201"/>
      <c r="K253" s="201"/>
      <c r="L253" s="201"/>
      <c r="M253" s="201"/>
    </row>
    <row r="254" ht="12.75" customHeight="1">
      <c r="C254" s="201"/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</row>
    <row r="255" ht="12.75" customHeight="1">
      <c r="C255" s="201"/>
      <c r="D255" s="201"/>
      <c r="E255" s="201"/>
      <c r="F255" s="201"/>
      <c r="G255" s="201"/>
      <c r="H255" s="201"/>
      <c r="I255" s="201"/>
      <c r="J255" s="201"/>
      <c r="K255" s="201"/>
      <c r="L255" s="201"/>
      <c r="M255" s="201"/>
    </row>
    <row r="256" ht="12.75" customHeight="1">
      <c r="C256" s="201"/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</row>
    <row r="257" ht="12.75" customHeight="1">
      <c r="C257" s="201"/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</row>
    <row r="258" ht="12.75" customHeight="1">
      <c r="C258" s="201"/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</row>
    <row r="259" ht="12.75" customHeight="1">
      <c r="C259" s="201"/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</row>
    <row r="260" ht="12.75" customHeight="1">
      <c r="C260" s="201"/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</row>
    <row r="261" ht="12.75" customHeight="1">
      <c r="C261" s="201"/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</row>
    <row r="262" ht="12.75" customHeight="1">
      <c r="C262" s="201"/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</row>
    <row r="263" ht="12.75" customHeight="1">
      <c r="C263" s="201"/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</row>
    <row r="264" ht="12.75" customHeight="1">
      <c r="C264" s="201"/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</row>
    <row r="265" ht="12.75" customHeight="1">
      <c r="C265" s="201"/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</row>
    <row r="266" ht="12.75" customHeight="1">
      <c r="C266" s="201"/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</row>
    <row r="267" ht="12.75" customHeight="1">
      <c r="C267" s="201"/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</row>
    <row r="268" ht="12.75" customHeight="1">
      <c r="C268" s="201"/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</row>
    <row r="269" ht="12.75" customHeight="1">
      <c r="C269" s="201"/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</row>
    <row r="270" ht="12.75" customHeight="1">
      <c r="C270" s="201"/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</row>
    <row r="271" ht="12.75" customHeight="1">
      <c r="C271" s="201"/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</row>
    <row r="272" ht="12.75" customHeight="1">
      <c r="C272" s="201"/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</row>
    <row r="273" ht="12.75" customHeight="1">
      <c r="C273" s="201"/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</row>
    <row r="274" ht="12.75" customHeight="1">
      <c r="C274" s="201"/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</row>
    <row r="275" ht="12.75" customHeight="1">
      <c r="C275" s="201"/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</row>
    <row r="276" ht="12.75" customHeight="1">
      <c r="C276" s="201"/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</row>
    <row r="277" ht="12.75" customHeight="1">
      <c r="C277" s="201"/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</row>
    <row r="278" ht="12.75" customHeight="1">
      <c r="C278" s="201"/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</row>
    <row r="279" ht="12.75" customHeight="1">
      <c r="C279" s="201"/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</row>
    <row r="280" ht="12.75" customHeight="1">
      <c r="C280" s="201"/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</row>
    <row r="281" ht="12.75" customHeight="1">
      <c r="C281" s="201"/>
      <c r="D281" s="201"/>
      <c r="E281" s="201"/>
      <c r="F281" s="201"/>
      <c r="G281" s="201"/>
      <c r="H281" s="201"/>
      <c r="I281" s="201"/>
      <c r="J281" s="201"/>
      <c r="K281" s="201"/>
      <c r="L281" s="201"/>
      <c r="M281" s="201"/>
    </row>
    <row r="282" ht="12.75" customHeight="1">
      <c r="C282" s="201"/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</row>
    <row r="283" ht="12.75" customHeight="1">
      <c r="C283" s="201"/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</row>
    <row r="284" ht="12.75" customHeight="1">
      <c r="C284" s="201"/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</row>
    <row r="285" ht="12.75" customHeight="1">
      <c r="C285" s="201"/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</row>
    <row r="286" ht="12.75" customHeight="1">
      <c r="C286" s="201"/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</row>
    <row r="287" ht="12.75" customHeight="1">
      <c r="C287" s="201"/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</row>
    <row r="288" ht="12.75" customHeight="1">
      <c r="C288" s="201"/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</row>
    <row r="289" ht="12.75" customHeight="1">
      <c r="C289" s="201"/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</row>
    <row r="290" ht="12.75" customHeight="1">
      <c r="C290" s="201"/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</row>
    <row r="291" ht="12.75" customHeight="1">
      <c r="C291" s="201"/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</row>
    <row r="292" ht="12.75" customHeight="1">
      <c r="C292" s="201"/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</row>
    <row r="293" ht="12.75" customHeight="1">
      <c r="C293" s="201"/>
      <c r="D293" s="201"/>
      <c r="E293" s="201"/>
      <c r="F293" s="201"/>
      <c r="G293" s="201"/>
      <c r="H293" s="201"/>
      <c r="I293" s="201"/>
      <c r="J293" s="201"/>
      <c r="K293" s="201"/>
      <c r="L293" s="201"/>
      <c r="M293" s="201"/>
    </row>
    <row r="294" ht="12.75" customHeight="1">
      <c r="C294" s="201"/>
      <c r="D294" s="201"/>
      <c r="E294" s="201"/>
      <c r="F294" s="201"/>
      <c r="G294" s="201"/>
      <c r="H294" s="201"/>
      <c r="I294" s="201"/>
      <c r="J294" s="201"/>
      <c r="K294" s="201"/>
      <c r="L294" s="201"/>
      <c r="M294" s="201"/>
    </row>
    <row r="295" ht="12.75" customHeight="1">
      <c r="C295" s="201"/>
      <c r="D295" s="201"/>
      <c r="E295" s="201"/>
      <c r="F295" s="201"/>
      <c r="G295" s="201"/>
      <c r="H295" s="201"/>
      <c r="I295" s="201"/>
      <c r="J295" s="201"/>
      <c r="K295" s="201"/>
      <c r="L295" s="201"/>
      <c r="M295" s="201"/>
    </row>
    <row r="296" ht="12.75" customHeight="1">
      <c r="C296" s="201"/>
      <c r="D296" s="201"/>
      <c r="E296" s="201"/>
      <c r="F296" s="201"/>
      <c r="G296" s="201"/>
      <c r="H296" s="201"/>
      <c r="I296" s="201"/>
      <c r="J296" s="201"/>
      <c r="K296" s="201"/>
      <c r="L296" s="201"/>
      <c r="M296" s="201"/>
    </row>
    <row r="297" ht="12.75" customHeight="1">
      <c r="C297" s="201"/>
      <c r="D297" s="201"/>
      <c r="E297" s="201"/>
      <c r="F297" s="201"/>
      <c r="G297" s="201"/>
      <c r="H297" s="201"/>
      <c r="I297" s="201"/>
      <c r="J297" s="201"/>
      <c r="K297" s="201"/>
      <c r="L297" s="201"/>
      <c r="M297" s="201"/>
    </row>
    <row r="298" ht="12.75" customHeight="1">
      <c r="C298" s="201"/>
      <c r="D298" s="201"/>
      <c r="E298" s="201"/>
      <c r="F298" s="201"/>
      <c r="G298" s="201"/>
      <c r="H298" s="201"/>
      <c r="I298" s="201"/>
      <c r="J298" s="201"/>
      <c r="K298" s="201"/>
      <c r="L298" s="201"/>
      <c r="M298" s="201"/>
    </row>
    <row r="299" ht="12.75" customHeight="1">
      <c r="C299" s="201"/>
      <c r="D299" s="201"/>
      <c r="E299" s="201"/>
      <c r="F299" s="201"/>
      <c r="G299" s="201"/>
      <c r="H299" s="201"/>
      <c r="I299" s="201"/>
      <c r="J299" s="201"/>
      <c r="K299" s="201"/>
      <c r="L299" s="201"/>
      <c r="M299" s="201"/>
    </row>
    <row r="300" ht="12.75" customHeight="1">
      <c r="C300" s="201"/>
      <c r="D300" s="201"/>
      <c r="E300" s="201"/>
      <c r="F300" s="201"/>
      <c r="G300" s="201"/>
      <c r="H300" s="201"/>
      <c r="I300" s="201"/>
      <c r="J300" s="201"/>
      <c r="K300" s="201"/>
      <c r="L300" s="201"/>
      <c r="M300" s="201"/>
    </row>
    <row r="301" ht="12.75" customHeight="1">
      <c r="C301" s="201"/>
      <c r="D301" s="201"/>
      <c r="E301" s="201"/>
      <c r="F301" s="201"/>
      <c r="G301" s="201"/>
      <c r="H301" s="201"/>
      <c r="I301" s="201"/>
      <c r="J301" s="201"/>
      <c r="K301" s="201"/>
      <c r="L301" s="201"/>
      <c r="M301" s="201"/>
    </row>
    <row r="302" ht="12.75" customHeight="1">
      <c r="C302" s="201"/>
      <c r="D302" s="201"/>
      <c r="E302" s="201"/>
      <c r="F302" s="201"/>
      <c r="G302" s="201"/>
      <c r="H302" s="201"/>
      <c r="I302" s="201"/>
      <c r="J302" s="201"/>
      <c r="K302" s="201"/>
      <c r="L302" s="201"/>
      <c r="M302" s="201"/>
    </row>
    <row r="303" ht="12.75" customHeight="1">
      <c r="C303" s="201"/>
      <c r="D303" s="201"/>
      <c r="E303" s="201"/>
      <c r="F303" s="201"/>
      <c r="G303" s="201"/>
      <c r="H303" s="201"/>
      <c r="I303" s="201"/>
      <c r="J303" s="201"/>
      <c r="K303" s="201"/>
      <c r="L303" s="201"/>
      <c r="M303" s="201"/>
    </row>
    <row r="304" ht="12.75" customHeight="1">
      <c r="C304" s="201"/>
      <c r="D304" s="201"/>
      <c r="E304" s="201"/>
      <c r="F304" s="201"/>
      <c r="G304" s="201"/>
      <c r="H304" s="201"/>
      <c r="I304" s="201"/>
      <c r="J304" s="201"/>
      <c r="K304" s="201"/>
      <c r="L304" s="201"/>
      <c r="M304" s="201"/>
    </row>
    <row r="305" ht="12.75" customHeight="1">
      <c r="C305" s="201"/>
      <c r="D305" s="201"/>
      <c r="E305" s="201"/>
      <c r="F305" s="201"/>
      <c r="G305" s="201"/>
      <c r="H305" s="201"/>
      <c r="I305" s="201"/>
      <c r="J305" s="201"/>
      <c r="K305" s="201"/>
      <c r="L305" s="201"/>
      <c r="M305" s="201"/>
    </row>
    <row r="306" ht="12.75" customHeight="1">
      <c r="C306" s="201"/>
      <c r="D306" s="201"/>
      <c r="E306" s="201"/>
      <c r="F306" s="201"/>
      <c r="G306" s="201"/>
      <c r="H306" s="201"/>
      <c r="I306" s="201"/>
      <c r="J306" s="201"/>
      <c r="K306" s="201"/>
      <c r="L306" s="201"/>
      <c r="M306" s="201"/>
    </row>
    <row r="307" ht="12.75" customHeight="1">
      <c r="C307" s="201"/>
      <c r="D307" s="201"/>
      <c r="E307" s="201"/>
      <c r="F307" s="201"/>
      <c r="G307" s="201"/>
      <c r="H307" s="201"/>
      <c r="I307" s="201"/>
      <c r="J307" s="201"/>
      <c r="K307" s="201"/>
      <c r="L307" s="201"/>
      <c r="M307" s="201"/>
    </row>
    <row r="308" ht="12.75" customHeight="1">
      <c r="C308" s="201"/>
      <c r="D308" s="201"/>
      <c r="E308" s="201"/>
      <c r="F308" s="201"/>
      <c r="G308" s="201"/>
      <c r="H308" s="201"/>
      <c r="I308" s="201"/>
      <c r="J308" s="201"/>
      <c r="K308" s="201"/>
      <c r="L308" s="201"/>
      <c r="M308" s="201"/>
    </row>
    <row r="309" ht="12.75" customHeight="1">
      <c r="C309" s="201"/>
      <c r="D309" s="201"/>
      <c r="E309" s="201"/>
      <c r="F309" s="201"/>
      <c r="G309" s="201"/>
      <c r="H309" s="201"/>
      <c r="I309" s="201"/>
      <c r="J309" s="201"/>
      <c r="K309" s="201"/>
      <c r="L309" s="201"/>
      <c r="M309" s="201"/>
    </row>
    <row r="310" ht="12.75" customHeight="1">
      <c r="C310" s="201"/>
      <c r="D310" s="201"/>
      <c r="E310" s="201"/>
      <c r="F310" s="201"/>
      <c r="G310" s="201"/>
      <c r="H310" s="201"/>
      <c r="I310" s="201"/>
      <c r="J310" s="201"/>
      <c r="K310" s="201"/>
      <c r="L310" s="201"/>
      <c r="M310" s="201"/>
    </row>
    <row r="311" ht="12.75" customHeight="1">
      <c r="C311" s="201"/>
      <c r="D311" s="201"/>
      <c r="E311" s="201"/>
      <c r="F311" s="201"/>
      <c r="G311" s="201"/>
      <c r="H311" s="201"/>
      <c r="I311" s="201"/>
      <c r="J311" s="201"/>
      <c r="K311" s="201"/>
      <c r="L311" s="201"/>
      <c r="M311" s="201"/>
    </row>
    <row r="312" ht="12.75" customHeight="1">
      <c r="C312" s="201"/>
      <c r="D312" s="201"/>
      <c r="E312" s="201"/>
      <c r="F312" s="201"/>
      <c r="G312" s="201"/>
      <c r="H312" s="201"/>
      <c r="I312" s="201"/>
      <c r="J312" s="201"/>
      <c r="K312" s="201"/>
      <c r="L312" s="201"/>
      <c r="M312" s="201"/>
    </row>
    <row r="313" ht="12.75" customHeight="1">
      <c r="C313" s="201"/>
      <c r="D313" s="201"/>
      <c r="E313" s="201"/>
      <c r="F313" s="201"/>
      <c r="G313" s="201"/>
      <c r="H313" s="201"/>
      <c r="I313" s="201"/>
      <c r="J313" s="201"/>
      <c r="K313" s="201"/>
      <c r="L313" s="201"/>
      <c r="M313" s="201"/>
    </row>
    <row r="314" ht="12.75" customHeight="1">
      <c r="C314" s="201"/>
      <c r="D314" s="201"/>
      <c r="E314" s="201"/>
      <c r="F314" s="201"/>
      <c r="G314" s="201"/>
      <c r="H314" s="201"/>
      <c r="I314" s="201"/>
      <c r="J314" s="201"/>
      <c r="K314" s="201"/>
      <c r="L314" s="201"/>
      <c r="M314" s="201"/>
    </row>
    <row r="315" ht="12.75" customHeight="1">
      <c r="C315" s="201"/>
      <c r="D315" s="201"/>
      <c r="E315" s="201"/>
      <c r="F315" s="201"/>
      <c r="G315" s="201"/>
      <c r="H315" s="201"/>
      <c r="I315" s="201"/>
      <c r="J315" s="201"/>
      <c r="K315" s="201"/>
      <c r="L315" s="201"/>
      <c r="M315" s="201"/>
    </row>
    <row r="316" ht="12.75" customHeight="1">
      <c r="C316" s="201"/>
      <c r="D316" s="201"/>
      <c r="E316" s="201"/>
      <c r="F316" s="201"/>
      <c r="G316" s="201"/>
      <c r="H316" s="201"/>
      <c r="I316" s="201"/>
      <c r="J316" s="201"/>
      <c r="K316" s="201"/>
      <c r="L316" s="201"/>
      <c r="M316" s="201"/>
    </row>
    <row r="317" ht="12.75" customHeight="1">
      <c r="C317" s="201"/>
      <c r="D317" s="201"/>
      <c r="E317" s="201"/>
      <c r="F317" s="201"/>
      <c r="G317" s="201"/>
      <c r="H317" s="201"/>
      <c r="I317" s="201"/>
      <c r="J317" s="201"/>
      <c r="K317" s="201"/>
      <c r="L317" s="201"/>
      <c r="M317" s="201"/>
    </row>
    <row r="318" ht="12.75" customHeight="1">
      <c r="C318" s="201"/>
      <c r="D318" s="201"/>
      <c r="E318" s="201"/>
      <c r="F318" s="201"/>
      <c r="G318" s="201"/>
      <c r="H318" s="201"/>
      <c r="I318" s="201"/>
      <c r="J318" s="201"/>
      <c r="K318" s="201"/>
      <c r="L318" s="201"/>
      <c r="M318" s="201"/>
    </row>
    <row r="319" ht="12.75" customHeight="1">
      <c r="C319" s="201"/>
      <c r="D319" s="201"/>
      <c r="E319" s="201"/>
      <c r="F319" s="201"/>
      <c r="G319" s="201"/>
      <c r="H319" s="201"/>
      <c r="I319" s="201"/>
      <c r="J319" s="201"/>
      <c r="K319" s="201"/>
      <c r="L319" s="201"/>
      <c r="M319" s="201"/>
    </row>
    <row r="320" ht="12.75" customHeight="1">
      <c r="C320" s="201"/>
      <c r="D320" s="201"/>
      <c r="E320" s="201"/>
      <c r="F320" s="201"/>
      <c r="G320" s="201"/>
      <c r="H320" s="201"/>
      <c r="I320" s="201"/>
      <c r="J320" s="201"/>
      <c r="K320" s="201"/>
      <c r="L320" s="201"/>
      <c r="M320" s="201"/>
    </row>
    <row r="321" ht="12.75" customHeight="1">
      <c r="C321" s="201"/>
      <c r="D321" s="201"/>
      <c r="E321" s="201"/>
      <c r="F321" s="201"/>
      <c r="G321" s="201"/>
      <c r="H321" s="201"/>
      <c r="I321" s="201"/>
      <c r="J321" s="201"/>
      <c r="K321" s="201"/>
      <c r="L321" s="201"/>
      <c r="M321" s="201"/>
    </row>
    <row r="322" ht="12.75" customHeight="1">
      <c r="C322" s="201"/>
      <c r="D322" s="201"/>
      <c r="E322" s="201"/>
      <c r="F322" s="201"/>
      <c r="G322" s="201"/>
      <c r="H322" s="201"/>
      <c r="I322" s="201"/>
      <c r="J322" s="201"/>
      <c r="K322" s="201"/>
      <c r="L322" s="201"/>
      <c r="M322" s="201"/>
    </row>
    <row r="323" ht="12.75" customHeight="1">
      <c r="C323" s="201"/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</row>
    <row r="324" ht="12.75" customHeight="1">
      <c r="C324" s="201"/>
      <c r="D324" s="201"/>
      <c r="E324" s="201"/>
      <c r="F324" s="201"/>
      <c r="G324" s="201"/>
      <c r="H324" s="201"/>
      <c r="I324" s="201"/>
      <c r="J324" s="201"/>
      <c r="K324" s="201"/>
      <c r="L324" s="201"/>
      <c r="M324" s="201"/>
    </row>
    <row r="325" ht="12.75" customHeight="1">
      <c r="C325" s="201"/>
      <c r="D325" s="201"/>
      <c r="E325" s="201"/>
      <c r="F325" s="201"/>
      <c r="G325" s="201"/>
      <c r="H325" s="201"/>
      <c r="I325" s="201"/>
      <c r="J325" s="201"/>
      <c r="K325" s="201"/>
      <c r="L325" s="201"/>
      <c r="M325" s="201"/>
    </row>
    <row r="326" ht="12.75" customHeight="1">
      <c r="C326" s="201"/>
      <c r="D326" s="201"/>
      <c r="E326" s="201"/>
      <c r="F326" s="201"/>
      <c r="G326" s="201"/>
      <c r="H326" s="201"/>
      <c r="I326" s="201"/>
      <c r="J326" s="201"/>
      <c r="K326" s="201"/>
      <c r="L326" s="201"/>
      <c r="M326" s="201"/>
    </row>
    <row r="327" ht="12.75" customHeight="1">
      <c r="C327" s="201"/>
      <c r="D327" s="201"/>
      <c r="E327" s="201"/>
      <c r="F327" s="201"/>
      <c r="G327" s="201"/>
      <c r="H327" s="201"/>
      <c r="I327" s="201"/>
      <c r="J327" s="201"/>
      <c r="K327" s="201"/>
      <c r="L327" s="201"/>
      <c r="M327" s="201"/>
    </row>
    <row r="328" ht="12.75" customHeight="1">
      <c r="C328" s="201"/>
      <c r="D328" s="201"/>
      <c r="E328" s="201"/>
      <c r="F328" s="201"/>
      <c r="G328" s="201"/>
      <c r="H328" s="201"/>
      <c r="I328" s="201"/>
      <c r="J328" s="201"/>
      <c r="K328" s="201"/>
      <c r="L328" s="201"/>
      <c r="M328" s="201"/>
    </row>
    <row r="329" ht="12.75" customHeight="1">
      <c r="C329" s="201"/>
      <c r="D329" s="201"/>
      <c r="E329" s="201"/>
      <c r="F329" s="201"/>
      <c r="G329" s="201"/>
      <c r="H329" s="201"/>
      <c r="I329" s="201"/>
      <c r="J329" s="201"/>
      <c r="K329" s="201"/>
      <c r="L329" s="201"/>
      <c r="M329" s="201"/>
    </row>
    <row r="330" ht="12.75" customHeight="1">
      <c r="C330" s="201"/>
      <c r="D330" s="201"/>
      <c r="E330" s="201"/>
      <c r="F330" s="201"/>
      <c r="G330" s="201"/>
      <c r="H330" s="201"/>
      <c r="I330" s="201"/>
      <c r="J330" s="201"/>
      <c r="K330" s="201"/>
      <c r="L330" s="201"/>
      <c r="M330" s="201"/>
    </row>
    <row r="331" ht="12.75" customHeight="1">
      <c r="C331" s="201"/>
      <c r="D331" s="201"/>
      <c r="E331" s="201"/>
      <c r="F331" s="201"/>
      <c r="G331" s="201"/>
      <c r="H331" s="201"/>
      <c r="I331" s="201"/>
      <c r="J331" s="201"/>
      <c r="K331" s="201"/>
      <c r="L331" s="201"/>
      <c r="M331" s="201"/>
    </row>
    <row r="332" ht="12.75" customHeight="1">
      <c r="C332" s="201"/>
      <c r="D332" s="201"/>
      <c r="E332" s="201"/>
      <c r="F332" s="201"/>
      <c r="G332" s="201"/>
      <c r="H332" s="201"/>
      <c r="I332" s="201"/>
      <c r="J332" s="201"/>
      <c r="K332" s="201"/>
      <c r="L332" s="201"/>
      <c r="M332" s="201"/>
    </row>
    <row r="333" ht="12.75" customHeight="1">
      <c r="C333" s="201"/>
      <c r="D333" s="201"/>
      <c r="E333" s="201"/>
      <c r="F333" s="201"/>
      <c r="G333" s="201"/>
      <c r="H333" s="201"/>
      <c r="I333" s="201"/>
      <c r="J333" s="201"/>
      <c r="K333" s="201"/>
      <c r="L333" s="201"/>
      <c r="M333" s="201"/>
    </row>
    <row r="334" ht="12.75" customHeight="1">
      <c r="C334" s="201"/>
      <c r="D334" s="201"/>
      <c r="E334" s="201"/>
      <c r="F334" s="201"/>
      <c r="G334" s="201"/>
      <c r="H334" s="201"/>
      <c r="I334" s="201"/>
      <c r="J334" s="201"/>
      <c r="K334" s="201"/>
      <c r="L334" s="201"/>
      <c r="M334" s="201"/>
    </row>
    <row r="335" ht="12.75" customHeight="1">
      <c r="C335" s="201"/>
      <c r="D335" s="201"/>
      <c r="E335" s="201"/>
      <c r="F335" s="201"/>
      <c r="G335" s="201"/>
      <c r="H335" s="201"/>
      <c r="I335" s="201"/>
      <c r="J335" s="201"/>
      <c r="K335" s="201"/>
      <c r="L335" s="201"/>
      <c r="M335" s="201"/>
    </row>
    <row r="336" ht="12.75" customHeight="1">
      <c r="C336" s="201"/>
      <c r="D336" s="201"/>
      <c r="E336" s="201"/>
      <c r="F336" s="201"/>
      <c r="G336" s="201"/>
      <c r="H336" s="201"/>
      <c r="I336" s="201"/>
      <c r="J336" s="201"/>
      <c r="K336" s="201"/>
      <c r="L336" s="201"/>
      <c r="M336" s="201"/>
    </row>
    <row r="337" ht="12.75" customHeight="1">
      <c r="C337" s="201"/>
      <c r="D337" s="201"/>
      <c r="E337" s="201"/>
      <c r="F337" s="201"/>
      <c r="G337" s="201"/>
      <c r="H337" s="201"/>
      <c r="I337" s="201"/>
      <c r="J337" s="201"/>
      <c r="K337" s="201"/>
      <c r="L337" s="201"/>
      <c r="M337" s="201"/>
    </row>
    <row r="338" ht="12.75" customHeight="1">
      <c r="C338" s="201"/>
      <c r="D338" s="201"/>
      <c r="E338" s="201"/>
      <c r="F338" s="201"/>
      <c r="G338" s="201"/>
      <c r="H338" s="201"/>
      <c r="I338" s="201"/>
      <c r="J338" s="201"/>
      <c r="K338" s="201"/>
      <c r="L338" s="201"/>
      <c r="M338" s="201"/>
    </row>
    <row r="339" ht="12.75" customHeight="1">
      <c r="C339" s="201"/>
      <c r="D339" s="201"/>
      <c r="E339" s="201"/>
      <c r="F339" s="201"/>
      <c r="G339" s="201"/>
      <c r="H339" s="201"/>
      <c r="I339" s="201"/>
      <c r="J339" s="201"/>
      <c r="K339" s="201"/>
      <c r="L339" s="201"/>
      <c r="M339" s="201"/>
    </row>
    <row r="340" ht="12.75" customHeight="1">
      <c r="C340" s="201"/>
      <c r="D340" s="201"/>
      <c r="E340" s="201"/>
      <c r="F340" s="201"/>
      <c r="G340" s="201"/>
      <c r="H340" s="201"/>
      <c r="I340" s="201"/>
      <c r="J340" s="201"/>
      <c r="K340" s="201"/>
      <c r="L340" s="201"/>
      <c r="M340" s="201"/>
    </row>
    <row r="341" ht="12.75" customHeight="1">
      <c r="C341" s="201"/>
      <c r="D341" s="201"/>
      <c r="E341" s="201"/>
      <c r="F341" s="201"/>
      <c r="G341" s="201"/>
      <c r="H341" s="201"/>
      <c r="I341" s="201"/>
      <c r="J341" s="201"/>
      <c r="K341" s="201"/>
      <c r="L341" s="201"/>
      <c r="M341" s="201"/>
    </row>
    <row r="342" ht="12.75" customHeight="1">
      <c r="C342" s="201"/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</row>
    <row r="343" ht="12.75" customHeight="1">
      <c r="C343" s="201"/>
      <c r="D343" s="201"/>
      <c r="E343" s="201"/>
      <c r="F343" s="201"/>
      <c r="G343" s="201"/>
      <c r="H343" s="201"/>
      <c r="I343" s="201"/>
      <c r="J343" s="201"/>
      <c r="K343" s="201"/>
      <c r="L343" s="201"/>
      <c r="M343" s="201"/>
    </row>
    <row r="344" ht="12.75" customHeight="1">
      <c r="C344" s="201"/>
      <c r="D344" s="201"/>
      <c r="E344" s="201"/>
      <c r="F344" s="201"/>
      <c r="G344" s="201"/>
      <c r="H344" s="201"/>
      <c r="I344" s="201"/>
      <c r="J344" s="201"/>
      <c r="K344" s="201"/>
      <c r="L344" s="201"/>
      <c r="M344" s="201"/>
    </row>
    <row r="345" ht="12.75" customHeight="1">
      <c r="C345" s="201"/>
      <c r="D345" s="201"/>
      <c r="E345" s="201"/>
      <c r="F345" s="201"/>
      <c r="G345" s="201"/>
      <c r="H345" s="201"/>
      <c r="I345" s="201"/>
      <c r="J345" s="201"/>
      <c r="K345" s="201"/>
      <c r="L345" s="201"/>
      <c r="M345" s="201"/>
    </row>
    <row r="346" ht="12.75" customHeight="1">
      <c r="C346" s="201"/>
      <c r="D346" s="201"/>
      <c r="E346" s="201"/>
      <c r="F346" s="201"/>
      <c r="G346" s="201"/>
      <c r="H346" s="201"/>
      <c r="I346" s="201"/>
      <c r="J346" s="201"/>
      <c r="K346" s="201"/>
      <c r="L346" s="201"/>
      <c r="M346" s="201"/>
    </row>
    <row r="347" ht="12.75" customHeight="1">
      <c r="C347" s="201"/>
      <c r="D347" s="201"/>
      <c r="E347" s="201"/>
      <c r="F347" s="201"/>
      <c r="G347" s="201"/>
      <c r="H347" s="201"/>
      <c r="I347" s="201"/>
      <c r="J347" s="201"/>
      <c r="K347" s="201"/>
      <c r="L347" s="201"/>
      <c r="M347" s="201"/>
    </row>
    <row r="348" ht="12.75" customHeight="1">
      <c r="C348" s="201"/>
      <c r="D348" s="201"/>
      <c r="E348" s="201"/>
      <c r="F348" s="201"/>
      <c r="G348" s="201"/>
      <c r="H348" s="201"/>
      <c r="I348" s="201"/>
      <c r="J348" s="201"/>
      <c r="K348" s="201"/>
      <c r="L348" s="201"/>
      <c r="M348" s="201"/>
    </row>
    <row r="349" ht="12.75" customHeight="1">
      <c r="C349" s="201"/>
      <c r="D349" s="201"/>
      <c r="E349" s="201"/>
      <c r="F349" s="201"/>
      <c r="G349" s="201"/>
      <c r="H349" s="201"/>
      <c r="I349" s="201"/>
      <c r="J349" s="201"/>
      <c r="K349" s="201"/>
      <c r="L349" s="201"/>
      <c r="M349" s="201"/>
    </row>
    <row r="350" ht="12.75" customHeight="1">
      <c r="C350" s="201"/>
      <c r="D350" s="201"/>
      <c r="E350" s="201"/>
      <c r="F350" s="201"/>
      <c r="G350" s="201"/>
      <c r="H350" s="201"/>
      <c r="I350" s="201"/>
      <c r="J350" s="201"/>
      <c r="K350" s="201"/>
      <c r="L350" s="201"/>
      <c r="M350" s="201"/>
    </row>
    <row r="351" ht="12.75" customHeight="1">
      <c r="C351" s="201"/>
      <c r="D351" s="201"/>
      <c r="E351" s="201"/>
      <c r="F351" s="201"/>
      <c r="G351" s="201"/>
      <c r="H351" s="201"/>
      <c r="I351" s="201"/>
      <c r="J351" s="201"/>
      <c r="K351" s="201"/>
      <c r="L351" s="201"/>
      <c r="M351" s="201"/>
    </row>
    <row r="352" ht="12.75" customHeight="1">
      <c r="C352" s="201"/>
      <c r="D352" s="201"/>
      <c r="E352" s="201"/>
      <c r="F352" s="201"/>
      <c r="G352" s="201"/>
      <c r="H352" s="201"/>
      <c r="I352" s="201"/>
      <c r="J352" s="201"/>
      <c r="K352" s="201"/>
      <c r="L352" s="201"/>
      <c r="M352" s="201"/>
    </row>
    <row r="353" ht="12.75" customHeight="1">
      <c r="C353" s="201"/>
      <c r="D353" s="201"/>
      <c r="E353" s="201"/>
      <c r="F353" s="201"/>
      <c r="G353" s="201"/>
      <c r="H353" s="201"/>
      <c r="I353" s="201"/>
      <c r="J353" s="201"/>
      <c r="K353" s="201"/>
      <c r="L353" s="201"/>
      <c r="M353" s="201"/>
    </row>
    <row r="354" ht="12.75" customHeight="1">
      <c r="C354" s="201"/>
      <c r="D354" s="201"/>
      <c r="E354" s="201"/>
      <c r="F354" s="201"/>
      <c r="G354" s="201"/>
      <c r="H354" s="201"/>
      <c r="I354" s="201"/>
      <c r="J354" s="201"/>
      <c r="K354" s="201"/>
      <c r="L354" s="201"/>
      <c r="M354" s="201"/>
    </row>
    <row r="355" ht="12.75" customHeight="1">
      <c r="C355" s="201"/>
      <c r="D355" s="201"/>
      <c r="E355" s="201"/>
      <c r="F355" s="201"/>
      <c r="G355" s="201"/>
      <c r="H355" s="201"/>
      <c r="I355" s="201"/>
      <c r="J355" s="201"/>
      <c r="K355" s="201"/>
      <c r="L355" s="201"/>
      <c r="M355" s="201"/>
    </row>
    <row r="356" ht="12.75" customHeight="1">
      <c r="C356" s="201"/>
      <c r="D356" s="201"/>
      <c r="E356" s="201"/>
      <c r="F356" s="201"/>
      <c r="G356" s="201"/>
      <c r="H356" s="201"/>
      <c r="I356" s="201"/>
      <c r="J356" s="201"/>
      <c r="K356" s="201"/>
      <c r="L356" s="201"/>
      <c r="M356" s="201"/>
    </row>
    <row r="357" ht="12.75" customHeight="1">
      <c r="C357" s="201"/>
      <c r="D357" s="201"/>
      <c r="E357" s="201"/>
      <c r="F357" s="201"/>
      <c r="G357" s="201"/>
      <c r="H357" s="201"/>
      <c r="I357" s="201"/>
      <c r="J357" s="201"/>
      <c r="K357" s="201"/>
      <c r="L357" s="201"/>
      <c r="M357" s="201"/>
    </row>
    <row r="358" ht="12.75" customHeight="1">
      <c r="C358" s="201"/>
      <c r="D358" s="201"/>
      <c r="E358" s="201"/>
      <c r="F358" s="201"/>
      <c r="G358" s="201"/>
      <c r="H358" s="201"/>
      <c r="I358" s="201"/>
      <c r="J358" s="201"/>
      <c r="K358" s="201"/>
      <c r="L358" s="201"/>
      <c r="M358" s="201"/>
    </row>
    <row r="359" ht="12.75" customHeight="1">
      <c r="C359" s="201"/>
      <c r="D359" s="201"/>
      <c r="E359" s="201"/>
      <c r="F359" s="201"/>
      <c r="G359" s="201"/>
      <c r="H359" s="201"/>
      <c r="I359" s="201"/>
      <c r="J359" s="201"/>
      <c r="K359" s="201"/>
      <c r="L359" s="201"/>
      <c r="M359" s="201"/>
    </row>
    <row r="360" ht="12.75" customHeight="1">
      <c r="C360" s="201"/>
      <c r="D360" s="201"/>
      <c r="E360" s="201"/>
      <c r="F360" s="201"/>
      <c r="G360" s="201"/>
      <c r="H360" s="201"/>
      <c r="I360" s="201"/>
      <c r="J360" s="201"/>
      <c r="K360" s="201"/>
      <c r="L360" s="201"/>
      <c r="M360" s="201"/>
    </row>
    <row r="361" ht="12.75" customHeight="1">
      <c r="C361" s="201"/>
      <c r="D361" s="201"/>
      <c r="E361" s="201"/>
      <c r="F361" s="201"/>
      <c r="G361" s="201"/>
      <c r="H361" s="201"/>
      <c r="I361" s="201"/>
      <c r="J361" s="201"/>
      <c r="K361" s="201"/>
      <c r="L361" s="201"/>
      <c r="M361" s="201"/>
    </row>
    <row r="362" ht="12.75" customHeight="1">
      <c r="C362" s="201"/>
      <c r="D362" s="201"/>
      <c r="E362" s="201"/>
      <c r="F362" s="201"/>
      <c r="G362" s="201"/>
      <c r="H362" s="201"/>
      <c r="I362" s="201"/>
      <c r="J362" s="201"/>
      <c r="K362" s="201"/>
      <c r="L362" s="201"/>
      <c r="M362" s="201"/>
    </row>
    <row r="363" ht="12.75" customHeight="1">
      <c r="C363" s="201"/>
      <c r="D363" s="201"/>
      <c r="E363" s="201"/>
      <c r="F363" s="201"/>
      <c r="G363" s="201"/>
      <c r="H363" s="201"/>
      <c r="I363" s="201"/>
      <c r="J363" s="201"/>
      <c r="K363" s="201"/>
      <c r="L363" s="201"/>
      <c r="M363" s="201"/>
    </row>
    <row r="364" ht="12.75" customHeight="1">
      <c r="C364" s="201"/>
      <c r="D364" s="201"/>
      <c r="E364" s="201"/>
      <c r="F364" s="201"/>
      <c r="G364" s="201"/>
      <c r="H364" s="201"/>
      <c r="I364" s="201"/>
      <c r="J364" s="201"/>
      <c r="K364" s="201"/>
      <c r="L364" s="201"/>
      <c r="M364" s="201"/>
    </row>
    <row r="365" ht="12.75" customHeight="1">
      <c r="C365" s="201"/>
      <c r="D365" s="201"/>
      <c r="E365" s="201"/>
      <c r="F365" s="201"/>
      <c r="G365" s="201"/>
      <c r="H365" s="201"/>
      <c r="I365" s="201"/>
      <c r="J365" s="201"/>
      <c r="K365" s="201"/>
      <c r="L365" s="201"/>
      <c r="M365" s="201"/>
    </row>
    <row r="366" ht="12.75" customHeight="1">
      <c r="C366" s="201"/>
      <c r="D366" s="201"/>
      <c r="E366" s="201"/>
      <c r="F366" s="201"/>
      <c r="G366" s="201"/>
      <c r="H366" s="201"/>
      <c r="I366" s="201"/>
      <c r="J366" s="201"/>
      <c r="K366" s="201"/>
      <c r="L366" s="201"/>
      <c r="M366" s="201"/>
    </row>
    <row r="367" ht="12.75" customHeight="1">
      <c r="C367" s="201"/>
      <c r="D367" s="201"/>
      <c r="E367" s="201"/>
      <c r="F367" s="201"/>
      <c r="G367" s="201"/>
      <c r="H367" s="201"/>
      <c r="I367" s="201"/>
      <c r="J367" s="201"/>
      <c r="K367" s="201"/>
      <c r="L367" s="201"/>
      <c r="M367" s="201"/>
    </row>
    <row r="368" ht="12.75" customHeight="1">
      <c r="C368" s="201"/>
      <c r="D368" s="201"/>
      <c r="E368" s="201"/>
      <c r="F368" s="201"/>
      <c r="G368" s="201"/>
      <c r="H368" s="201"/>
      <c r="I368" s="201"/>
      <c r="J368" s="201"/>
      <c r="K368" s="201"/>
      <c r="L368" s="201"/>
      <c r="M368" s="201"/>
    </row>
    <row r="369" ht="12.75" customHeight="1">
      <c r="C369" s="201"/>
      <c r="D369" s="201"/>
      <c r="E369" s="201"/>
      <c r="F369" s="201"/>
      <c r="G369" s="201"/>
      <c r="H369" s="201"/>
      <c r="I369" s="201"/>
      <c r="J369" s="201"/>
      <c r="K369" s="201"/>
      <c r="L369" s="201"/>
      <c r="M369" s="201"/>
    </row>
    <row r="370" ht="12.75" customHeight="1">
      <c r="C370" s="201"/>
      <c r="D370" s="201"/>
      <c r="E370" s="201"/>
      <c r="F370" s="201"/>
      <c r="G370" s="201"/>
      <c r="H370" s="201"/>
      <c r="I370" s="201"/>
      <c r="J370" s="201"/>
      <c r="K370" s="201"/>
      <c r="L370" s="201"/>
      <c r="M370" s="201"/>
    </row>
    <row r="371" ht="12.75" customHeight="1">
      <c r="C371" s="201"/>
      <c r="D371" s="201"/>
      <c r="E371" s="201"/>
      <c r="F371" s="201"/>
      <c r="G371" s="201"/>
      <c r="H371" s="201"/>
      <c r="I371" s="201"/>
      <c r="J371" s="201"/>
      <c r="K371" s="201"/>
      <c r="L371" s="201"/>
      <c r="M371" s="201"/>
    </row>
    <row r="372" ht="12.75" customHeight="1">
      <c r="C372" s="201"/>
      <c r="D372" s="201"/>
      <c r="E372" s="201"/>
      <c r="F372" s="201"/>
      <c r="G372" s="201"/>
      <c r="H372" s="201"/>
      <c r="I372" s="201"/>
      <c r="J372" s="201"/>
      <c r="K372" s="201"/>
      <c r="L372" s="201"/>
      <c r="M372" s="201"/>
    </row>
    <row r="373" ht="12.75" customHeight="1">
      <c r="C373" s="201"/>
      <c r="D373" s="201"/>
      <c r="E373" s="201"/>
      <c r="F373" s="201"/>
      <c r="G373" s="201"/>
      <c r="H373" s="201"/>
      <c r="I373" s="201"/>
      <c r="J373" s="201"/>
      <c r="K373" s="201"/>
      <c r="L373" s="201"/>
      <c r="M373" s="201"/>
    </row>
    <row r="374" ht="12.75" customHeight="1">
      <c r="C374" s="201"/>
      <c r="D374" s="201"/>
      <c r="E374" s="201"/>
      <c r="F374" s="201"/>
      <c r="G374" s="201"/>
      <c r="H374" s="201"/>
      <c r="I374" s="201"/>
      <c r="J374" s="201"/>
      <c r="K374" s="201"/>
      <c r="L374" s="201"/>
      <c r="M374" s="201"/>
    </row>
    <row r="375" ht="12.75" customHeight="1">
      <c r="C375" s="201"/>
      <c r="D375" s="201"/>
      <c r="E375" s="201"/>
      <c r="F375" s="201"/>
      <c r="G375" s="201"/>
      <c r="H375" s="201"/>
      <c r="I375" s="201"/>
      <c r="J375" s="201"/>
      <c r="K375" s="201"/>
      <c r="L375" s="201"/>
      <c r="M375" s="201"/>
    </row>
    <row r="376" ht="12.75" customHeight="1">
      <c r="C376" s="201"/>
      <c r="D376" s="201"/>
      <c r="E376" s="201"/>
      <c r="F376" s="201"/>
      <c r="G376" s="201"/>
      <c r="H376" s="201"/>
      <c r="I376" s="201"/>
      <c r="J376" s="201"/>
      <c r="K376" s="201"/>
      <c r="L376" s="201"/>
      <c r="M376" s="201"/>
    </row>
    <row r="377" ht="12.75" customHeight="1">
      <c r="C377" s="201"/>
      <c r="D377" s="201"/>
      <c r="E377" s="201"/>
      <c r="F377" s="201"/>
      <c r="G377" s="201"/>
      <c r="H377" s="201"/>
      <c r="I377" s="201"/>
      <c r="J377" s="201"/>
      <c r="K377" s="201"/>
      <c r="L377" s="201"/>
      <c r="M377" s="201"/>
    </row>
    <row r="378" ht="12.75" customHeight="1">
      <c r="C378" s="201"/>
      <c r="D378" s="201"/>
      <c r="E378" s="201"/>
      <c r="F378" s="201"/>
      <c r="G378" s="201"/>
      <c r="H378" s="201"/>
      <c r="I378" s="201"/>
      <c r="J378" s="201"/>
      <c r="K378" s="201"/>
      <c r="L378" s="201"/>
      <c r="M378" s="201"/>
    </row>
    <row r="379" ht="12.75" customHeight="1">
      <c r="C379" s="201"/>
      <c r="D379" s="201"/>
      <c r="E379" s="201"/>
      <c r="F379" s="201"/>
      <c r="G379" s="201"/>
      <c r="H379" s="201"/>
      <c r="I379" s="201"/>
      <c r="J379" s="201"/>
      <c r="K379" s="201"/>
      <c r="L379" s="201"/>
      <c r="M379" s="201"/>
    </row>
    <row r="380" ht="12.75" customHeight="1">
      <c r="C380" s="201"/>
      <c r="D380" s="201"/>
      <c r="E380" s="201"/>
      <c r="F380" s="201"/>
      <c r="G380" s="201"/>
      <c r="H380" s="201"/>
      <c r="I380" s="201"/>
      <c r="J380" s="201"/>
      <c r="K380" s="201"/>
      <c r="L380" s="201"/>
      <c r="M380" s="201"/>
    </row>
    <row r="381" ht="12.75" customHeight="1">
      <c r="C381" s="201"/>
      <c r="D381" s="201"/>
      <c r="E381" s="201"/>
      <c r="F381" s="201"/>
      <c r="G381" s="201"/>
      <c r="H381" s="201"/>
      <c r="I381" s="201"/>
      <c r="J381" s="201"/>
      <c r="K381" s="201"/>
      <c r="L381" s="201"/>
      <c r="M381" s="201"/>
    </row>
    <row r="382" ht="12.75" customHeight="1">
      <c r="C382" s="201"/>
      <c r="D382" s="201"/>
      <c r="E382" s="201"/>
      <c r="F382" s="201"/>
      <c r="G382" s="201"/>
      <c r="H382" s="201"/>
      <c r="I382" s="201"/>
      <c r="J382" s="201"/>
      <c r="K382" s="201"/>
      <c r="L382" s="201"/>
      <c r="M382" s="201"/>
    </row>
    <row r="383" ht="12.75" customHeight="1">
      <c r="C383" s="201"/>
      <c r="D383" s="201"/>
      <c r="E383" s="201"/>
      <c r="F383" s="201"/>
      <c r="G383" s="201"/>
      <c r="H383" s="201"/>
      <c r="I383" s="201"/>
      <c r="J383" s="201"/>
      <c r="K383" s="201"/>
      <c r="L383" s="201"/>
      <c r="M383" s="201"/>
    </row>
    <row r="384" ht="12.75" customHeight="1">
      <c r="C384" s="201"/>
      <c r="D384" s="201"/>
      <c r="E384" s="201"/>
      <c r="F384" s="201"/>
      <c r="G384" s="201"/>
      <c r="H384" s="201"/>
      <c r="I384" s="201"/>
      <c r="J384" s="201"/>
      <c r="K384" s="201"/>
      <c r="L384" s="201"/>
      <c r="M384" s="201"/>
    </row>
    <row r="385" ht="12.75" customHeight="1">
      <c r="C385" s="201"/>
      <c r="D385" s="201"/>
      <c r="E385" s="201"/>
      <c r="F385" s="201"/>
      <c r="G385" s="201"/>
      <c r="H385" s="201"/>
      <c r="I385" s="201"/>
      <c r="J385" s="201"/>
      <c r="K385" s="201"/>
      <c r="L385" s="201"/>
      <c r="M385" s="201"/>
    </row>
    <row r="386" ht="12.75" customHeight="1">
      <c r="C386" s="201"/>
      <c r="D386" s="201"/>
      <c r="E386" s="201"/>
      <c r="F386" s="201"/>
      <c r="G386" s="201"/>
      <c r="H386" s="201"/>
      <c r="I386" s="201"/>
      <c r="J386" s="201"/>
      <c r="K386" s="201"/>
      <c r="L386" s="201"/>
      <c r="M386" s="201"/>
    </row>
    <row r="387" ht="12.75" customHeight="1">
      <c r="C387" s="201"/>
      <c r="D387" s="201"/>
      <c r="E387" s="201"/>
      <c r="F387" s="201"/>
      <c r="G387" s="201"/>
      <c r="H387" s="201"/>
      <c r="I387" s="201"/>
      <c r="J387" s="201"/>
      <c r="K387" s="201"/>
      <c r="L387" s="201"/>
      <c r="M387" s="201"/>
    </row>
    <row r="388" ht="12.75" customHeight="1">
      <c r="C388" s="201"/>
      <c r="D388" s="201"/>
      <c r="E388" s="201"/>
      <c r="F388" s="201"/>
      <c r="G388" s="201"/>
      <c r="H388" s="201"/>
      <c r="I388" s="201"/>
      <c r="J388" s="201"/>
      <c r="K388" s="201"/>
      <c r="L388" s="201"/>
      <c r="M388" s="201"/>
    </row>
    <row r="389" ht="12.75" customHeight="1">
      <c r="C389" s="201"/>
      <c r="D389" s="201"/>
      <c r="E389" s="201"/>
      <c r="F389" s="201"/>
      <c r="G389" s="201"/>
      <c r="H389" s="201"/>
      <c r="I389" s="201"/>
      <c r="J389" s="201"/>
      <c r="K389" s="201"/>
      <c r="L389" s="201"/>
      <c r="M389" s="201"/>
    </row>
    <row r="390" ht="12.75" customHeight="1">
      <c r="C390" s="201"/>
      <c r="D390" s="201"/>
      <c r="E390" s="201"/>
      <c r="F390" s="201"/>
      <c r="G390" s="201"/>
      <c r="H390" s="201"/>
      <c r="I390" s="201"/>
      <c r="J390" s="201"/>
      <c r="K390" s="201"/>
      <c r="L390" s="201"/>
      <c r="M390" s="201"/>
    </row>
    <row r="391" ht="12.75" customHeight="1">
      <c r="C391" s="201"/>
      <c r="D391" s="201"/>
      <c r="E391" s="201"/>
      <c r="F391" s="201"/>
      <c r="G391" s="201"/>
      <c r="H391" s="201"/>
      <c r="I391" s="201"/>
      <c r="J391" s="201"/>
      <c r="K391" s="201"/>
      <c r="L391" s="201"/>
      <c r="M391" s="201"/>
    </row>
    <row r="392" ht="12.75" customHeight="1">
      <c r="C392" s="201"/>
      <c r="D392" s="201"/>
      <c r="E392" s="201"/>
      <c r="F392" s="201"/>
      <c r="G392" s="201"/>
      <c r="H392" s="201"/>
      <c r="I392" s="201"/>
      <c r="J392" s="201"/>
      <c r="K392" s="201"/>
      <c r="L392" s="201"/>
      <c r="M392" s="201"/>
    </row>
    <row r="393" ht="12.75" customHeight="1">
      <c r="C393" s="201"/>
      <c r="D393" s="201"/>
      <c r="E393" s="201"/>
      <c r="F393" s="201"/>
      <c r="G393" s="201"/>
      <c r="H393" s="201"/>
      <c r="I393" s="201"/>
      <c r="J393" s="201"/>
      <c r="K393" s="201"/>
      <c r="L393" s="201"/>
      <c r="M393" s="201"/>
    </row>
    <row r="394" ht="12.75" customHeight="1">
      <c r="C394" s="201"/>
      <c r="D394" s="201"/>
      <c r="E394" s="201"/>
      <c r="F394" s="201"/>
      <c r="G394" s="201"/>
      <c r="H394" s="201"/>
      <c r="I394" s="201"/>
      <c r="J394" s="201"/>
      <c r="K394" s="201"/>
      <c r="L394" s="201"/>
      <c r="M394" s="201"/>
    </row>
    <row r="395" ht="12.75" customHeight="1">
      <c r="C395" s="201"/>
      <c r="D395" s="201"/>
      <c r="E395" s="201"/>
      <c r="F395" s="201"/>
      <c r="G395" s="201"/>
      <c r="H395" s="201"/>
      <c r="I395" s="201"/>
      <c r="J395" s="201"/>
      <c r="K395" s="201"/>
      <c r="L395" s="201"/>
      <c r="M395" s="201"/>
    </row>
    <row r="396" ht="12.75" customHeight="1">
      <c r="C396" s="201"/>
      <c r="D396" s="201"/>
      <c r="E396" s="201"/>
      <c r="F396" s="201"/>
      <c r="G396" s="201"/>
      <c r="H396" s="201"/>
      <c r="I396" s="201"/>
      <c r="J396" s="201"/>
      <c r="K396" s="201"/>
      <c r="L396" s="201"/>
      <c r="M396" s="201"/>
    </row>
    <row r="397" ht="12.75" customHeight="1">
      <c r="C397" s="201"/>
      <c r="D397" s="201"/>
      <c r="E397" s="201"/>
      <c r="F397" s="201"/>
      <c r="G397" s="201"/>
      <c r="H397" s="201"/>
      <c r="I397" s="201"/>
      <c r="J397" s="201"/>
      <c r="K397" s="201"/>
      <c r="L397" s="201"/>
      <c r="M397" s="201"/>
    </row>
    <row r="398" ht="12.75" customHeight="1">
      <c r="C398" s="201"/>
      <c r="D398" s="201"/>
      <c r="E398" s="201"/>
      <c r="F398" s="201"/>
      <c r="G398" s="201"/>
      <c r="H398" s="201"/>
      <c r="I398" s="201"/>
      <c r="J398" s="201"/>
      <c r="K398" s="201"/>
      <c r="L398" s="201"/>
      <c r="M398" s="201"/>
    </row>
    <row r="399" ht="12.75" customHeight="1">
      <c r="C399" s="201"/>
      <c r="D399" s="201"/>
      <c r="E399" s="201"/>
      <c r="F399" s="201"/>
      <c r="G399" s="201"/>
      <c r="H399" s="201"/>
      <c r="I399" s="201"/>
      <c r="J399" s="201"/>
      <c r="K399" s="201"/>
      <c r="L399" s="201"/>
      <c r="M399" s="201"/>
    </row>
    <row r="400" ht="12.75" customHeight="1">
      <c r="C400" s="201"/>
      <c r="D400" s="201"/>
      <c r="E400" s="201"/>
      <c r="F400" s="201"/>
      <c r="G400" s="201"/>
      <c r="H400" s="201"/>
      <c r="I400" s="201"/>
      <c r="J400" s="201"/>
      <c r="K400" s="201"/>
      <c r="L400" s="201"/>
      <c r="M400" s="201"/>
    </row>
    <row r="401" ht="12.75" customHeight="1">
      <c r="C401" s="201"/>
      <c r="D401" s="201"/>
      <c r="E401" s="201"/>
      <c r="F401" s="201"/>
      <c r="G401" s="201"/>
      <c r="H401" s="201"/>
      <c r="I401" s="201"/>
      <c r="J401" s="201"/>
      <c r="K401" s="201"/>
      <c r="L401" s="201"/>
      <c r="M401" s="201"/>
    </row>
    <row r="402" ht="12.75" customHeight="1">
      <c r="C402" s="201"/>
      <c r="D402" s="201"/>
      <c r="E402" s="201"/>
      <c r="F402" s="201"/>
      <c r="G402" s="201"/>
      <c r="H402" s="201"/>
      <c r="I402" s="201"/>
      <c r="J402" s="201"/>
      <c r="K402" s="201"/>
      <c r="L402" s="201"/>
      <c r="M402" s="201"/>
    </row>
    <row r="403" ht="12.75" customHeight="1">
      <c r="C403" s="201"/>
      <c r="D403" s="201"/>
      <c r="E403" s="201"/>
      <c r="F403" s="201"/>
      <c r="G403" s="201"/>
      <c r="H403" s="201"/>
      <c r="I403" s="201"/>
      <c r="J403" s="201"/>
      <c r="K403" s="201"/>
      <c r="L403" s="201"/>
      <c r="M403" s="201"/>
    </row>
    <row r="404" ht="12.75" customHeight="1">
      <c r="C404" s="201"/>
      <c r="D404" s="201"/>
      <c r="E404" s="201"/>
      <c r="F404" s="201"/>
      <c r="G404" s="201"/>
      <c r="H404" s="201"/>
      <c r="I404" s="201"/>
      <c r="J404" s="201"/>
      <c r="K404" s="201"/>
      <c r="L404" s="201"/>
      <c r="M404" s="201"/>
    </row>
    <row r="405" ht="12.75" customHeight="1">
      <c r="C405" s="201"/>
      <c r="D405" s="201"/>
      <c r="E405" s="201"/>
      <c r="F405" s="201"/>
      <c r="G405" s="201"/>
      <c r="H405" s="201"/>
      <c r="I405" s="201"/>
      <c r="J405" s="201"/>
      <c r="K405" s="201"/>
      <c r="L405" s="201"/>
      <c r="M405" s="201"/>
    </row>
    <row r="406" ht="12.75" customHeight="1">
      <c r="C406" s="201"/>
      <c r="D406" s="201"/>
      <c r="E406" s="201"/>
      <c r="F406" s="201"/>
      <c r="G406" s="201"/>
      <c r="H406" s="201"/>
      <c r="I406" s="201"/>
      <c r="J406" s="201"/>
      <c r="K406" s="201"/>
      <c r="L406" s="201"/>
      <c r="M406" s="201"/>
    </row>
    <row r="407" ht="12.75" customHeight="1">
      <c r="C407" s="201"/>
      <c r="D407" s="201"/>
      <c r="E407" s="201"/>
      <c r="F407" s="201"/>
      <c r="G407" s="201"/>
      <c r="H407" s="201"/>
      <c r="I407" s="201"/>
      <c r="J407" s="201"/>
      <c r="K407" s="201"/>
      <c r="L407" s="201"/>
      <c r="M407" s="201"/>
    </row>
    <row r="408" ht="12.75" customHeight="1">
      <c r="C408" s="201"/>
      <c r="D408" s="201"/>
      <c r="E408" s="201"/>
      <c r="F408" s="201"/>
      <c r="G408" s="201"/>
      <c r="H408" s="201"/>
      <c r="I408" s="201"/>
      <c r="J408" s="201"/>
      <c r="K408" s="201"/>
      <c r="L408" s="201"/>
      <c r="M408" s="201"/>
    </row>
    <row r="409" ht="12.75" customHeight="1">
      <c r="C409" s="201"/>
      <c r="D409" s="201"/>
      <c r="E409" s="201"/>
      <c r="F409" s="201"/>
      <c r="G409" s="201"/>
      <c r="H409" s="201"/>
      <c r="I409" s="201"/>
      <c r="J409" s="201"/>
      <c r="K409" s="201"/>
      <c r="L409" s="201"/>
      <c r="M409" s="201"/>
    </row>
    <row r="410" ht="12.75" customHeight="1">
      <c r="C410" s="201"/>
      <c r="D410" s="201"/>
      <c r="E410" s="201"/>
      <c r="F410" s="201"/>
      <c r="G410" s="201"/>
      <c r="H410" s="201"/>
      <c r="I410" s="201"/>
      <c r="J410" s="201"/>
      <c r="K410" s="201"/>
      <c r="L410" s="201"/>
      <c r="M410" s="201"/>
    </row>
    <row r="411" ht="12.75" customHeight="1">
      <c r="C411" s="201"/>
      <c r="D411" s="201"/>
      <c r="E411" s="201"/>
      <c r="F411" s="201"/>
      <c r="G411" s="201"/>
      <c r="H411" s="201"/>
      <c r="I411" s="201"/>
      <c r="J411" s="201"/>
      <c r="K411" s="201"/>
      <c r="L411" s="201"/>
      <c r="M411" s="201"/>
    </row>
    <row r="412" ht="12.75" customHeight="1">
      <c r="C412" s="201"/>
      <c r="D412" s="201"/>
      <c r="E412" s="201"/>
      <c r="F412" s="201"/>
      <c r="G412" s="201"/>
      <c r="H412" s="201"/>
      <c r="I412" s="201"/>
      <c r="J412" s="201"/>
      <c r="K412" s="201"/>
      <c r="L412" s="201"/>
      <c r="M412" s="201"/>
    </row>
    <row r="413" ht="12.75" customHeight="1">
      <c r="C413" s="201"/>
      <c r="D413" s="201"/>
      <c r="E413" s="201"/>
      <c r="F413" s="201"/>
      <c r="G413" s="201"/>
      <c r="H413" s="201"/>
      <c r="I413" s="201"/>
      <c r="J413" s="201"/>
      <c r="K413" s="201"/>
      <c r="L413" s="201"/>
      <c r="M413" s="201"/>
    </row>
    <row r="414" ht="12.75" customHeight="1">
      <c r="C414" s="201"/>
      <c r="D414" s="201"/>
      <c r="E414" s="201"/>
      <c r="F414" s="201"/>
      <c r="G414" s="201"/>
      <c r="H414" s="201"/>
      <c r="I414" s="201"/>
      <c r="J414" s="201"/>
      <c r="K414" s="201"/>
      <c r="L414" s="201"/>
      <c r="M414" s="201"/>
    </row>
    <row r="415" ht="12.75" customHeight="1">
      <c r="C415" s="201"/>
      <c r="D415" s="201"/>
      <c r="E415" s="201"/>
      <c r="F415" s="201"/>
      <c r="G415" s="201"/>
      <c r="H415" s="201"/>
      <c r="I415" s="201"/>
      <c r="J415" s="201"/>
      <c r="K415" s="201"/>
      <c r="L415" s="201"/>
      <c r="M415" s="201"/>
    </row>
    <row r="416" ht="12.75" customHeight="1">
      <c r="C416" s="201"/>
      <c r="D416" s="201"/>
      <c r="E416" s="201"/>
      <c r="F416" s="201"/>
      <c r="G416" s="201"/>
      <c r="H416" s="201"/>
      <c r="I416" s="201"/>
      <c r="J416" s="201"/>
      <c r="K416" s="201"/>
      <c r="L416" s="201"/>
      <c r="M416" s="201"/>
    </row>
    <row r="417" ht="12.75" customHeight="1">
      <c r="C417" s="201"/>
      <c r="D417" s="201"/>
      <c r="E417" s="201"/>
      <c r="F417" s="201"/>
      <c r="G417" s="201"/>
      <c r="H417" s="201"/>
      <c r="I417" s="201"/>
      <c r="J417" s="201"/>
      <c r="K417" s="201"/>
      <c r="L417" s="201"/>
      <c r="M417" s="201"/>
    </row>
    <row r="418" ht="12.75" customHeight="1">
      <c r="C418" s="201"/>
      <c r="D418" s="201"/>
      <c r="E418" s="201"/>
      <c r="F418" s="201"/>
      <c r="G418" s="201"/>
      <c r="H418" s="201"/>
      <c r="I418" s="201"/>
      <c r="J418" s="201"/>
      <c r="K418" s="201"/>
      <c r="L418" s="201"/>
      <c r="M418" s="201"/>
    </row>
    <row r="419" ht="12.75" customHeight="1">
      <c r="C419" s="201"/>
      <c r="D419" s="201"/>
      <c r="E419" s="201"/>
      <c r="F419" s="201"/>
      <c r="G419" s="201"/>
      <c r="H419" s="201"/>
      <c r="I419" s="201"/>
      <c r="J419" s="201"/>
      <c r="K419" s="201"/>
      <c r="L419" s="201"/>
      <c r="M419" s="201"/>
    </row>
    <row r="420" ht="12.75" customHeight="1">
      <c r="C420" s="201"/>
      <c r="D420" s="201"/>
      <c r="E420" s="201"/>
      <c r="F420" s="201"/>
      <c r="G420" s="201"/>
      <c r="H420" s="201"/>
      <c r="I420" s="201"/>
      <c r="J420" s="201"/>
      <c r="K420" s="201"/>
      <c r="L420" s="201"/>
      <c r="M420" s="201"/>
    </row>
    <row r="421" ht="12.75" customHeight="1">
      <c r="C421" s="201"/>
      <c r="D421" s="201"/>
      <c r="E421" s="201"/>
      <c r="F421" s="201"/>
      <c r="G421" s="201"/>
      <c r="H421" s="201"/>
      <c r="I421" s="201"/>
      <c r="J421" s="201"/>
      <c r="K421" s="201"/>
      <c r="L421" s="201"/>
      <c r="M421" s="201"/>
    </row>
    <row r="422" ht="12.75" customHeight="1">
      <c r="C422" s="201"/>
      <c r="D422" s="201"/>
      <c r="E422" s="201"/>
      <c r="F422" s="201"/>
      <c r="G422" s="201"/>
      <c r="H422" s="201"/>
      <c r="I422" s="201"/>
      <c r="J422" s="201"/>
      <c r="K422" s="201"/>
      <c r="L422" s="201"/>
      <c r="M422" s="201"/>
    </row>
    <row r="423" ht="12.75" customHeight="1">
      <c r="C423" s="201"/>
      <c r="D423" s="201"/>
      <c r="E423" s="201"/>
      <c r="F423" s="201"/>
      <c r="G423" s="201"/>
      <c r="H423" s="201"/>
      <c r="I423" s="201"/>
      <c r="J423" s="201"/>
      <c r="K423" s="201"/>
      <c r="L423" s="201"/>
      <c r="M423" s="201"/>
    </row>
    <row r="424" ht="12.75" customHeight="1">
      <c r="C424" s="201"/>
      <c r="D424" s="201"/>
      <c r="E424" s="201"/>
      <c r="F424" s="201"/>
      <c r="G424" s="201"/>
      <c r="H424" s="201"/>
      <c r="I424" s="201"/>
      <c r="J424" s="201"/>
      <c r="K424" s="201"/>
      <c r="L424" s="201"/>
      <c r="M424" s="201"/>
    </row>
    <row r="425" ht="12.75" customHeight="1">
      <c r="C425" s="201"/>
      <c r="D425" s="201"/>
      <c r="E425" s="201"/>
      <c r="F425" s="201"/>
      <c r="G425" s="201"/>
      <c r="H425" s="201"/>
      <c r="I425" s="201"/>
      <c r="J425" s="201"/>
      <c r="K425" s="201"/>
      <c r="L425" s="201"/>
      <c r="M425" s="201"/>
    </row>
    <row r="426" ht="12.75" customHeight="1">
      <c r="C426" s="201"/>
      <c r="D426" s="201"/>
      <c r="E426" s="201"/>
      <c r="F426" s="201"/>
      <c r="G426" s="201"/>
      <c r="H426" s="201"/>
      <c r="I426" s="201"/>
      <c r="J426" s="201"/>
      <c r="K426" s="201"/>
      <c r="L426" s="201"/>
      <c r="M426" s="201"/>
    </row>
    <row r="427" ht="12.75" customHeight="1">
      <c r="C427" s="201"/>
      <c r="D427" s="201"/>
      <c r="E427" s="201"/>
      <c r="F427" s="201"/>
      <c r="G427" s="201"/>
      <c r="H427" s="201"/>
      <c r="I427" s="201"/>
      <c r="J427" s="201"/>
      <c r="K427" s="201"/>
      <c r="L427" s="201"/>
      <c r="M427" s="201"/>
    </row>
    <row r="428" ht="12.75" customHeight="1">
      <c r="C428" s="201"/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</row>
    <row r="429" ht="12.75" customHeight="1">
      <c r="C429" s="201"/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</row>
    <row r="430" ht="12.75" customHeight="1">
      <c r="C430" s="201"/>
      <c r="D430" s="201"/>
      <c r="E430" s="201"/>
      <c r="F430" s="201"/>
      <c r="G430" s="201"/>
      <c r="H430" s="201"/>
      <c r="I430" s="201"/>
      <c r="J430" s="201"/>
      <c r="K430" s="201"/>
      <c r="L430" s="201"/>
      <c r="M430" s="201"/>
    </row>
    <row r="431" ht="12.75" customHeight="1">
      <c r="C431" s="201"/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</row>
    <row r="432" ht="12.75" customHeight="1">
      <c r="C432" s="201"/>
      <c r="D432" s="201"/>
      <c r="E432" s="201"/>
      <c r="F432" s="201"/>
      <c r="G432" s="201"/>
      <c r="H432" s="201"/>
      <c r="I432" s="201"/>
      <c r="J432" s="201"/>
      <c r="K432" s="201"/>
      <c r="L432" s="201"/>
      <c r="M432" s="201"/>
    </row>
    <row r="433" ht="12.75" customHeight="1">
      <c r="C433" s="201"/>
      <c r="D433" s="201"/>
      <c r="E433" s="201"/>
      <c r="F433" s="201"/>
      <c r="G433" s="201"/>
      <c r="H433" s="201"/>
      <c r="I433" s="201"/>
      <c r="J433" s="201"/>
      <c r="K433" s="201"/>
      <c r="L433" s="201"/>
      <c r="M433" s="201"/>
    </row>
    <row r="434" ht="12.75" customHeight="1">
      <c r="C434" s="201"/>
      <c r="D434" s="201"/>
      <c r="E434" s="201"/>
      <c r="F434" s="201"/>
      <c r="G434" s="201"/>
      <c r="H434" s="201"/>
      <c r="I434" s="201"/>
      <c r="J434" s="201"/>
      <c r="K434" s="201"/>
      <c r="L434" s="201"/>
      <c r="M434" s="201"/>
    </row>
    <row r="435" ht="12.75" customHeight="1">
      <c r="C435" s="201"/>
      <c r="D435" s="201"/>
      <c r="E435" s="201"/>
      <c r="F435" s="201"/>
      <c r="G435" s="201"/>
      <c r="H435" s="201"/>
      <c r="I435" s="201"/>
      <c r="J435" s="201"/>
      <c r="K435" s="201"/>
      <c r="L435" s="201"/>
      <c r="M435" s="201"/>
    </row>
    <row r="436" ht="12.75" customHeight="1">
      <c r="C436" s="201"/>
      <c r="D436" s="201"/>
      <c r="E436" s="201"/>
      <c r="F436" s="201"/>
      <c r="G436" s="201"/>
      <c r="H436" s="201"/>
      <c r="I436" s="201"/>
      <c r="J436" s="201"/>
      <c r="K436" s="201"/>
      <c r="L436" s="201"/>
      <c r="M436" s="201"/>
    </row>
    <row r="437" ht="12.75" customHeight="1">
      <c r="C437" s="201"/>
      <c r="D437" s="201"/>
      <c r="E437" s="201"/>
      <c r="F437" s="201"/>
      <c r="G437" s="201"/>
      <c r="H437" s="201"/>
      <c r="I437" s="201"/>
      <c r="J437" s="201"/>
      <c r="K437" s="201"/>
      <c r="L437" s="201"/>
      <c r="M437" s="201"/>
    </row>
    <row r="438" ht="12.75" customHeight="1">
      <c r="C438" s="201"/>
      <c r="D438" s="201"/>
      <c r="E438" s="201"/>
      <c r="F438" s="201"/>
      <c r="G438" s="201"/>
      <c r="H438" s="201"/>
      <c r="I438" s="201"/>
      <c r="J438" s="201"/>
      <c r="K438" s="201"/>
      <c r="L438" s="201"/>
      <c r="M438" s="201"/>
    </row>
    <row r="439" ht="12.75" customHeight="1">
      <c r="C439" s="201"/>
      <c r="D439" s="201"/>
      <c r="E439" s="201"/>
      <c r="F439" s="201"/>
      <c r="G439" s="201"/>
      <c r="H439" s="201"/>
      <c r="I439" s="201"/>
      <c r="J439" s="201"/>
      <c r="K439" s="201"/>
      <c r="L439" s="201"/>
      <c r="M439" s="201"/>
    </row>
    <row r="440" ht="12.75" customHeight="1">
      <c r="C440" s="201"/>
      <c r="D440" s="201"/>
      <c r="E440" s="201"/>
      <c r="F440" s="201"/>
      <c r="G440" s="201"/>
      <c r="H440" s="201"/>
      <c r="I440" s="201"/>
      <c r="J440" s="201"/>
      <c r="K440" s="201"/>
      <c r="L440" s="201"/>
      <c r="M440" s="201"/>
    </row>
    <row r="441" ht="12.75" customHeight="1">
      <c r="C441" s="201"/>
      <c r="D441" s="201"/>
      <c r="E441" s="201"/>
      <c r="F441" s="201"/>
      <c r="G441" s="201"/>
      <c r="H441" s="201"/>
      <c r="I441" s="201"/>
      <c r="J441" s="201"/>
      <c r="K441" s="201"/>
      <c r="L441" s="201"/>
      <c r="M441" s="201"/>
    </row>
    <row r="442" ht="12.75" customHeight="1">
      <c r="C442" s="201"/>
      <c r="D442" s="201"/>
      <c r="E442" s="201"/>
      <c r="F442" s="201"/>
      <c r="G442" s="201"/>
      <c r="H442" s="201"/>
      <c r="I442" s="201"/>
      <c r="J442" s="201"/>
      <c r="K442" s="201"/>
      <c r="L442" s="201"/>
      <c r="M442" s="201"/>
    </row>
    <row r="443" ht="12.75" customHeight="1">
      <c r="C443" s="201"/>
      <c r="D443" s="201"/>
      <c r="E443" s="201"/>
      <c r="F443" s="201"/>
      <c r="G443" s="201"/>
      <c r="H443" s="201"/>
      <c r="I443" s="201"/>
      <c r="J443" s="201"/>
      <c r="K443" s="201"/>
      <c r="L443" s="201"/>
      <c r="M443" s="201"/>
    </row>
    <row r="444" ht="12.75" customHeight="1">
      <c r="C444" s="201"/>
      <c r="D444" s="201"/>
      <c r="E444" s="201"/>
      <c r="F444" s="201"/>
      <c r="G444" s="201"/>
      <c r="H444" s="201"/>
      <c r="I444" s="201"/>
      <c r="J444" s="201"/>
      <c r="K444" s="201"/>
      <c r="L444" s="201"/>
      <c r="M444" s="201"/>
    </row>
    <row r="445" ht="12.75" customHeight="1">
      <c r="C445" s="201"/>
      <c r="D445" s="201"/>
      <c r="E445" s="201"/>
      <c r="F445" s="201"/>
      <c r="G445" s="201"/>
      <c r="H445" s="201"/>
      <c r="I445" s="201"/>
      <c r="J445" s="201"/>
      <c r="K445" s="201"/>
      <c r="L445" s="201"/>
      <c r="M445" s="201"/>
    </row>
    <row r="446" ht="12.75" customHeight="1">
      <c r="C446" s="201"/>
      <c r="D446" s="201"/>
      <c r="E446" s="201"/>
      <c r="F446" s="201"/>
      <c r="G446" s="201"/>
      <c r="H446" s="201"/>
      <c r="I446" s="201"/>
      <c r="J446" s="201"/>
      <c r="K446" s="201"/>
      <c r="L446" s="201"/>
      <c r="M446" s="201"/>
    </row>
    <row r="447" ht="12.75" customHeight="1">
      <c r="C447" s="201"/>
      <c r="D447" s="201"/>
      <c r="E447" s="201"/>
      <c r="F447" s="201"/>
      <c r="G447" s="201"/>
      <c r="H447" s="201"/>
      <c r="I447" s="201"/>
      <c r="J447" s="201"/>
      <c r="K447" s="201"/>
      <c r="L447" s="201"/>
      <c r="M447" s="201"/>
    </row>
    <row r="448" ht="12.75" customHeight="1">
      <c r="C448" s="201"/>
      <c r="D448" s="201"/>
      <c r="E448" s="201"/>
      <c r="F448" s="201"/>
      <c r="G448" s="201"/>
      <c r="H448" s="201"/>
      <c r="I448" s="201"/>
      <c r="J448" s="201"/>
      <c r="K448" s="201"/>
      <c r="L448" s="201"/>
      <c r="M448" s="201"/>
    </row>
    <row r="449" ht="12.75" customHeight="1">
      <c r="C449" s="201"/>
      <c r="D449" s="201"/>
      <c r="E449" s="201"/>
      <c r="F449" s="201"/>
      <c r="G449" s="201"/>
      <c r="H449" s="201"/>
      <c r="I449" s="201"/>
      <c r="J449" s="201"/>
      <c r="K449" s="201"/>
      <c r="L449" s="201"/>
      <c r="M449" s="201"/>
    </row>
    <row r="450" ht="12.75" customHeight="1">
      <c r="C450" s="201"/>
      <c r="D450" s="201"/>
      <c r="E450" s="201"/>
      <c r="F450" s="201"/>
      <c r="G450" s="201"/>
      <c r="H450" s="201"/>
      <c r="I450" s="201"/>
      <c r="J450" s="201"/>
      <c r="K450" s="201"/>
      <c r="L450" s="201"/>
      <c r="M450" s="201"/>
    </row>
    <row r="451" ht="12.75" customHeight="1">
      <c r="C451" s="201"/>
      <c r="D451" s="201"/>
      <c r="E451" s="201"/>
      <c r="F451" s="201"/>
      <c r="G451" s="201"/>
      <c r="H451" s="201"/>
      <c r="I451" s="201"/>
      <c r="J451" s="201"/>
      <c r="K451" s="201"/>
      <c r="L451" s="201"/>
      <c r="M451" s="201"/>
    </row>
    <row r="452" ht="12.75" customHeight="1">
      <c r="C452" s="201"/>
      <c r="D452" s="201"/>
      <c r="E452" s="201"/>
      <c r="F452" s="201"/>
      <c r="G452" s="201"/>
      <c r="H452" s="201"/>
      <c r="I452" s="201"/>
      <c r="J452" s="201"/>
      <c r="K452" s="201"/>
      <c r="L452" s="201"/>
      <c r="M452" s="201"/>
    </row>
    <row r="453" ht="12.75" customHeight="1">
      <c r="C453" s="201"/>
      <c r="D453" s="201"/>
      <c r="E453" s="201"/>
      <c r="F453" s="201"/>
      <c r="G453" s="201"/>
      <c r="H453" s="201"/>
      <c r="I453" s="201"/>
      <c r="J453" s="201"/>
      <c r="K453" s="201"/>
      <c r="L453" s="201"/>
      <c r="M453" s="201"/>
    </row>
    <row r="454" ht="12.75" customHeight="1">
      <c r="C454" s="201"/>
      <c r="D454" s="201"/>
      <c r="E454" s="201"/>
      <c r="F454" s="201"/>
      <c r="G454" s="201"/>
      <c r="H454" s="201"/>
      <c r="I454" s="201"/>
      <c r="J454" s="201"/>
      <c r="K454" s="201"/>
      <c r="L454" s="201"/>
      <c r="M454" s="201"/>
    </row>
    <row r="455" ht="12.75" customHeight="1">
      <c r="C455" s="201"/>
      <c r="D455" s="201"/>
      <c r="E455" s="201"/>
      <c r="F455" s="201"/>
      <c r="G455" s="201"/>
      <c r="H455" s="201"/>
      <c r="I455" s="201"/>
      <c r="J455" s="201"/>
      <c r="K455" s="201"/>
      <c r="L455" s="201"/>
      <c r="M455" s="201"/>
    </row>
    <row r="456" ht="12.75" customHeight="1">
      <c r="C456" s="201"/>
      <c r="D456" s="201"/>
      <c r="E456" s="201"/>
      <c r="F456" s="201"/>
      <c r="G456" s="201"/>
      <c r="H456" s="201"/>
      <c r="I456" s="201"/>
      <c r="J456" s="201"/>
      <c r="K456" s="201"/>
      <c r="L456" s="201"/>
      <c r="M456" s="201"/>
    </row>
    <row r="457" ht="12.75" customHeight="1">
      <c r="C457" s="201"/>
      <c r="D457" s="201"/>
      <c r="E457" s="201"/>
      <c r="F457" s="201"/>
      <c r="G457" s="201"/>
      <c r="H457" s="201"/>
      <c r="I457" s="201"/>
      <c r="J457" s="201"/>
      <c r="K457" s="201"/>
      <c r="L457" s="201"/>
      <c r="M457" s="201"/>
    </row>
    <row r="458" ht="12.75" customHeight="1">
      <c r="C458" s="201"/>
      <c r="D458" s="201"/>
      <c r="E458" s="201"/>
      <c r="F458" s="201"/>
      <c r="G458" s="201"/>
      <c r="H458" s="201"/>
      <c r="I458" s="201"/>
      <c r="J458" s="201"/>
      <c r="K458" s="201"/>
      <c r="L458" s="201"/>
      <c r="M458" s="201"/>
    </row>
    <row r="459" ht="12.75" customHeight="1">
      <c r="C459" s="201"/>
      <c r="D459" s="201"/>
      <c r="E459" s="201"/>
      <c r="F459" s="201"/>
      <c r="G459" s="201"/>
      <c r="H459" s="201"/>
      <c r="I459" s="201"/>
      <c r="J459" s="201"/>
      <c r="K459" s="201"/>
      <c r="L459" s="201"/>
      <c r="M459" s="201"/>
    </row>
    <row r="460" ht="12.75" customHeight="1">
      <c r="C460" s="201"/>
      <c r="D460" s="201"/>
      <c r="E460" s="201"/>
      <c r="F460" s="201"/>
      <c r="G460" s="201"/>
      <c r="H460" s="201"/>
      <c r="I460" s="201"/>
      <c r="J460" s="201"/>
      <c r="K460" s="201"/>
      <c r="L460" s="201"/>
      <c r="M460" s="201"/>
    </row>
    <row r="461" ht="12.75" customHeight="1">
      <c r="C461" s="201"/>
      <c r="D461" s="201"/>
      <c r="E461" s="201"/>
      <c r="F461" s="201"/>
      <c r="G461" s="201"/>
      <c r="H461" s="201"/>
      <c r="I461" s="201"/>
      <c r="J461" s="201"/>
      <c r="K461" s="201"/>
      <c r="L461" s="201"/>
      <c r="M461" s="201"/>
    </row>
    <row r="462" ht="12.75" customHeight="1">
      <c r="C462" s="201"/>
      <c r="D462" s="201"/>
      <c r="E462" s="201"/>
      <c r="F462" s="201"/>
      <c r="G462" s="201"/>
      <c r="H462" s="201"/>
      <c r="I462" s="201"/>
      <c r="J462" s="201"/>
      <c r="K462" s="201"/>
      <c r="L462" s="201"/>
      <c r="M462" s="201"/>
    </row>
    <row r="463" ht="12.75" customHeight="1">
      <c r="C463" s="201"/>
      <c r="D463" s="201"/>
      <c r="E463" s="201"/>
      <c r="F463" s="201"/>
      <c r="G463" s="201"/>
      <c r="H463" s="201"/>
      <c r="I463" s="201"/>
      <c r="J463" s="201"/>
      <c r="K463" s="201"/>
      <c r="L463" s="201"/>
      <c r="M463" s="201"/>
    </row>
    <row r="464" ht="12.75" customHeight="1">
      <c r="C464" s="201"/>
      <c r="D464" s="201"/>
      <c r="E464" s="201"/>
      <c r="F464" s="201"/>
      <c r="G464" s="201"/>
      <c r="H464" s="201"/>
      <c r="I464" s="201"/>
      <c r="J464" s="201"/>
      <c r="K464" s="201"/>
      <c r="L464" s="201"/>
      <c r="M464" s="201"/>
    </row>
    <row r="465" ht="12.75" customHeight="1">
      <c r="C465" s="201"/>
      <c r="D465" s="201"/>
      <c r="E465" s="201"/>
      <c r="F465" s="201"/>
      <c r="G465" s="201"/>
      <c r="H465" s="201"/>
      <c r="I465" s="201"/>
      <c r="J465" s="201"/>
      <c r="K465" s="201"/>
      <c r="L465" s="201"/>
      <c r="M465" s="201"/>
    </row>
    <row r="466" ht="12.75" customHeight="1">
      <c r="C466" s="201"/>
      <c r="D466" s="201"/>
      <c r="E466" s="201"/>
      <c r="F466" s="201"/>
      <c r="G466" s="201"/>
      <c r="H466" s="201"/>
      <c r="I466" s="201"/>
      <c r="J466" s="201"/>
      <c r="K466" s="201"/>
      <c r="L466" s="201"/>
      <c r="M466" s="201"/>
    </row>
    <row r="467" ht="12.75" customHeight="1">
      <c r="C467" s="201"/>
      <c r="D467" s="201"/>
      <c r="E467" s="201"/>
      <c r="F467" s="201"/>
      <c r="G467" s="201"/>
      <c r="H467" s="201"/>
      <c r="I467" s="201"/>
      <c r="J467" s="201"/>
      <c r="K467" s="201"/>
      <c r="L467" s="201"/>
      <c r="M467" s="201"/>
    </row>
    <row r="468" ht="12.75" customHeight="1">
      <c r="C468" s="201"/>
      <c r="D468" s="201"/>
      <c r="E468" s="201"/>
      <c r="F468" s="201"/>
      <c r="G468" s="201"/>
      <c r="H468" s="201"/>
      <c r="I468" s="201"/>
      <c r="J468" s="201"/>
      <c r="K468" s="201"/>
      <c r="L468" s="201"/>
      <c r="M468" s="201"/>
    </row>
    <row r="469" ht="12.75" customHeight="1">
      <c r="C469" s="201"/>
      <c r="D469" s="201"/>
      <c r="E469" s="201"/>
      <c r="F469" s="201"/>
      <c r="G469" s="201"/>
      <c r="H469" s="201"/>
      <c r="I469" s="201"/>
      <c r="J469" s="201"/>
      <c r="K469" s="201"/>
      <c r="L469" s="201"/>
      <c r="M469" s="201"/>
    </row>
    <row r="470" ht="12.75" customHeight="1">
      <c r="C470" s="201"/>
      <c r="D470" s="201"/>
      <c r="E470" s="201"/>
      <c r="F470" s="201"/>
      <c r="G470" s="201"/>
      <c r="H470" s="201"/>
      <c r="I470" s="201"/>
      <c r="J470" s="201"/>
      <c r="K470" s="201"/>
      <c r="L470" s="201"/>
      <c r="M470" s="201"/>
    </row>
    <row r="471" ht="12.75" customHeight="1">
      <c r="C471" s="201"/>
      <c r="D471" s="201"/>
      <c r="E471" s="201"/>
      <c r="F471" s="201"/>
      <c r="G471" s="201"/>
      <c r="H471" s="201"/>
      <c r="I471" s="201"/>
      <c r="J471" s="201"/>
      <c r="K471" s="201"/>
      <c r="L471" s="201"/>
      <c r="M471" s="201"/>
    </row>
    <row r="472" ht="12.75" customHeight="1">
      <c r="C472" s="201"/>
      <c r="D472" s="201"/>
      <c r="E472" s="201"/>
      <c r="F472" s="201"/>
      <c r="G472" s="201"/>
      <c r="H472" s="201"/>
      <c r="I472" s="201"/>
      <c r="J472" s="201"/>
      <c r="K472" s="201"/>
      <c r="L472" s="201"/>
      <c r="M472" s="201"/>
    </row>
    <row r="473" ht="12.75" customHeight="1">
      <c r="C473" s="201"/>
      <c r="D473" s="201"/>
      <c r="E473" s="201"/>
      <c r="F473" s="201"/>
      <c r="G473" s="201"/>
      <c r="H473" s="201"/>
      <c r="I473" s="201"/>
      <c r="J473" s="201"/>
      <c r="K473" s="201"/>
      <c r="L473" s="201"/>
      <c r="M473" s="201"/>
    </row>
    <row r="474" ht="12.75" customHeight="1">
      <c r="C474" s="201"/>
      <c r="D474" s="201"/>
      <c r="E474" s="201"/>
      <c r="F474" s="201"/>
      <c r="G474" s="201"/>
      <c r="H474" s="201"/>
      <c r="I474" s="201"/>
      <c r="J474" s="201"/>
      <c r="K474" s="201"/>
      <c r="L474" s="201"/>
      <c r="M474" s="201"/>
    </row>
    <row r="475" ht="12.75" customHeight="1">
      <c r="C475" s="201"/>
      <c r="D475" s="201"/>
      <c r="E475" s="201"/>
      <c r="F475" s="201"/>
      <c r="G475" s="201"/>
      <c r="H475" s="201"/>
      <c r="I475" s="201"/>
      <c r="J475" s="201"/>
      <c r="K475" s="201"/>
      <c r="L475" s="201"/>
      <c r="M475" s="201"/>
    </row>
    <row r="476" ht="12.75" customHeight="1">
      <c r="C476" s="201"/>
      <c r="D476" s="201"/>
      <c r="E476" s="201"/>
      <c r="F476" s="201"/>
      <c r="G476" s="201"/>
      <c r="H476" s="201"/>
      <c r="I476" s="201"/>
      <c r="J476" s="201"/>
      <c r="K476" s="201"/>
      <c r="L476" s="201"/>
      <c r="M476" s="201"/>
    </row>
    <row r="477" ht="12.75" customHeight="1">
      <c r="C477" s="201"/>
      <c r="D477" s="201"/>
      <c r="E477" s="201"/>
      <c r="F477" s="201"/>
      <c r="G477" s="201"/>
      <c r="H477" s="201"/>
      <c r="I477" s="201"/>
      <c r="J477" s="201"/>
      <c r="K477" s="201"/>
      <c r="L477" s="201"/>
      <c r="M477" s="201"/>
    </row>
    <row r="478" ht="12.75" customHeight="1">
      <c r="C478" s="201"/>
      <c r="D478" s="201"/>
      <c r="E478" s="201"/>
      <c r="F478" s="201"/>
      <c r="G478" s="201"/>
      <c r="H478" s="201"/>
      <c r="I478" s="201"/>
      <c r="J478" s="201"/>
      <c r="K478" s="201"/>
      <c r="L478" s="201"/>
      <c r="M478" s="201"/>
    </row>
    <row r="479" ht="12.75" customHeight="1">
      <c r="C479" s="201"/>
      <c r="D479" s="201"/>
      <c r="E479" s="201"/>
      <c r="F479" s="201"/>
      <c r="G479" s="201"/>
      <c r="H479" s="201"/>
      <c r="I479" s="201"/>
      <c r="J479" s="201"/>
      <c r="K479" s="201"/>
      <c r="L479" s="201"/>
      <c r="M479" s="201"/>
    </row>
    <row r="480" ht="12.75" customHeight="1">
      <c r="C480" s="201"/>
      <c r="D480" s="201"/>
      <c r="E480" s="201"/>
      <c r="F480" s="201"/>
      <c r="G480" s="201"/>
      <c r="H480" s="201"/>
      <c r="I480" s="201"/>
      <c r="J480" s="201"/>
      <c r="K480" s="201"/>
      <c r="L480" s="201"/>
      <c r="M480" s="201"/>
    </row>
    <row r="481" ht="12.75" customHeight="1">
      <c r="C481" s="201"/>
      <c r="D481" s="201"/>
      <c r="E481" s="201"/>
      <c r="F481" s="201"/>
      <c r="G481" s="201"/>
      <c r="H481" s="201"/>
      <c r="I481" s="201"/>
      <c r="J481" s="201"/>
      <c r="K481" s="201"/>
      <c r="L481" s="201"/>
      <c r="M481" s="201"/>
    </row>
    <row r="482" ht="12.75" customHeight="1">
      <c r="C482" s="201"/>
      <c r="D482" s="201"/>
      <c r="E482" s="201"/>
      <c r="F482" s="201"/>
      <c r="G482" s="201"/>
      <c r="H482" s="201"/>
      <c r="I482" s="201"/>
      <c r="J482" s="201"/>
      <c r="K482" s="201"/>
      <c r="L482" s="201"/>
      <c r="M482" s="201"/>
    </row>
    <row r="483" ht="12.75" customHeight="1">
      <c r="C483" s="201"/>
      <c r="D483" s="201"/>
      <c r="E483" s="201"/>
      <c r="F483" s="201"/>
      <c r="G483" s="201"/>
      <c r="H483" s="201"/>
      <c r="I483" s="201"/>
      <c r="J483" s="201"/>
      <c r="K483" s="201"/>
      <c r="L483" s="201"/>
      <c r="M483" s="201"/>
    </row>
    <row r="484" ht="12.75" customHeight="1">
      <c r="C484" s="201"/>
      <c r="D484" s="201"/>
      <c r="E484" s="201"/>
      <c r="F484" s="201"/>
      <c r="G484" s="201"/>
      <c r="H484" s="201"/>
      <c r="I484" s="201"/>
      <c r="J484" s="201"/>
      <c r="K484" s="201"/>
      <c r="L484" s="201"/>
      <c r="M484" s="201"/>
    </row>
    <row r="485" ht="12.75" customHeight="1">
      <c r="C485" s="201"/>
      <c r="D485" s="201"/>
      <c r="E485" s="201"/>
      <c r="F485" s="201"/>
      <c r="G485" s="201"/>
      <c r="H485" s="201"/>
      <c r="I485" s="201"/>
      <c r="J485" s="201"/>
      <c r="K485" s="201"/>
      <c r="L485" s="201"/>
      <c r="M485" s="201"/>
    </row>
    <row r="486" ht="12.75" customHeight="1">
      <c r="C486" s="201"/>
      <c r="D486" s="201"/>
      <c r="E486" s="201"/>
      <c r="F486" s="201"/>
      <c r="G486" s="201"/>
      <c r="H486" s="201"/>
      <c r="I486" s="201"/>
      <c r="J486" s="201"/>
      <c r="K486" s="201"/>
      <c r="L486" s="201"/>
      <c r="M486" s="201"/>
    </row>
    <row r="487" ht="12.75" customHeight="1">
      <c r="C487" s="201"/>
      <c r="D487" s="201"/>
      <c r="E487" s="201"/>
      <c r="F487" s="201"/>
      <c r="G487" s="201"/>
      <c r="H487" s="201"/>
      <c r="I487" s="201"/>
      <c r="J487" s="201"/>
      <c r="K487" s="201"/>
      <c r="L487" s="201"/>
      <c r="M487" s="201"/>
    </row>
    <row r="488" ht="12.75" customHeight="1">
      <c r="C488" s="201"/>
      <c r="D488" s="201"/>
      <c r="E488" s="201"/>
      <c r="F488" s="201"/>
      <c r="G488" s="201"/>
      <c r="H488" s="201"/>
      <c r="I488" s="201"/>
      <c r="J488" s="201"/>
      <c r="K488" s="201"/>
      <c r="L488" s="201"/>
      <c r="M488" s="201"/>
    </row>
    <row r="489" ht="12.75" customHeight="1">
      <c r="C489" s="201"/>
      <c r="D489" s="201"/>
      <c r="E489" s="201"/>
      <c r="F489" s="201"/>
      <c r="G489" s="201"/>
      <c r="H489" s="201"/>
      <c r="I489" s="201"/>
      <c r="J489" s="201"/>
      <c r="K489" s="201"/>
      <c r="L489" s="201"/>
      <c r="M489" s="201"/>
    </row>
    <row r="490" ht="12.75" customHeight="1">
      <c r="C490" s="201"/>
      <c r="D490" s="201"/>
      <c r="E490" s="201"/>
      <c r="F490" s="201"/>
      <c r="G490" s="201"/>
      <c r="H490" s="201"/>
      <c r="I490" s="201"/>
      <c r="J490" s="201"/>
      <c r="K490" s="201"/>
      <c r="L490" s="201"/>
      <c r="M490" s="201"/>
    </row>
    <row r="491" ht="12.75" customHeight="1">
      <c r="C491" s="201"/>
      <c r="D491" s="201"/>
      <c r="E491" s="201"/>
      <c r="F491" s="201"/>
      <c r="G491" s="201"/>
      <c r="H491" s="201"/>
      <c r="I491" s="201"/>
      <c r="J491" s="201"/>
      <c r="K491" s="201"/>
      <c r="L491" s="201"/>
      <c r="M491" s="201"/>
    </row>
    <row r="492" ht="12.75" customHeight="1">
      <c r="C492" s="201"/>
      <c r="D492" s="201"/>
      <c r="E492" s="201"/>
      <c r="F492" s="201"/>
      <c r="G492" s="201"/>
      <c r="H492" s="201"/>
      <c r="I492" s="201"/>
      <c r="J492" s="201"/>
      <c r="K492" s="201"/>
      <c r="L492" s="201"/>
      <c r="M492" s="201"/>
    </row>
    <row r="493" ht="12.75" customHeight="1">
      <c r="C493" s="201"/>
      <c r="D493" s="201"/>
      <c r="E493" s="201"/>
      <c r="F493" s="201"/>
      <c r="G493" s="201"/>
      <c r="H493" s="201"/>
      <c r="I493" s="201"/>
      <c r="J493" s="201"/>
      <c r="K493" s="201"/>
      <c r="L493" s="201"/>
      <c r="M493" s="201"/>
    </row>
    <row r="494" ht="12.75" customHeight="1">
      <c r="C494" s="201"/>
      <c r="D494" s="201"/>
      <c r="E494" s="201"/>
      <c r="F494" s="201"/>
      <c r="G494" s="201"/>
      <c r="H494" s="201"/>
      <c r="I494" s="201"/>
      <c r="J494" s="201"/>
      <c r="K494" s="201"/>
      <c r="L494" s="201"/>
      <c r="M494" s="201"/>
    </row>
    <row r="495" ht="12.75" customHeight="1">
      <c r="C495" s="201"/>
      <c r="D495" s="201"/>
      <c r="E495" s="201"/>
      <c r="F495" s="201"/>
      <c r="G495" s="201"/>
      <c r="H495" s="201"/>
      <c r="I495" s="201"/>
      <c r="J495" s="201"/>
      <c r="K495" s="201"/>
      <c r="L495" s="201"/>
      <c r="M495" s="201"/>
    </row>
    <row r="496" ht="12.75" customHeight="1">
      <c r="C496" s="201"/>
      <c r="D496" s="201"/>
      <c r="E496" s="201"/>
      <c r="F496" s="201"/>
      <c r="G496" s="201"/>
      <c r="H496" s="201"/>
      <c r="I496" s="201"/>
      <c r="J496" s="201"/>
      <c r="K496" s="201"/>
      <c r="L496" s="201"/>
      <c r="M496" s="201"/>
    </row>
    <row r="497" ht="12.75" customHeight="1">
      <c r="C497" s="201"/>
      <c r="D497" s="201"/>
      <c r="E497" s="201"/>
      <c r="F497" s="201"/>
      <c r="G497" s="201"/>
      <c r="H497" s="201"/>
      <c r="I497" s="201"/>
      <c r="J497" s="201"/>
      <c r="K497" s="201"/>
      <c r="L497" s="201"/>
      <c r="M497" s="201"/>
    </row>
    <row r="498" ht="12.75" customHeight="1">
      <c r="C498" s="201"/>
      <c r="D498" s="201"/>
      <c r="E498" s="201"/>
      <c r="F498" s="201"/>
      <c r="G498" s="201"/>
      <c r="H498" s="201"/>
      <c r="I498" s="201"/>
      <c r="J498" s="201"/>
      <c r="K498" s="201"/>
      <c r="L498" s="201"/>
      <c r="M498" s="201"/>
    </row>
    <row r="499" ht="12.75" customHeight="1">
      <c r="C499" s="201"/>
      <c r="D499" s="201"/>
      <c r="E499" s="201"/>
      <c r="F499" s="201"/>
      <c r="G499" s="201"/>
      <c r="H499" s="201"/>
      <c r="I499" s="201"/>
      <c r="J499" s="201"/>
      <c r="K499" s="201"/>
      <c r="L499" s="201"/>
      <c r="M499" s="201"/>
    </row>
    <row r="500" ht="12.75" customHeight="1">
      <c r="C500" s="201"/>
      <c r="D500" s="201"/>
      <c r="E500" s="201"/>
      <c r="F500" s="201"/>
      <c r="G500" s="201"/>
      <c r="H500" s="201"/>
      <c r="I500" s="201"/>
      <c r="J500" s="201"/>
      <c r="K500" s="201"/>
      <c r="L500" s="201"/>
      <c r="M500" s="201"/>
    </row>
    <row r="501" ht="12.75" customHeight="1">
      <c r="C501" s="201"/>
      <c r="D501" s="201"/>
      <c r="E501" s="201"/>
      <c r="F501" s="201"/>
      <c r="G501" s="201"/>
      <c r="H501" s="201"/>
      <c r="I501" s="201"/>
      <c r="J501" s="201"/>
      <c r="K501" s="201"/>
      <c r="L501" s="201"/>
      <c r="M501" s="201"/>
    </row>
    <row r="502" ht="12.75" customHeight="1">
      <c r="C502" s="201"/>
      <c r="D502" s="201"/>
      <c r="E502" s="201"/>
      <c r="F502" s="201"/>
      <c r="G502" s="201"/>
      <c r="H502" s="201"/>
      <c r="I502" s="201"/>
      <c r="J502" s="201"/>
      <c r="K502" s="201"/>
      <c r="L502" s="201"/>
      <c r="M502" s="201"/>
    </row>
    <row r="503" ht="12.75" customHeight="1">
      <c r="C503" s="201"/>
      <c r="D503" s="201"/>
      <c r="E503" s="201"/>
      <c r="F503" s="201"/>
      <c r="G503" s="201"/>
      <c r="H503" s="201"/>
      <c r="I503" s="201"/>
      <c r="J503" s="201"/>
      <c r="K503" s="201"/>
      <c r="L503" s="201"/>
      <c r="M503" s="201"/>
    </row>
    <row r="504" ht="12.75" customHeight="1">
      <c r="C504" s="201"/>
      <c r="D504" s="201"/>
      <c r="E504" s="201"/>
      <c r="F504" s="201"/>
      <c r="G504" s="201"/>
      <c r="H504" s="201"/>
      <c r="I504" s="201"/>
      <c r="J504" s="201"/>
      <c r="K504" s="201"/>
      <c r="L504" s="201"/>
      <c r="M504" s="201"/>
    </row>
    <row r="505" ht="12.75" customHeight="1">
      <c r="C505" s="201"/>
      <c r="D505" s="201"/>
      <c r="E505" s="201"/>
      <c r="F505" s="201"/>
      <c r="G505" s="201"/>
      <c r="H505" s="201"/>
      <c r="I505" s="201"/>
      <c r="J505" s="201"/>
      <c r="K505" s="201"/>
      <c r="L505" s="201"/>
      <c r="M505" s="201"/>
    </row>
    <row r="506" ht="12.75" customHeight="1">
      <c r="C506" s="201"/>
      <c r="D506" s="201"/>
      <c r="E506" s="201"/>
      <c r="F506" s="201"/>
      <c r="G506" s="201"/>
      <c r="H506" s="201"/>
      <c r="I506" s="201"/>
      <c r="J506" s="201"/>
      <c r="K506" s="201"/>
      <c r="L506" s="201"/>
      <c r="M506" s="201"/>
    </row>
    <row r="507" ht="12.75" customHeight="1">
      <c r="C507" s="201"/>
      <c r="D507" s="201"/>
      <c r="E507" s="201"/>
      <c r="F507" s="201"/>
      <c r="G507" s="201"/>
      <c r="H507" s="201"/>
      <c r="I507" s="201"/>
      <c r="J507" s="201"/>
      <c r="K507" s="201"/>
      <c r="L507" s="201"/>
      <c r="M507" s="201"/>
    </row>
    <row r="508" ht="12.75" customHeight="1">
      <c r="C508" s="201"/>
      <c r="D508" s="201"/>
      <c r="E508" s="201"/>
      <c r="F508" s="201"/>
      <c r="G508" s="201"/>
      <c r="H508" s="201"/>
      <c r="I508" s="201"/>
      <c r="J508" s="201"/>
      <c r="K508" s="201"/>
      <c r="L508" s="201"/>
      <c r="M508" s="201"/>
    </row>
    <row r="509" ht="12.75" customHeight="1">
      <c r="C509" s="201"/>
      <c r="D509" s="201"/>
      <c r="E509" s="201"/>
      <c r="F509" s="201"/>
      <c r="G509" s="201"/>
      <c r="H509" s="201"/>
      <c r="I509" s="201"/>
      <c r="J509" s="201"/>
      <c r="K509" s="201"/>
      <c r="L509" s="201"/>
      <c r="M509" s="201"/>
    </row>
    <row r="510" ht="12.75" customHeight="1">
      <c r="C510" s="201"/>
      <c r="D510" s="201"/>
      <c r="E510" s="201"/>
      <c r="F510" s="201"/>
      <c r="G510" s="201"/>
      <c r="H510" s="201"/>
      <c r="I510" s="201"/>
      <c r="J510" s="201"/>
      <c r="K510" s="201"/>
      <c r="L510" s="201"/>
      <c r="M510" s="201"/>
    </row>
    <row r="511" ht="12.75" customHeight="1">
      <c r="C511" s="201"/>
      <c r="D511" s="201"/>
      <c r="E511" s="201"/>
      <c r="F511" s="201"/>
      <c r="G511" s="201"/>
      <c r="H511" s="201"/>
      <c r="I511" s="201"/>
      <c r="J511" s="201"/>
      <c r="K511" s="201"/>
      <c r="L511" s="201"/>
      <c r="M511" s="201"/>
    </row>
    <row r="512" ht="12.75" customHeight="1">
      <c r="C512" s="201"/>
      <c r="D512" s="201"/>
      <c r="E512" s="201"/>
      <c r="F512" s="201"/>
      <c r="G512" s="201"/>
      <c r="H512" s="201"/>
      <c r="I512" s="201"/>
      <c r="J512" s="201"/>
      <c r="K512" s="201"/>
      <c r="L512" s="201"/>
      <c r="M512" s="201"/>
    </row>
    <row r="513" ht="12.75" customHeight="1">
      <c r="C513" s="201"/>
      <c r="D513" s="201"/>
      <c r="E513" s="201"/>
      <c r="F513" s="201"/>
      <c r="G513" s="201"/>
      <c r="H513" s="201"/>
      <c r="I513" s="201"/>
      <c r="J513" s="201"/>
      <c r="K513" s="201"/>
      <c r="L513" s="201"/>
      <c r="M513" s="201"/>
    </row>
    <row r="514" ht="12.75" customHeight="1">
      <c r="C514" s="201"/>
      <c r="D514" s="201"/>
      <c r="E514" s="201"/>
      <c r="F514" s="201"/>
      <c r="G514" s="201"/>
      <c r="H514" s="201"/>
      <c r="I514" s="201"/>
      <c r="J514" s="201"/>
      <c r="K514" s="201"/>
      <c r="L514" s="201"/>
      <c r="M514" s="201"/>
    </row>
    <row r="515" ht="12.75" customHeight="1">
      <c r="C515" s="201"/>
      <c r="D515" s="201"/>
      <c r="E515" s="201"/>
      <c r="F515" s="201"/>
      <c r="G515" s="201"/>
      <c r="H515" s="201"/>
      <c r="I515" s="201"/>
      <c r="J515" s="201"/>
      <c r="K515" s="201"/>
      <c r="L515" s="201"/>
      <c r="M515" s="201"/>
    </row>
    <row r="516" ht="12.75" customHeight="1">
      <c r="C516" s="201"/>
      <c r="D516" s="201"/>
      <c r="E516" s="201"/>
      <c r="F516" s="201"/>
      <c r="G516" s="201"/>
      <c r="H516" s="201"/>
      <c r="I516" s="201"/>
      <c r="J516" s="201"/>
      <c r="K516" s="201"/>
      <c r="L516" s="201"/>
      <c r="M516" s="201"/>
    </row>
    <row r="517" ht="12.75" customHeight="1">
      <c r="C517" s="201"/>
      <c r="D517" s="201"/>
      <c r="E517" s="201"/>
      <c r="F517" s="201"/>
      <c r="G517" s="201"/>
      <c r="H517" s="201"/>
      <c r="I517" s="201"/>
      <c r="J517" s="201"/>
      <c r="K517" s="201"/>
      <c r="L517" s="201"/>
      <c r="M517" s="201"/>
    </row>
    <row r="518" ht="12.75" customHeight="1">
      <c r="C518" s="201"/>
      <c r="D518" s="201"/>
      <c r="E518" s="201"/>
      <c r="F518" s="201"/>
      <c r="G518" s="201"/>
      <c r="H518" s="201"/>
      <c r="I518" s="201"/>
      <c r="J518" s="201"/>
      <c r="K518" s="201"/>
      <c r="L518" s="201"/>
      <c r="M518" s="201"/>
    </row>
    <row r="519" ht="12.75" customHeight="1">
      <c r="C519" s="201"/>
      <c r="D519" s="201"/>
      <c r="E519" s="201"/>
      <c r="F519" s="201"/>
      <c r="G519" s="201"/>
      <c r="H519" s="201"/>
      <c r="I519" s="201"/>
      <c r="J519" s="201"/>
      <c r="K519" s="201"/>
      <c r="L519" s="201"/>
      <c r="M519" s="201"/>
    </row>
    <row r="520" ht="12.75" customHeight="1">
      <c r="C520" s="201"/>
      <c r="D520" s="201"/>
      <c r="E520" s="201"/>
      <c r="F520" s="201"/>
      <c r="G520" s="201"/>
      <c r="H520" s="201"/>
      <c r="I520" s="201"/>
      <c r="J520" s="201"/>
      <c r="K520" s="201"/>
      <c r="L520" s="201"/>
      <c r="M520" s="201"/>
    </row>
    <row r="521" ht="12.75" customHeight="1">
      <c r="C521" s="201"/>
      <c r="D521" s="201"/>
      <c r="E521" s="201"/>
      <c r="F521" s="201"/>
      <c r="G521" s="201"/>
      <c r="H521" s="201"/>
      <c r="I521" s="201"/>
      <c r="J521" s="201"/>
      <c r="K521" s="201"/>
      <c r="L521" s="201"/>
      <c r="M521" s="201"/>
    </row>
    <row r="522" ht="12.75" customHeight="1">
      <c r="C522" s="201"/>
      <c r="D522" s="201"/>
      <c r="E522" s="201"/>
      <c r="F522" s="201"/>
      <c r="G522" s="201"/>
      <c r="H522" s="201"/>
      <c r="I522" s="201"/>
      <c r="J522" s="201"/>
      <c r="K522" s="201"/>
      <c r="L522" s="201"/>
      <c r="M522" s="201"/>
    </row>
    <row r="523" ht="12.75" customHeight="1">
      <c r="C523" s="201"/>
      <c r="D523" s="201"/>
      <c r="E523" s="201"/>
      <c r="F523" s="201"/>
      <c r="G523" s="201"/>
      <c r="H523" s="201"/>
      <c r="I523" s="201"/>
      <c r="J523" s="201"/>
      <c r="K523" s="201"/>
      <c r="L523" s="201"/>
      <c r="M523" s="201"/>
    </row>
    <row r="524" ht="12.75" customHeight="1">
      <c r="C524" s="201"/>
      <c r="D524" s="201"/>
      <c r="E524" s="201"/>
      <c r="F524" s="201"/>
      <c r="G524" s="201"/>
      <c r="H524" s="201"/>
      <c r="I524" s="201"/>
      <c r="J524" s="201"/>
      <c r="K524" s="201"/>
      <c r="L524" s="201"/>
      <c r="M524" s="201"/>
    </row>
    <row r="525" ht="12.75" customHeight="1">
      <c r="C525" s="201"/>
      <c r="D525" s="201"/>
      <c r="E525" s="201"/>
      <c r="F525" s="201"/>
      <c r="G525" s="201"/>
      <c r="H525" s="201"/>
      <c r="I525" s="201"/>
      <c r="J525" s="201"/>
      <c r="K525" s="201"/>
      <c r="L525" s="201"/>
      <c r="M525" s="201"/>
    </row>
    <row r="526" ht="12.75" customHeight="1">
      <c r="C526" s="201"/>
      <c r="D526" s="201"/>
      <c r="E526" s="201"/>
      <c r="F526" s="201"/>
      <c r="G526" s="201"/>
      <c r="H526" s="201"/>
      <c r="I526" s="201"/>
      <c r="J526" s="201"/>
      <c r="K526" s="201"/>
      <c r="L526" s="201"/>
      <c r="M526" s="201"/>
    </row>
    <row r="527" ht="12.75" customHeight="1">
      <c r="C527" s="201"/>
      <c r="D527" s="201"/>
      <c r="E527" s="201"/>
      <c r="F527" s="201"/>
      <c r="G527" s="201"/>
      <c r="H527" s="201"/>
      <c r="I527" s="201"/>
      <c r="J527" s="201"/>
      <c r="K527" s="201"/>
      <c r="L527" s="201"/>
      <c r="M527" s="201"/>
    </row>
    <row r="528" ht="12.75" customHeight="1">
      <c r="C528" s="201"/>
      <c r="D528" s="201"/>
      <c r="E528" s="201"/>
      <c r="F528" s="201"/>
      <c r="G528" s="201"/>
      <c r="H528" s="201"/>
      <c r="I528" s="201"/>
      <c r="J528" s="201"/>
      <c r="K528" s="201"/>
      <c r="L528" s="201"/>
      <c r="M528" s="201"/>
    </row>
    <row r="529" ht="12.75" customHeight="1">
      <c r="C529" s="201"/>
      <c r="D529" s="201"/>
      <c r="E529" s="201"/>
      <c r="F529" s="201"/>
      <c r="G529" s="201"/>
      <c r="H529" s="201"/>
      <c r="I529" s="201"/>
      <c r="J529" s="201"/>
      <c r="K529" s="201"/>
      <c r="L529" s="201"/>
      <c r="M529" s="201"/>
    </row>
    <row r="530" ht="12.75" customHeight="1">
      <c r="C530" s="201"/>
      <c r="D530" s="201"/>
      <c r="E530" s="201"/>
      <c r="F530" s="201"/>
      <c r="G530" s="201"/>
      <c r="H530" s="201"/>
      <c r="I530" s="201"/>
      <c r="J530" s="201"/>
      <c r="K530" s="201"/>
      <c r="L530" s="201"/>
      <c r="M530" s="201"/>
    </row>
    <row r="531" ht="12.75" customHeight="1">
      <c r="C531" s="201"/>
      <c r="D531" s="201"/>
      <c r="E531" s="201"/>
      <c r="F531" s="201"/>
      <c r="G531" s="201"/>
      <c r="H531" s="201"/>
      <c r="I531" s="201"/>
      <c r="J531" s="201"/>
      <c r="K531" s="201"/>
      <c r="L531" s="201"/>
      <c r="M531" s="201"/>
    </row>
    <row r="532" ht="12.75" customHeight="1">
      <c r="C532" s="201"/>
      <c r="D532" s="201"/>
      <c r="E532" s="201"/>
      <c r="F532" s="201"/>
      <c r="G532" s="201"/>
      <c r="H532" s="201"/>
      <c r="I532" s="201"/>
      <c r="J532" s="201"/>
      <c r="K532" s="201"/>
      <c r="L532" s="201"/>
      <c r="M532" s="201"/>
    </row>
    <row r="533" ht="12.75" customHeight="1">
      <c r="C533" s="201"/>
      <c r="D533" s="201"/>
      <c r="E533" s="201"/>
      <c r="F533" s="201"/>
      <c r="G533" s="201"/>
      <c r="H533" s="201"/>
      <c r="I533" s="201"/>
      <c r="J533" s="201"/>
      <c r="K533" s="201"/>
      <c r="L533" s="201"/>
      <c r="M533" s="201"/>
    </row>
    <row r="534" ht="12.75" customHeight="1">
      <c r="C534" s="201"/>
      <c r="D534" s="201"/>
      <c r="E534" s="201"/>
      <c r="F534" s="201"/>
      <c r="G534" s="201"/>
      <c r="H534" s="201"/>
      <c r="I534" s="201"/>
      <c r="J534" s="201"/>
      <c r="K534" s="201"/>
      <c r="L534" s="201"/>
      <c r="M534" s="201"/>
    </row>
    <row r="535" ht="12.75" customHeight="1">
      <c r="C535" s="201"/>
      <c r="D535" s="201"/>
      <c r="E535" s="201"/>
      <c r="F535" s="201"/>
      <c r="G535" s="201"/>
      <c r="H535" s="201"/>
      <c r="I535" s="201"/>
      <c r="J535" s="201"/>
      <c r="K535" s="201"/>
      <c r="L535" s="201"/>
      <c r="M535" s="201"/>
    </row>
    <row r="536" ht="12.75" customHeight="1">
      <c r="C536" s="201"/>
      <c r="D536" s="201"/>
      <c r="E536" s="201"/>
      <c r="F536" s="201"/>
      <c r="G536" s="201"/>
      <c r="H536" s="201"/>
      <c r="I536" s="201"/>
      <c r="J536" s="201"/>
      <c r="K536" s="201"/>
      <c r="L536" s="201"/>
      <c r="M536" s="201"/>
    </row>
    <row r="537" ht="12.75" customHeight="1">
      <c r="C537" s="201"/>
      <c r="D537" s="201"/>
      <c r="E537" s="201"/>
      <c r="F537" s="201"/>
      <c r="G537" s="201"/>
      <c r="H537" s="201"/>
      <c r="I537" s="201"/>
      <c r="J537" s="201"/>
      <c r="K537" s="201"/>
      <c r="L537" s="201"/>
      <c r="M537" s="201"/>
    </row>
    <row r="538" ht="12.75" customHeight="1">
      <c r="C538" s="201"/>
      <c r="D538" s="201"/>
      <c r="E538" s="201"/>
      <c r="F538" s="201"/>
      <c r="G538" s="201"/>
      <c r="H538" s="201"/>
      <c r="I538" s="201"/>
      <c r="J538" s="201"/>
      <c r="K538" s="201"/>
      <c r="L538" s="201"/>
      <c r="M538" s="201"/>
    </row>
    <row r="539" ht="12.75" customHeight="1">
      <c r="C539" s="201"/>
      <c r="D539" s="201"/>
      <c r="E539" s="201"/>
      <c r="F539" s="201"/>
      <c r="G539" s="201"/>
      <c r="H539" s="201"/>
      <c r="I539" s="201"/>
      <c r="J539" s="201"/>
      <c r="K539" s="201"/>
      <c r="L539" s="201"/>
      <c r="M539" s="201"/>
    </row>
    <row r="540" ht="12.75" customHeight="1">
      <c r="C540" s="201"/>
      <c r="D540" s="201"/>
      <c r="E540" s="201"/>
      <c r="F540" s="201"/>
      <c r="G540" s="201"/>
      <c r="H540" s="201"/>
      <c r="I540" s="201"/>
      <c r="J540" s="201"/>
      <c r="K540" s="201"/>
      <c r="L540" s="201"/>
      <c r="M540" s="201"/>
    </row>
    <row r="541" ht="12.75" customHeight="1">
      <c r="C541" s="201"/>
      <c r="D541" s="201"/>
      <c r="E541" s="201"/>
      <c r="F541" s="201"/>
      <c r="G541" s="201"/>
      <c r="H541" s="201"/>
      <c r="I541" s="201"/>
      <c r="J541" s="201"/>
      <c r="K541" s="201"/>
      <c r="L541" s="201"/>
      <c r="M541" s="201"/>
    </row>
    <row r="542" ht="12.75" customHeight="1">
      <c r="C542" s="201"/>
      <c r="D542" s="201"/>
      <c r="E542" s="201"/>
      <c r="F542" s="201"/>
      <c r="G542" s="201"/>
      <c r="H542" s="201"/>
      <c r="I542" s="201"/>
      <c r="J542" s="201"/>
      <c r="K542" s="201"/>
      <c r="L542" s="201"/>
      <c r="M542" s="201"/>
    </row>
    <row r="543" ht="12.75" customHeight="1">
      <c r="C543" s="201"/>
      <c r="D543" s="201"/>
      <c r="E543" s="201"/>
      <c r="F543" s="201"/>
      <c r="G543" s="201"/>
      <c r="H543" s="201"/>
      <c r="I543" s="201"/>
      <c r="J543" s="201"/>
      <c r="K543" s="201"/>
      <c r="L543" s="201"/>
      <c r="M543" s="201"/>
    </row>
    <row r="544" ht="12.75" customHeight="1">
      <c r="C544" s="201"/>
      <c r="D544" s="201"/>
      <c r="E544" s="201"/>
      <c r="F544" s="201"/>
      <c r="G544" s="201"/>
      <c r="H544" s="201"/>
      <c r="I544" s="201"/>
      <c r="J544" s="201"/>
      <c r="K544" s="201"/>
      <c r="L544" s="201"/>
      <c r="M544" s="201"/>
    </row>
    <row r="545" ht="12.75" customHeight="1">
      <c r="C545" s="201"/>
      <c r="D545" s="201"/>
      <c r="E545" s="201"/>
      <c r="F545" s="201"/>
      <c r="G545" s="201"/>
      <c r="H545" s="201"/>
      <c r="I545" s="201"/>
      <c r="J545" s="201"/>
      <c r="K545" s="201"/>
      <c r="L545" s="201"/>
      <c r="M545" s="201"/>
    </row>
    <row r="546" ht="12.75" customHeight="1">
      <c r="C546" s="201"/>
      <c r="D546" s="201"/>
      <c r="E546" s="201"/>
      <c r="F546" s="201"/>
      <c r="G546" s="201"/>
      <c r="H546" s="201"/>
      <c r="I546" s="201"/>
      <c r="J546" s="201"/>
      <c r="K546" s="201"/>
      <c r="L546" s="201"/>
      <c r="M546" s="201"/>
    </row>
    <row r="547" ht="12.75" customHeight="1">
      <c r="C547" s="201"/>
      <c r="D547" s="201"/>
      <c r="E547" s="201"/>
      <c r="F547" s="201"/>
      <c r="G547" s="201"/>
      <c r="H547" s="201"/>
      <c r="I547" s="201"/>
      <c r="J547" s="201"/>
      <c r="K547" s="201"/>
      <c r="L547" s="201"/>
      <c r="M547" s="201"/>
    </row>
    <row r="548" ht="12.75" customHeight="1">
      <c r="C548" s="201"/>
      <c r="D548" s="201"/>
      <c r="E548" s="201"/>
      <c r="F548" s="201"/>
      <c r="G548" s="201"/>
      <c r="H548" s="201"/>
      <c r="I548" s="201"/>
      <c r="J548" s="201"/>
      <c r="K548" s="201"/>
      <c r="L548" s="201"/>
      <c r="M548" s="201"/>
    </row>
    <row r="549" ht="12.75" customHeight="1">
      <c r="C549" s="201"/>
      <c r="D549" s="201"/>
      <c r="E549" s="201"/>
      <c r="F549" s="201"/>
      <c r="G549" s="201"/>
      <c r="H549" s="201"/>
      <c r="I549" s="201"/>
      <c r="J549" s="201"/>
      <c r="K549" s="201"/>
      <c r="L549" s="201"/>
      <c r="M549" s="201"/>
    </row>
    <row r="550" ht="12.75" customHeight="1">
      <c r="C550" s="201"/>
      <c r="D550" s="201"/>
      <c r="E550" s="201"/>
      <c r="F550" s="201"/>
      <c r="G550" s="201"/>
      <c r="H550" s="201"/>
      <c r="I550" s="201"/>
      <c r="J550" s="201"/>
      <c r="K550" s="201"/>
      <c r="L550" s="201"/>
      <c r="M550" s="201"/>
    </row>
    <row r="551" ht="12.75" customHeight="1">
      <c r="C551" s="201"/>
      <c r="D551" s="201"/>
      <c r="E551" s="201"/>
      <c r="F551" s="201"/>
      <c r="G551" s="201"/>
      <c r="H551" s="201"/>
      <c r="I551" s="201"/>
      <c r="J551" s="201"/>
      <c r="K551" s="201"/>
      <c r="L551" s="201"/>
      <c r="M551" s="201"/>
    </row>
    <row r="552" ht="12.75" customHeight="1">
      <c r="C552" s="201"/>
      <c r="D552" s="201"/>
      <c r="E552" s="201"/>
      <c r="F552" s="201"/>
      <c r="G552" s="201"/>
      <c r="H552" s="201"/>
      <c r="I552" s="201"/>
      <c r="J552" s="201"/>
      <c r="K552" s="201"/>
      <c r="L552" s="201"/>
      <c r="M552" s="201"/>
    </row>
    <row r="553" ht="12.75" customHeight="1">
      <c r="C553" s="201"/>
      <c r="D553" s="201"/>
      <c r="E553" s="201"/>
      <c r="F553" s="201"/>
      <c r="G553" s="201"/>
      <c r="H553" s="201"/>
      <c r="I553" s="201"/>
      <c r="J553" s="201"/>
      <c r="K553" s="201"/>
      <c r="L553" s="201"/>
      <c r="M553" s="201"/>
    </row>
    <row r="554" ht="12.75" customHeight="1">
      <c r="C554" s="201"/>
      <c r="D554" s="201"/>
      <c r="E554" s="201"/>
      <c r="F554" s="201"/>
      <c r="G554" s="201"/>
      <c r="H554" s="201"/>
      <c r="I554" s="201"/>
      <c r="J554" s="201"/>
      <c r="K554" s="201"/>
      <c r="L554" s="201"/>
      <c r="M554" s="201"/>
    </row>
    <row r="555" ht="12.75" customHeight="1">
      <c r="C555" s="201"/>
      <c r="D555" s="201"/>
      <c r="E555" s="201"/>
      <c r="F555" s="201"/>
      <c r="G555" s="201"/>
      <c r="H555" s="201"/>
      <c r="I555" s="201"/>
      <c r="J555" s="201"/>
      <c r="K555" s="201"/>
      <c r="L555" s="201"/>
      <c r="M555" s="201"/>
    </row>
    <row r="556" ht="12.75" customHeight="1">
      <c r="C556" s="201"/>
      <c r="D556" s="201"/>
      <c r="E556" s="201"/>
      <c r="F556" s="201"/>
      <c r="G556" s="201"/>
      <c r="H556" s="201"/>
      <c r="I556" s="201"/>
      <c r="J556" s="201"/>
      <c r="K556" s="201"/>
      <c r="L556" s="201"/>
      <c r="M556" s="201"/>
    </row>
    <row r="557" ht="12.75" customHeight="1">
      <c r="C557" s="201"/>
      <c r="D557" s="201"/>
      <c r="E557" s="201"/>
      <c r="F557" s="201"/>
      <c r="G557" s="201"/>
      <c r="H557" s="201"/>
      <c r="I557" s="201"/>
      <c r="J557" s="201"/>
      <c r="K557" s="201"/>
      <c r="L557" s="201"/>
      <c r="M557" s="201"/>
    </row>
    <row r="558" ht="12.75" customHeight="1">
      <c r="C558" s="201"/>
      <c r="D558" s="201"/>
      <c r="E558" s="201"/>
      <c r="F558" s="201"/>
      <c r="G558" s="201"/>
      <c r="H558" s="201"/>
      <c r="I558" s="201"/>
      <c r="J558" s="201"/>
      <c r="K558" s="201"/>
      <c r="L558" s="201"/>
      <c r="M558" s="201"/>
    </row>
    <row r="559" ht="12.75" customHeight="1">
      <c r="C559" s="201"/>
      <c r="D559" s="201"/>
      <c r="E559" s="201"/>
      <c r="F559" s="201"/>
      <c r="G559" s="201"/>
      <c r="H559" s="201"/>
      <c r="I559" s="201"/>
      <c r="J559" s="201"/>
      <c r="K559" s="201"/>
      <c r="L559" s="201"/>
      <c r="M559" s="201"/>
    </row>
    <row r="560" ht="12.75" customHeight="1">
      <c r="C560" s="201"/>
      <c r="D560" s="201"/>
      <c r="E560" s="201"/>
      <c r="F560" s="201"/>
      <c r="G560" s="201"/>
      <c r="H560" s="201"/>
      <c r="I560" s="201"/>
      <c r="J560" s="201"/>
      <c r="K560" s="201"/>
      <c r="L560" s="201"/>
      <c r="M560" s="201"/>
    </row>
    <row r="561" ht="12.75" customHeight="1">
      <c r="C561" s="201"/>
      <c r="D561" s="201"/>
      <c r="E561" s="201"/>
      <c r="F561" s="201"/>
      <c r="G561" s="201"/>
      <c r="H561" s="201"/>
      <c r="I561" s="201"/>
      <c r="J561" s="201"/>
      <c r="K561" s="201"/>
      <c r="L561" s="201"/>
      <c r="M561" s="201"/>
    </row>
    <row r="562" ht="12.75" customHeight="1">
      <c r="C562" s="201"/>
      <c r="D562" s="201"/>
      <c r="E562" s="201"/>
      <c r="F562" s="201"/>
      <c r="G562" s="201"/>
      <c r="H562" s="201"/>
      <c r="I562" s="201"/>
      <c r="J562" s="201"/>
      <c r="K562" s="201"/>
      <c r="L562" s="201"/>
      <c r="M562" s="201"/>
    </row>
    <row r="563" ht="12.75" customHeight="1">
      <c r="C563" s="201"/>
      <c r="D563" s="201"/>
      <c r="E563" s="201"/>
      <c r="F563" s="201"/>
      <c r="G563" s="201"/>
      <c r="H563" s="201"/>
      <c r="I563" s="201"/>
      <c r="J563" s="201"/>
      <c r="K563" s="201"/>
      <c r="L563" s="201"/>
      <c r="M563" s="201"/>
    </row>
    <row r="564" ht="12.75" customHeight="1">
      <c r="C564" s="201"/>
      <c r="D564" s="201"/>
      <c r="E564" s="201"/>
      <c r="F564" s="201"/>
      <c r="G564" s="201"/>
      <c r="H564" s="201"/>
      <c r="I564" s="201"/>
      <c r="J564" s="201"/>
      <c r="K564" s="201"/>
      <c r="L564" s="201"/>
      <c r="M564" s="201"/>
    </row>
    <row r="565" ht="12.75" customHeight="1">
      <c r="C565" s="201"/>
      <c r="D565" s="201"/>
      <c r="E565" s="201"/>
      <c r="F565" s="201"/>
      <c r="G565" s="201"/>
      <c r="H565" s="201"/>
      <c r="I565" s="201"/>
      <c r="J565" s="201"/>
      <c r="K565" s="201"/>
      <c r="L565" s="201"/>
      <c r="M565" s="201"/>
    </row>
    <row r="566" ht="12.75" customHeight="1">
      <c r="C566" s="201"/>
      <c r="D566" s="201"/>
      <c r="E566" s="201"/>
      <c r="F566" s="201"/>
      <c r="G566" s="201"/>
      <c r="H566" s="201"/>
      <c r="I566" s="201"/>
      <c r="J566" s="201"/>
      <c r="K566" s="201"/>
      <c r="L566" s="201"/>
      <c r="M566" s="201"/>
    </row>
    <row r="567" ht="12.75" customHeight="1">
      <c r="C567" s="201"/>
      <c r="D567" s="201"/>
      <c r="E567" s="201"/>
      <c r="F567" s="201"/>
      <c r="G567" s="201"/>
      <c r="H567" s="201"/>
      <c r="I567" s="201"/>
      <c r="J567" s="201"/>
      <c r="K567" s="201"/>
      <c r="L567" s="201"/>
      <c r="M567" s="201"/>
    </row>
    <row r="568" ht="12.75" customHeight="1">
      <c r="C568" s="201"/>
      <c r="D568" s="201"/>
      <c r="E568" s="201"/>
      <c r="F568" s="201"/>
      <c r="G568" s="201"/>
      <c r="H568" s="201"/>
      <c r="I568" s="201"/>
      <c r="J568" s="201"/>
      <c r="K568" s="201"/>
      <c r="L568" s="201"/>
      <c r="M568" s="201"/>
    </row>
    <row r="569" ht="12.75" customHeight="1">
      <c r="C569" s="201"/>
      <c r="D569" s="201"/>
      <c r="E569" s="201"/>
      <c r="F569" s="201"/>
      <c r="G569" s="201"/>
      <c r="H569" s="201"/>
      <c r="I569" s="201"/>
      <c r="J569" s="201"/>
      <c r="K569" s="201"/>
      <c r="L569" s="201"/>
      <c r="M569" s="201"/>
    </row>
    <row r="570" ht="12.75" customHeight="1">
      <c r="C570" s="201"/>
      <c r="D570" s="201"/>
      <c r="E570" s="201"/>
      <c r="F570" s="201"/>
      <c r="G570" s="201"/>
      <c r="H570" s="201"/>
      <c r="I570" s="201"/>
      <c r="J570" s="201"/>
      <c r="K570" s="201"/>
      <c r="L570" s="201"/>
      <c r="M570" s="201"/>
    </row>
    <row r="571" ht="12.75" customHeight="1">
      <c r="C571" s="201"/>
      <c r="D571" s="201"/>
      <c r="E571" s="201"/>
      <c r="F571" s="201"/>
      <c r="G571" s="201"/>
      <c r="H571" s="201"/>
      <c r="I571" s="201"/>
      <c r="J571" s="201"/>
      <c r="K571" s="201"/>
      <c r="L571" s="201"/>
      <c r="M571" s="201"/>
    </row>
    <row r="572" ht="12.75" customHeight="1">
      <c r="C572" s="201"/>
      <c r="D572" s="201"/>
      <c r="E572" s="201"/>
      <c r="F572" s="201"/>
      <c r="G572" s="201"/>
      <c r="H572" s="201"/>
      <c r="I572" s="201"/>
      <c r="J572" s="201"/>
      <c r="K572" s="201"/>
      <c r="L572" s="201"/>
      <c r="M572" s="201"/>
    </row>
    <row r="573" ht="12.75" customHeight="1">
      <c r="C573" s="201"/>
      <c r="D573" s="201"/>
      <c r="E573" s="201"/>
      <c r="F573" s="201"/>
      <c r="G573" s="201"/>
      <c r="H573" s="201"/>
      <c r="I573" s="201"/>
      <c r="J573" s="201"/>
      <c r="K573" s="201"/>
      <c r="L573" s="201"/>
      <c r="M573" s="201"/>
    </row>
    <row r="574" ht="12.75" customHeight="1">
      <c r="C574" s="201"/>
      <c r="D574" s="201"/>
      <c r="E574" s="201"/>
      <c r="F574" s="201"/>
      <c r="G574" s="201"/>
      <c r="H574" s="201"/>
      <c r="I574" s="201"/>
      <c r="J574" s="201"/>
      <c r="K574" s="201"/>
      <c r="L574" s="201"/>
      <c r="M574" s="201"/>
    </row>
    <row r="575" ht="12.75" customHeight="1">
      <c r="C575" s="201"/>
      <c r="D575" s="201"/>
      <c r="E575" s="201"/>
      <c r="F575" s="201"/>
      <c r="G575" s="201"/>
      <c r="H575" s="201"/>
      <c r="I575" s="201"/>
      <c r="J575" s="201"/>
      <c r="K575" s="201"/>
      <c r="L575" s="201"/>
      <c r="M575" s="201"/>
    </row>
    <row r="576" ht="12.75" customHeight="1">
      <c r="C576" s="201"/>
      <c r="D576" s="201"/>
      <c r="E576" s="201"/>
      <c r="F576" s="201"/>
      <c r="G576" s="201"/>
      <c r="H576" s="201"/>
      <c r="I576" s="201"/>
      <c r="J576" s="201"/>
      <c r="K576" s="201"/>
      <c r="L576" s="201"/>
      <c r="M576" s="201"/>
    </row>
    <row r="577" ht="12.75" customHeight="1">
      <c r="C577" s="201"/>
      <c r="D577" s="201"/>
      <c r="E577" s="201"/>
      <c r="F577" s="201"/>
      <c r="G577" s="201"/>
      <c r="H577" s="201"/>
      <c r="I577" s="201"/>
      <c r="J577" s="201"/>
      <c r="K577" s="201"/>
      <c r="L577" s="201"/>
      <c r="M577" s="201"/>
    </row>
    <row r="578" ht="12.75" customHeight="1">
      <c r="C578" s="201"/>
      <c r="D578" s="201"/>
      <c r="E578" s="201"/>
      <c r="F578" s="201"/>
      <c r="G578" s="201"/>
      <c r="H578" s="201"/>
      <c r="I578" s="201"/>
      <c r="J578" s="201"/>
      <c r="K578" s="201"/>
      <c r="L578" s="201"/>
      <c r="M578" s="201"/>
    </row>
    <row r="579" ht="12.75" customHeight="1">
      <c r="C579" s="201"/>
      <c r="D579" s="201"/>
      <c r="E579" s="201"/>
      <c r="F579" s="201"/>
      <c r="G579" s="201"/>
      <c r="H579" s="201"/>
      <c r="I579" s="201"/>
      <c r="J579" s="201"/>
      <c r="K579" s="201"/>
      <c r="L579" s="201"/>
      <c r="M579" s="201"/>
    </row>
    <row r="580" ht="12.75" customHeight="1">
      <c r="C580" s="201"/>
      <c r="D580" s="201"/>
      <c r="E580" s="201"/>
      <c r="F580" s="201"/>
      <c r="G580" s="201"/>
      <c r="H580" s="201"/>
      <c r="I580" s="201"/>
      <c r="J580" s="201"/>
      <c r="K580" s="201"/>
      <c r="L580" s="201"/>
      <c r="M580" s="201"/>
    </row>
    <row r="581" ht="12.75" customHeight="1">
      <c r="C581" s="201"/>
      <c r="D581" s="201"/>
      <c r="E581" s="201"/>
      <c r="F581" s="201"/>
      <c r="G581" s="201"/>
      <c r="H581" s="201"/>
      <c r="I581" s="201"/>
      <c r="J581" s="201"/>
      <c r="K581" s="201"/>
      <c r="L581" s="201"/>
      <c r="M581" s="201"/>
    </row>
    <row r="582" ht="12.75" customHeight="1">
      <c r="C582" s="201"/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</row>
    <row r="583" ht="12.75" customHeight="1">
      <c r="C583" s="201"/>
      <c r="D583" s="201"/>
      <c r="E583" s="201"/>
      <c r="F583" s="201"/>
      <c r="G583" s="201"/>
      <c r="H583" s="201"/>
      <c r="I583" s="201"/>
      <c r="J583" s="201"/>
      <c r="K583" s="201"/>
      <c r="L583" s="201"/>
      <c r="M583" s="201"/>
    </row>
    <row r="584" ht="12.75" customHeight="1">
      <c r="C584" s="201"/>
      <c r="D584" s="201"/>
      <c r="E584" s="201"/>
      <c r="F584" s="201"/>
      <c r="G584" s="201"/>
      <c r="H584" s="201"/>
      <c r="I584" s="201"/>
      <c r="J584" s="201"/>
      <c r="K584" s="201"/>
      <c r="L584" s="201"/>
      <c r="M584" s="201"/>
    </row>
    <row r="585" ht="12.75" customHeight="1">
      <c r="C585" s="201"/>
      <c r="D585" s="201"/>
      <c r="E585" s="201"/>
      <c r="F585" s="201"/>
      <c r="G585" s="201"/>
      <c r="H585" s="201"/>
      <c r="I585" s="201"/>
      <c r="J585" s="201"/>
      <c r="K585" s="201"/>
      <c r="L585" s="201"/>
      <c r="M585" s="201"/>
    </row>
    <row r="586" ht="12.75" customHeight="1">
      <c r="C586" s="201"/>
      <c r="D586" s="201"/>
      <c r="E586" s="201"/>
      <c r="F586" s="201"/>
      <c r="G586" s="201"/>
      <c r="H586" s="201"/>
      <c r="I586" s="201"/>
      <c r="J586" s="201"/>
      <c r="K586" s="201"/>
      <c r="L586" s="201"/>
      <c r="M586" s="201"/>
    </row>
    <row r="587" ht="12.75" customHeight="1">
      <c r="C587" s="201"/>
      <c r="D587" s="201"/>
      <c r="E587" s="201"/>
      <c r="F587" s="201"/>
      <c r="G587" s="201"/>
      <c r="H587" s="201"/>
      <c r="I587" s="201"/>
      <c r="J587" s="201"/>
      <c r="K587" s="201"/>
      <c r="L587" s="201"/>
      <c r="M587" s="201"/>
    </row>
    <row r="588" ht="12.75" customHeight="1">
      <c r="C588" s="201"/>
      <c r="D588" s="201"/>
      <c r="E588" s="201"/>
      <c r="F588" s="201"/>
      <c r="G588" s="201"/>
      <c r="H588" s="201"/>
      <c r="I588" s="201"/>
      <c r="J588" s="201"/>
      <c r="K588" s="201"/>
      <c r="L588" s="201"/>
      <c r="M588" s="201"/>
    </row>
    <row r="589" ht="12.75" customHeight="1">
      <c r="C589" s="201"/>
      <c r="D589" s="201"/>
      <c r="E589" s="201"/>
      <c r="F589" s="201"/>
      <c r="G589" s="201"/>
      <c r="H589" s="201"/>
      <c r="I589" s="201"/>
      <c r="J589" s="201"/>
      <c r="K589" s="201"/>
      <c r="L589" s="201"/>
      <c r="M589" s="201"/>
    </row>
    <row r="590" ht="12.75" customHeight="1">
      <c r="C590" s="201"/>
      <c r="D590" s="201"/>
      <c r="E590" s="201"/>
      <c r="F590" s="201"/>
      <c r="G590" s="201"/>
      <c r="H590" s="201"/>
      <c r="I590" s="201"/>
      <c r="J590" s="201"/>
      <c r="K590" s="201"/>
      <c r="L590" s="201"/>
      <c r="M590" s="201"/>
    </row>
    <row r="591" ht="12.75" customHeight="1">
      <c r="C591" s="201"/>
      <c r="D591" s="201"/>
      <c r="E591" s="201"/>
      <c r="F591" s="201"/>
      <c r="G591" s="201"/>
      <c r="H591" s="201"/>
      <c r="I591" s="201"/>
      <c r="J591" s="201"/>
      <c r="K591" s="201"/>
      <c r="L591" s="201"/>
      <c r="M591" s="201"/>
    </row>
    <row r="592" ht="12.75" customHeight="1">
      <c r="C592" s="201"/>
      <c r="D592" s="201"/>
      <c r="E592" s="201"/>
      <c r="F592" s="201"/>
      <c r="G592" s="201"/>
      <c r="H592" s="201"/>
      <c r="I592" s="201"/>
      <c r="J592" s="201"/>
      <c r="K592" s="201"/>
      <c r="L592" s="201"/>
      <c r="M592" s="201"/>
    </row>
    <row r="593" ht="12.75" customHeight="1">
      <c r="C593" s="201"/>
      <c r="D593" s="201"/>
      <c r="E593" s="201"/>
      <c r="F593" s="201"/>
      <c r="G593" s="201"/>
      <c r="H593" s="201"/>
      <c r="I593" s="201"/>
      <c r="J593" s="201"/>
      <c r="K593" s="201"/>
      <c r="L593" s="201"/>
      <c r="M593" s="201"/>
    </row>
    <row r="594" ht="12.75" customHeight="1">
      <c r="C594" s="201"/>
      <c r="D594" s="201"/>
      <c r="E594" s="201"/>
      <c r="F594" s="201"/>
      <c r="G594" s="201"/>
      <c r="H594" s="201"/>
      <c r="I594" s="201"/>
      <c r="J594" s="201"/>
      <c r="K594" s="201"/>
      <c r="L594" s="201"/>
      <c r="M594" s="201"/>
    </row>
    <row r="595" ht="12.75" customHeight="1">
      <c r="C595" s="201"/>
      <c r="D595" s="201"/>
      <c r="E595" s="201"/>
      <c r="F595" s="201"/>
      <c r="G595" s="201"/>
      <c r="H595" s="201"/>
      <c r="I595" s="201"/>
      <c r="J595" s="201"/>
      <c r="K595" s="201"/>
      <c r="L595" s="201"/>
      <c r="M595" s="201"/>
    </row>
    <row r="596" ht="12.75" customHeight="1">
      <c r="C596" s="201"/>
      <c r="D596" s="201"/>
      <c r="E596" s="201"/>
      <c r="F596" s="201"/>
      <c r="G596" s="201"/>
      <c r="H596" s="201"/>
      <c r="I596" s="201"/>
      <c r="J596" s="201"/>
      <c r="K596" s="201"/>
      <c r="L596" s="201"/>
      <c r="M596" s="201"/>
    </row>
    <row r="597" ht="12.75" customHeight="1">
      <c r="C597" s="201"/>
      <c r="D597" s="201"/>
      <c r="E597" s="201"/>
      <c r="F597" s="201"/>
      <c r="G597" s="201"/>
      <c r="H597" s="201"/>
      <c r="I597" s="201"/>
      <c r="J597" s="201"/>
      <c r="K597" s="201"/>
      <c r="L597" s="201"/>
      <c r="M597" s="201"/>
    </row>
    <row r="598" ht="12.75" customHeight="1">
      <c r="C598" s="201"/>
      <c r="D598" s="201"/>
      <c r="E598" s="201"/>
      <c r="F598" s="201"/>
      <c r="G598" s="201"/>
      <c r="H598" s="201"/>
      <c r="I598" s="201"/>
      <c r="J598" s="201"/>
      <c r="K598" s="201"/>
      <c r="L598" s="201"/>
      <c r="M598" s="201"/>
    </row>
    <row r="599" ht="12.75" customHeight="1">
      <c r="C599" s="201"/>
      <c r="D599" s="201"/>
      <c r="E599" s="201"/>
      <c r="F599" s="201"/>
      <c r="G599" s="201"/>
      <c r="H599" s="201"/>
      <c r="I599" s="201"/>
      <c r="J599" s="201"/>
      <c r="K599" s="201"/>
      <c r="L599" s="201"/>
      <c r="M599" s="201"/>
    </row>
    <row r="600" ht="12.75" customHeight="1">
      <c r="C600" s="201"/>
      <c r="D600" s="201"/>
      <c r="E600" s="201"/>
      <c r="F600" s="201"/>
      <c r="G600" s="201"/>
      <c r="H600" s="201"/>
      <c r="I600" s="201"/>
      <c r="J600" s="201"/>
      <c r="K600" s="201"/>
      <c r="L600" s="201"/>
      <c r="M600" s="201"/>
    </row>
    <row r="601" ht="12.75" customHeight="1">
      <c r="C601" s="201"/>
      <c r="D601" s="201"/>
      <c r="E601" s="201"/>
      <c r="F601" s="201"/>
      <c r="G601" s="201"/>
      <c r="H601" s="201"/>
      <c r="I601" s="201"/>
      <c r="J601" s="201"/>
      <c r="K601" s="201"/>
      <c r="L601" s="201"/>
      <c r="M601" s="201"/>
    </row>
    <row r="602" ht="12.75" customHeight="1">
      <c r="C602" s="201"/>
      <c r="D602" s="201"/>
      <c r="E602" s="201"/>
      <c r="F602" s="201"/>
      <c r="G602" s="201"/>
      <c r="H602" s="201"/>
      <c r="I602" s="201"/>
      <c r="J602" s="201"/>
      <c r="K602" s="201"/>
      <c r="L602" s="201"/>
      <c r="M602" s="201"/>
    </row>
    <row r="603" ht="12.75" customHeight="1">
      <c r="C603" s="201"/>
      <c r="D603" s="201"/>
      <c r="E603" s="201"/>
      <c r="F603" s="201"/>
      <c r="G603" s="201"/>
      <c r="H603" s="201"/>
      <c r="I603" s="201"/>
      <c r="J603" s="201"/>
      <c r="K603" s="201"/>
      <c r="L603" s="201"/>
      <c r="M603" s="201"/>
    </row>
    <row r="604" ht="12.75" customHeight="1">
      <c r="C604" s="201"/>
      <c r="D604" s="201"/>
      <c r="E604" s="201"/>
      <c r="F604" s="201"/>
      <c r="G604" s="201"/>
      <c r="H604" s="201"/>
      <c r="I604" s="201"/>
      <c r="J604" s="201"/>
      <c r="K604" s="201"/>
      <c r="L604" s="201"/>
      <c r="M604" s="201"/>
    </row>
    <row r="605" ht="12.75" customHeight="1">
      <c r="C605" s="201"/>
      <c r="D605" s="201"/>
      <c r="E605" s="201"/>
      <c r="F605" s="201"/>
      <c r="G605" s="201"/>
      <c r="H605" s="201"/>
      <c r="I605" s="201"/>
      <c r="J605" s="201"/>
      <c r="K605" s="201"/>
      <c r="L605" s="201"/>
      <c r="M605" s="201"/>
    </row>
    <row r="606" ht="12.75" customHeight="1">
      <c r="C606" s="201"/>
      <c r="D606" s="201"/>
      <c r="E606" s="201"/>
      <c r="F606" s="201"/>
      <c r="G606" s="201"/>
      <c r="H606" s="201"/>
      <c r="I606" s="201"/>
      <c r="J606" s="201"/>
      <c r="K606" s="201"/>
      <c r="L606" s="201"/>
      <c r="M606" s="201"/>
    </row>
    <row r="607" ht="12.75" customHeight="1">
      <c r="C607" s="201"/>
      <c r="D607" s="201"/>
      <c r="E607" s="201"/>
      <c r="F607" s="201"/>
      <c r="G607" s="201"/>
      <c r="H607" s="201"/>
      <c r="I607" s="201"/>
      <c r="J607" s="201"/>
      <c r="K607" s="201"/>
      <c r="L607" s="201"/>
      <c r="M607" s="201"/>
    </row>
    <row r="608" ht="12.75" customHeight="1">
      <c r="C608" s="201"/>
      <c r="D608" s="201"/>
      <c r="E608" s="201"/>
      <c r="F608" s="201"/>
      <c r="G608" s="201"/>
      <c r="H608" s="201"/>
      <c r="I608" s="201"/>
      <c r="J608" s="201"/>
      <c r="K608" s="201"/>
      <c r="L608" s="201"/>
      <c r="M608" s="201"/>
    </row>
    <row r="609" ht="12.75" customHeight="1">
      <c r="C609" s="201"/>
      <c r="D609" s="201"/>
      <c r="E609" s="201"/>
      <c r="F609" s="201"/>
      <c r="G609" s="201"/>
      <c r="H609" s="201"/>
      <c r="I609" s="201"/>
      <c r="J609" s="201"/>
      <c r="K609" s="201"/>
      <c r="L609" s="201"/>
      <c r="M609" s="201"/>
    </row>
    <row r="610" ht="12.75" customHeight="1">
      <c r="C610" s="201"/>
      <c r="D610" s="201"/>
      <c r="E610" s="201"/>
      <c r="F610" s="201"/>
      <c r="G610" s="201"/>
      <c r="H610" s="201"/>
      <c r="I610" s="201"/>
      <c r="J610" s="201"/>
      <c r="K610" s="201"/>
      <c r="L610" s="201"/>
      <c r="M610" s="201"/>
    </row>
    <row r="611" ht="12.75" customHeight="1">
      <c r="C611" s="201"/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</row>
    <row r="612" ht="12.75" customHeight="1">
      <c r="C612" s="201"/>
      <c r="D612" s="201"/>
      <c r="E612" s="201"/>
      <c r="F612" s="201"/>
      <c r="G612" s="201"/>
      <c r="H612" s="201"/>
      <c r="I612" s="201"/>
      <c r="J612" s="201"/>
      <c r="K612" s="201"/>
      <c r="L612" s="201"/>
      <c r="M612" s="201"/>
    </row>
    <row r="613" ht="12.75" customHeight="1">
      <c r="C613" s="201"/>
      <c r="D613" s="201"/>
      <c r="E613" s="201"/>
      <c r="F613" s="201"/>
      <c r="G613" s="201"/>
      <c r="H613" s="201"/>
      <c r="I613" s="201"/>
      <c r="J613" s="201"/>
      <c r="K613" s="201"/>
      <c r="L613" s="201"/>
      <c r="M613" s="201"/>
    </row>
    <row r="614" ht="12.75" customHeight="1">
      <c r="C614" s="201"/>
      <c r="D614" s="201"/>
      <c r="E614" s="201"/>
      <c r="F614" s="201"/>
      <c r="G614" s="201"/>
      <c r="H614" s="201"/>
      <c r="I614" s="201"/>
      <c r="J614" s="201"/>
      <c r="K614" s="201"/>
      <c r="L614" s="201"/>
      <c r="M614" s="201"/>
    </row>
    <row r="615" ht="12.75" customHeight="1">
      <c r="C615" s="201"/>
      <c r="D615" s="201"/>
      <c r="E615" s="201"/>
      <c r="F615" s="201"/>
      <c r="G615" s="201"/>
      <c r="H615" s="201"/>
      <c r="I615" s="201"/>
      <c r="J615" s="201"/>
      <c r="K615" s="201"/>
      <c r="L615" s="201"/>
      <c r="M615" s="201"/>
    </row>
    <row r="616" ht="12.75" customHeight="1">
      <c r="C616" s="201"/>
      <c r="D616" s="201"/>
      <c r="E616" s="201"/>
      <c r="F616" s="201"/>
      <c r="G616" s="201"/>
      <c r="H616" s="201"/>
      <c r="I616" s="201"/>
      <c r="J616" s="201"/>
      <c r="K616" s="201"/>
      <c r="L616" s="201"/>
      <c r="M616" s="201"/>
    </row>
    <row r="617" ht="12.75" customHeight="1">
      <c r="C617" s="201"/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</row>
    <row r="618" ht="12.75" customHeight="1">
      <c r="C618" s="201"/>
      <c r="D618" s="201"/>
      <c r="E618" s="201"/>
      <c r="F618" s="201"/>
      <c r="G618" s="201"/>
      <c r="H618" s="201"/>
      <c r="I618" s="201"/>
      <c r="J618" s="201"/>
      <c r="K618" s="201"/>
      <c r="L618" s="201"/>
      <c r="M618" s="201"/>
    </row>
    <row r="619" ht="12.75" customHeight="1">
      <c r="C619" s="201"/>
      <c r="D619" s="201"/>
      <c r="E619" s="201"/>
      <c r="F619" s="201"/>
      <c r="G619" s="201"/>
      <c r="H619" s="201"/>
      <c r="I619" s="201"/>
      <c r="J619" s="201"/>
      <c r="K619" s="201"/>
      <c r="L619" s="201"/>
      <c r="M619" s="201"/>
    </row>
    <row r="620" ht="12.75" customHeight="1">
      <c r="C620" s="201"/>
      <c r="D620" s="201"/>
      <c r="E620" s="201"/>
      <c r="F620" s="201"/>
      <c r="G620" s="201"/>
      <c r="H620" s="201"/>
      <c r="I620" s="201"/>
      <c r="J620" s="201"/>
      <c r="K620" s="201"/>
      <c r="L620" s="201"/>
      <c r="M620" s="201"/>
    </row>
    <row r="621" ht="12.75" customHeight="1">
      <c r="C621" s="201"/>
      <c r="D621" s="201"/>
      <c r="E621" s="201"/>
      <c r="F621" s="201"/>
      <c r="G621" s="201"/>
      <c r="H621" s="201"/>
      <c r="I621" s="201"/>
      <c r="J621" s="201"/>
      <c r="K621" s="201"/>
      <c r="L621" s="201"/>
      <c r="M621" s="201"/>
    </row>
    <row r="622" ht="12.75" customHeight="1">
      <c r="C622" s="201"/>
      <c r="D622" s="201"/>
      <c r="E622" s="201"/>
      <c r="F622" s="201"/>
      <c r="G622" s="201"/>
      <c r="H622" s="201"/>
      <c r="I622" s="201"/>
      <c r="J622" s="201"/>
      <c r="K622" s="201"/>
      <c r="L622" s="201"/>
      <c r="M622" s="201"/>
    </row>
    <row r="623" ht="12.75" customHeight="1">
      <c r="C623" s="201"/>
      <c r="D623" s="201"/>
      <c r="E623" s="201"/>
      <c r="F623" s="201"/>
      <c r="G623" s="201"/>
      <c r="H623" s="201"/>
      <c r="I623" s="201"/>
      <c r="J623" s="201"/>
      <c r="K623" s="201"/>
      <c r="L623" s="201"/>
      <c r="M623" s="201"/>
    </row>
    <row r="624" ht="12.75" customHeight="1">
      <c r="C624" s="201"/>
      <c r="D624" s="201"/>
      <c r="E624" s="201"/>
      <c r="F624" s="201"/>
      <c r="G624" s="201"/>
      <c r="H624" s="201"/>
      <c r="I624" s="201"/>
      <c r="J624" s="201"/>
      <c r="K624" s="201"/>
      <c r="L624" s="201"/>
      <c r="M624" s="201"/>
    </row>
    <row r="625" ht="12.75" customHeight="1">
      <c r="C625" s="201"/>
      <c r="D625" s="201"/>
      <c r="E625" s="201"/>
      <c r="F625" s="201"/>
      <c r="G625" s="201"/>
      <c r="H625" s="201"/>
      <c r="I625" s="201"/>
      <c r="J625" s="201"/>
      <c r="K625" s="201"/>
      <c r="L625" s="201"/>
      <c r="M625" s="201"/>
    </row>
    <row r="626" ht="12.75" customHeight="1">
      <c r="C626" s="201"/>
      <c r="D626" s="201"/>
      <c r="E626" s="201"/>
      <c r="F626" s="201"/>
      <c r="G626" s="201"/>
      <c r="H626" s="201"/>
      <c r="I626" s="201"/>
      <c r="J626" s="201"/>
      <c r="K626" s="201"/>
      <c r="L626" s="201"/>
      <c r="M626" s="201"/>
    </row>
    <row r="627" ht="12.75" customHeight="1">
      <c r="C627" s="201"/>
      <c r="D627" s="201"/>
      <c r="E627" s="201"/>
      <c r="F627" s="201"/>
      <c r="G627" s="201"/>
      <c r="H627" s="201"/>
      <c r="I627" s="201"/>
      <c r="J627" s="201"/>
      <c r="K627" s="201"/>
      <c r="L627" s="201"/>
      <c r="M627" s="201"/>
    </row>
    <row r="628" ht="12.75" customHeight="1">
      <c r="C628" s="201"/>
      <c r="D628" s="201"/>
      <c r="E628" s="201"/>
      <c r="F628" s="201"/>
      <c r="G628" s="201"/>
      <c r="H628" s="201"/>
      <c r="I628" s="201"/>
      <c r="J628" s="201"/>
      <c r="K628" s="201"/>
      <c r="L628" s="201"/>
      <c r="M628" s="201"/>
    </row>
    <row r="629" ht="12.75" customHeight="1">
      <c r="C629" s="201"/>
      <c r="D629" s="201"/>
      <c r="E629" s="201"/>
      <c r="F629" s="201"/>
      <c r="G629" s="201"/>
      <c r="H629" s="201"/>
      <c r="I629" s="201"/>
      <c r="J629" s="201"/>
      <c r="K629" s="201"/>
      <c r="L629" s="201"/>
      <c r="M629" s="201"/>
    </row>
    <row r="630" ht="12.75" customHeight="1">
      <c r="C630" s="201"/>
      <c r="D630" s="201"/>
      <c r="E630" s="201"/>
      <c r="F630" s="201"/>
      <c r="G630" s="201"/>
      <c r="H630" s="201"/>
      <c r="I630" s="201"/>
      <c r="J630" s="201"/>
      <c r="K630" s="201"/>
      <c r="L630" s="201"/>
      <c r="M630" s="201"/>
    </row>
    <row r="631" ht="12.75" customHeight="1">
      <c r="C631" s="201"/>
      <c r="D631" s="201"/>
      <c r="E631" s="201"/>
      <c r="F631" s="201"/>
      <c r="G631" s="201"/>
      <c r="H631" s="201"/>
      <c r="I631" s="201"/>
      <c r="J631" s="201"/>
      <c r="K631" s="201"/>
      <c r="L631" s="201"/>
      <c r="M631" s="201"/>
    </row>
    <row r="632" ht="12.75" customHeight="1">
      <c r="C632" s="201"/>
      <c r="D632" s="201"/>
      <c r="E632" s="201"/>
      <c r="F632" s="201"/>
      <c r="G632" s="201"/>
      <c r="H632" s="201"/>
      <c r="I632" s="201"/>
      <c r="J632" s="201"/>
      <c r="K632" s="201"/>
      <c r="L632" s="201"/>
      <c r="M632" s="201"/>
    </row>
    <row r="633" ht="12.75" customHeight="1">
      <c r="C633" s="201"/>
      <c r="D633" s="201"/>
      <c r="E633" s="201"/>
      <c r="F633" s="201"/>
      <c r="G633" s="201"/>
      <c r="H633" s="201"/>
      <c r="I633" s="201"/>
      <c r="J633" s="201"/>
      <c r="K633" s="201"/>
      <c r="L633" s="201"/>
      <c r="M633" s="201"/>
    </row>
    <row r="634" ht="12.75" customHeight="1">
      <c r="C634" s="201"/>
      <c r="D634" s="201"/>
      <c r="E634" s="201"/>
      <c r="F634" s="201"/>
      <c r="G634" s="201"/>
      <c r="H634" s="201"/>
      <c r="I634" s="201"/>
      <c r="J634" s="201"/>
      <c r="K634" s="201"/>
      <c r="L634" s="201"/>
      <c r="M634" s="201"/>
    </row>
    <row r="635" ht="12.75" customHeight="1">
      <c r="C635" s="201"/>
      <c r="D635" s="201"/>
      <c r="E635" s="201"/>
      <c r="F635" s="201"/>
      <c r="G635" s="201"/>
      <c r="H635" s="201"/>
      <c r="I635" s="201"/>
      <c r="J635" s="201"/>
      <c r="K635" s="201"/>
      <c r="L635" s="201"/>
      <c r="M635" s="201"/>
    </row>
    <row r="636" ht="12.75" customHeight="1">
      <c r="C636" s="201"/>
      <c r="D636" s="201"/>
      <c r="E636" s="201"/>
      <c r="F636" s="201"/>
      <c r="G636" s="201"/>
      <c r="H636" s="201"/>
      <c r="I636" s="201"/>
      <c r="J636" s="201"/>
      <c r="K636" s="201"/>
      <c r="L636" s="201"/>
      <c r="M636" s="201"/>
    </row>
    <row r="637" ht="12.75" customHeight="1">
      <c r="C637" s="201"/>
      <c r="D637" s="201"/>
      <c r="E637" s="201"/>
      <c r="F637" s="201"/>
      <c r="G637" s="201"/>
      <c r="H637" s="201"/>
      <c r="I637" s="201"/>
      <c r="J637" s="201"/>
      <c r="K637" s="201"/>
      <c r="L637" s="201"/>
      <c r="M637" s="201"/>
    </row>
    <row r="638" ht="12.75" customHeight="1">
      <c r="C638" s="201"/>
      <c r="D638" s="201"/>
      <c r="E638" s="201"/>
      <c r="F638" s="201"/>
      <c r="G638" s="201"/>
      <c r="H638" s="201"/>
      <c r="I638" s="201"/>
      <c r="J638" s="201"/>
      <c r="K638" s="201"/>
      <c r="L638" s="201"/>
      <c r="M638" s="201"/>
    </row>
    <row r="639" ht="12.75" customHeight="1">
      <c r="C639" s="201"/>
      <c r="D639" s="201"/>
      <c r="E639" s="201"/>
      <c r="F639" s="201"/>
      <c r="G639" s="201"/>
      <c r="H639" s="201"/>
      <c r="I639" s="201"/>
      <c r="J639" s="201"/>
      <c r="K639" s="201"/>
      <c r="L639" s="201"/>
      <c r="M639" s="201"/>
    </row>
    <row r="640" ht="12.75" customHeight="1">
      <c r="C640" s="201"/>
      <c r="D640" s="201"/>
      <c r="E640" s="201"/>
      <c r="F640" s="201"/>
      <c r="G640" s="201"/>
      <c r="H640" s="201"/>
      <c r="I640" s="201"/>
      <c r="J640" s="201"/>
      <c r="K640" s="201"/>
      <c r="L640" s="201"/>
      <c r="M640" s="201"/>
    </row>
    <row r="641" ht="12.75" customHeight="1">
      <c r="C641" s="201"/>
      <c r="D641" s="201"/>
      <c r="E641" s="201"/>
      <c r="F641" s="201"/>
      <c r="G641" s="201"/>
      <c r="H641" s="201"/>
      <c r="I641" s="201"/>
      <c r="J641" s="201"/>
      <c r="K641" s="201"/>
      <c r="L641" s="201"/>
      <c r="M641" s="201"/>
    </row>
    <row r="642" ht="12.75" customHeight="1">
      <c r="C642" s="201"/>
      <c r="D642" s="201"/>
      <c r="E642" s="201"/>
      <c r="F642" s="201"/>
      <c r="G642" s="201"/>
      <c r="H642" s="201"/>
      <c r="I642" s="201"/>
      <c r="J642" s="201"/>
      <c r="K642" s="201"/>
      <c r="L642" s="201"/>
      <c r="M642" s="201"/>
    </row>
    <row r="643" ht="12.75" customHeight="1">
      <c r="C643" s="201"/>
      <c r="D643" s="201"/>
      <c r="E643" s="201"/>
      <c r="F643" s="201"/>
      <c r="G643" s="201"/>
      <c r="H643" s="201"/>
      <c r="I643" s="201"/>
      <c r="J643" s="201"/>
      <c r="K643" s="201"/>
      <c r="L643" s="201"/>
      <c r="M643" s="201"/>
    </row>
    <row r="644" ht="12.75" customHeight="1">
      <c r="C644" s="201"/>
      <c r="D644" s="201"/>
      <c r="E644" s="201"/>
      <c r="F644" s="201"/>
      <c r="G644" s="201"/>
      <c r="H644" s="201"/>
      <c r="I644" s="201"/>
      <c r="J644" s="201"/>
      <c r="K644" s="201"/>
      <c r="L644" s="201"/>
      <c r="M644" s="201"/>
    </row>
    <row r="645" ht="12.75" customHeight="1">
      <c r="C645" s="201"/>
      <c r="D645" s="201"/>
      <c r="E645" s="201"/>
      <c r="F645" s="201"/>
      <c r="G645" s="201"/>
      <c r="H645" s="201"/>
      <c r="I645" s="201"/>
      <c r="J645" s="201"/>
      <c r="K645" s="201"/>
      <c r="L645" s="201"/>
      <c r="M645" s="201"/>
    </row>
    <row r="646" ht="12.75" customHeight="1">
      <c r="C646" s="201"/>
      <c r="D646" s="201"/>
      <c r="E646" s="201"/>
      <c r="F646" s="201"/>
      <c r="G646" s="201"/>
      <c r="H646" s="201"/>
      <c r="I646" s="201"/>
      <c r="J646" s="201"/>
      <c r="K646" s="201"/>
      <c r="L646" s="201"/>
      <c r="M646" s="201"/>
    </row>
    <row r="647" ht="12.75" customHeight="1">
      <c r="C647" s="201"/>
      <c r="D647" s="201"/>
      <c r="E647" s="201"/>
      <c r="F647" s="201"/>
      <c r="G647" s="201"/>
      <c r="H647" s="201"/>
      <c r="I647" s="201"/>
      <c r="J647" s="201"/>
      <c r="K647" s="201"/>
      <c r="L647" s="201"/>
      <c r="M647" s="201"/>
    </row>
    <row r="648" ht="12.75" customHeight="1">
      <c r="C648" s="201"/>
      <c r="D648" s="201"/>
      <c r="E648" s="201"/>
      <c r="F648" s="201"/>
      <c r="G648" s="201"/>
      <c r="H648" s="201"/>
      <c r="I648" s="201"/>
      <c r="J648" s="201"/>
      <c r="K648" s="201"/>
      <c r="L648" s="201"/>
      <c r="M648" s="201"/>
    </row>
    <row r="649" ht="12.75" customHeight="1">
      <c r="C649" s="201"/>
      <c r="D649" s="201"/>
      <c r="E649" s="201"/>
      <c r="F649" s="201"/>
      <c r="G649" s="201"/>
      <c r="H649" s="201"/>
      <c r="I649" s="201"/>
      <c r="J649" s="201"/>
      <c r="K649" s="201"/>
      <c r="L649" s="201"/>
      <c r="M649" s="201"/>
    </row>
    <row r="650" ht="12.75" customHeight="1">
      <c r="C650" s="201"/>
      <c r="D650" s="201"/>
      <c r="E650" s="201"/>
      <c r="F650" s="201"/>
      <c r="G650" s="201"/>
      <c r="H650" s="201"/>
      <c r="I650" s="201"/>
      <c r="J650" s="201"/>
      <c r="K650" s="201"/>
      <c r="L650" s="201"/>
      <c r="M650" s="201"/>
    </row>
    <row r="651" ht="12.75" customHeight="1">
      <c r="C651" s="201"/>
      <c r="D651" s="201"/>
      <c r="E651" s="201"/>
      <c r="F651" s="201"/>
      <c r="G651" s="201"/>
      <c r="H651" s="201"/>
      <c r="I651" s="201"/>
      <c r="J651" s="201"/>
      <c r="K651" s="201"/>
      <c r="L651" s="201"/>
      <c r="M651" s="201"/>
    </row>
    <row r="652" ht="12.75" customHeight="1">
      <c r="C652" s="201"/>
      <c r="D652" s="201"/>
      <c r="E652" s="201"/>
      <c r="F652" s="201"/>
      <c r="G652" s="201"/>
      <c r="H652" s="201"/>
      <c r="I652" s="201"/>
      <c r="J652" s="201"/>
      <c r="K652" s="201"/>
      <c r="L652" s="201"/>
      <c r="M652" s="201"/>
    </row>
    <row r="653" ht="12.75" customHeight="1">
      <c r="C653" s="201"/>
      <c r="D653" s="201"/>
      <c r="E653" s="201"/>
      <c r="F653" s="201"/>
      <c r="G653" s="201"/>
      <c r="H653" s="201"/>
      <c r="I653" s="201"/>
      <c r="J653" s="201"/>
      <c r="K653" s="201"/>
      <c r="L653" s="201"/>
      <c r="M653" s="201"/>
    </row>
    <row r="654" ht="12.75" customHeight="1">
      <c r="C654" s="201"/>
      <c r="D654" s="201"/>
      <c r="E654" s="201"/>
      <c r="F654" s="201"/>
      <c r="G654" s="201"/>
      <c r="H654" s="201"/>
      <c r="I654" s="201"/>
      <c r="J654" s="201"/>
      <c r="K654" s="201"/>
      <c r="L654" s="201"/>
      <c r="M654" s="201"/>
    </row>
    <row r="655" ht="12.75" customHeight="1">
      <c r="C655" s="201"/>
      <c r="D655" s="201"/>
      <c r="E655" s="201"/>
      <c r="F655" s="201"/>
      <c r="G655" s="201"/>
      <c r="H655" s="201"/>
      <c r="I655" s="201"/>
      <c r="J655" s="201"/>
      <c r="K655" s="201"/>
      <c r="L655" s="201"/>
      <c r="M655" s="201"/>
    </row>
    <row r="656" ht="12.75" customHeight="1">
      <c r="C656" s="201"/>
      <c r="D656" s="201"/>
      <c r="E656" s="201"/>
      <c r="F656" s="201"/>
      <c r="G656" s="201"/>
      <c r="H656" s="201"/>
      <c r="I656" s="201"/>
      <c r="J656" s="201"/>
      <c r="K656" s="201"/>
      <c r="L656" s="201"/>
      <c r="M656" s="201"/>
    </row>
    <row r="657" ht="12.75" customHeight="1">
      <c r="C657" s="201"/>
      <c r="D657" s="201"/>
      <c r="E657" s="201"/>
      <c r="F657" s="201"/>
      <c r="G657" s="201"/>
      <c r="H657" s="201"/>
      <c r="I657" s="201"/>
      <c r="J657" s="201"/>
      <c r="K657" s="201"/>
      <c r="L657" s="201"/>
      <c r="M657" s="201"/>
    </row>
    <row r="658" ht="12.75" customHeight="1">
      <c r="C658" s="201"/>
      <c r="D658" s="201"/>
      <c r="E658" s="201"/>
      <c r="F658" s="201"/>
      <c r="G658" s="201"/>
      <c r="H658" s="201"/>
      <c r="I658" s="201"/>
      <c r="J658" s="201"/>
      <c r="K658" s="201"/>
      <c r="L658" s="201"/>
      <c r="M658" s="201"/>
    </row>
    <row r="659" ht="12.75" customHeight="1">
      <c r="C659" s="201"/>
      <c r="D659" s="201"/>
      <c r="E659" s="201"/>
      <c r="F659" s="201"/>
      <c r="G659" s="201"/>
      <c r="H659" s="201"/>
      <c r="I659" s="201"/>
      <c r="J659" s="201"/>
      <c r="K659" s="201"/>
      <c r="L659" s="201"/>
      <c r="M659" s="201"/>
    </row>
    <row r="660" ht="12.75" customHeight="1">
      <c r="C660" s="201"/>
      <c r="D660" s="201"/>
      <c r="E660" s="201"/>
      <c r="F660" s="201"/>
      <c r="G660" s="201"/>
      <c r="H660" s="201"/>
      <c r="I660" s="201"/>
      <c r="J660" s="201"/>
      <c r="K660" s="201"/>
      <c r="L660" s="201"/>
      <c r="M660" s="201"/>
    </row>
    <row r="661" ht="12.75" customHeight="1">
      <c r="C661" s="201"/>
      <c r="D661" s="201"/>
      <c r="E661" s="201"/>
      <c r="F661" s="201"/>
      <c r="G661" s="201"/>
      <c r="H661" s="201"/>
      <c r="I661" s="201"/>
      <c r="J661" s="201"/>
      <c r="K661" s="201"/>
      <c r="L661" s="201"/>
      <c r="M661" s="201"/>
    </row>
    <row r="662" ht="12.75" customHeight="1">
      <c r="C662" s="201"/>
      <c r="D662" s="201"/>
      <c r="E662" s="201"/>
      <c r="F662" s="201"/>
      <c r="G662" s="201"/>
      <c r="H662" s="201"/>
      <c r="I662" s="201"/>
      <c r="J662" s="201"/>
      <c r="K662" s="201"/>
      <c r="L662" s="201"/>
      <c r="M662" s="201"/>
    </row>
    <row r="663" ht="12.75" customHeight="1">
      <c r="C663" s="201"/>
      <c r="D663" s="201"/>
      <c r="E663" s="201"/>
      <c r="F663" s="201"/>
      <c r="G663" s="201"/>
      <c r="H663" s="201"/>
      <c r="I663" s="201"/>
      <c r="J663" s="201"/>
      <c r="K663" s="201"/>
      <c r="L663" s="201"/>
      <c r="M663" s="201"/>
    </row>
    <row r="664" ht="12.75" customHeight="1">
      <c r="C664" s="201"/>
      <c r="D664" s="201"/>
      <c r="E664" s="201"/>
      <c r="F664" s="201"/>
      <c r="G664" s="201"/>
      <c r="H664" s="201"/>
      <c r="I664" s="201"/>
      <c r="J664" s="201"/>
      <c r="K664" s="201"/>
      <c r="L664" s="201"/>
      <c r="M664" s="201"/>
    </row>
    <row r="665" ht="12.75" customHeight="1">
      <c r="C665" s="201"/>
      <c r="D665" s="201"/>
      <c r="E665" s="201"/>
      <c r="F665" s="201"/>
      <c r="G665" s="201"/>
      <c r="H665" s="201"/>
      <c r="I665" s="201"/>
      <c r="J665" s="201"/>
      <c r="K665" s="201"/>
      <c r="L665" s="201"/>
      <c r="M665" s="201"/>
    </row>
    <row r="666" ht="12.75" customHeight="1">
      <c r="C666" s="201"/>
      <c r="D666" s="201"/>
      <c r="E666" s="201"/>
      <c r="F666" s="201"/>
      <c r="G666" s="201"/>
      <c r="H666" s="201"/>
      <c r="I666" s="201"/>
      <c r="J666" s="201"/>
      <c r="K666" s="201"/>
      <c r="L666" s="201"/>
      <c r="M666" s="201"/>
    </row>
    <row r="667" ht="12.75" customHeight="1">
      <c r="C667" s="201"/>
      <c r="D667" s="201"/>
      <c r="E667" s="201"/>
      <c r="F667" s="201"/>
      <c r="G667" s="201"/>
      <c r="H667" s="201"/>
      <c r="I667" s="201"/>
      <c r="J667" s="201"/>
      <c r="K667" s="201"/>
      <c r="L667" s="201"/>
      <c r="M667" s="201"/>
    </row>
    <row r="668" ht="12.75" customHeight="1">
      <c r="C668" s="201"/>
      <c r="D668" s="201"/>
      <c r="E668" s="201"/>
      <c r="F668" s="201"/>
      <c r="G668" s="201"/>
      <c r="H668" s="201"/>
      <c r="I668" s="201"/>
      <c r="J668" s="201"/>
      <c r="K668" s="201"/>
      <c r="L668" s="201"/>
      <c r="M668" s="201"/>
    </row>
    <row r="669" ht="12.75" customHeight="1">
      <c r="C669" s="201"/>
      <c r="D669" s="201"/>
      <c r="E669" s="201"/>
      <c r="F669" s="201"/>
      <c r="G669" s="201"/>
      <c r="H669" s="201"/>
      <c r="I669" s="201"/>
      <c r="J669" s="201"/>
      <c r="K669" s="201"/>
      <c r="L669" s="201"/>
      <c r="M669" s="201"/>
    </row>
    <row r="670" ht="12.75" customHeight="1">
      <c r="C670" s="201"/>
      <c r="D670" s="201"/>
      <c r="E670" s="201"/>
      <c r="F670" s="201"/>
      <c r="G670" s="201"/>
      <c r="H670" s="201"/>
      <c r="I670" s="201"/>
      <c r="J670" s="201"/>
      <c r="K670" s="201"/>
      <c r="L670" s="201"/>
      <c r="M670" s="201"/>
    </row>
    <row r="671" ht="12.75" customHeight="1">
      <c r="C671" s="201"/>
      <c r="D671" s="201"/>
      <c r="E671" s="201"/>
      <c r="F671" s="201"/>
      <c r="G671" s="201"/>
      <c r="H671" s="201"/>
      <c r="I671" s="201"/>
      <c r="J671" s="201"/>
      <c r="K671" s="201"/>
      <c r="L671" s="201"/>
      <c r="M671" s="201"/>
    </row>
    <row r="672" ht="12.75" customHeight="1">
      <c r="C672" s="201"/>
      <c r="D672" s="201"/>
      <c r="E672" s="201"/>
      <c r="F672" s="201"/>
      <c r="G672" s="201"/>
      <c r="H672" s="201"/>
      <c r="I672" s="201"/>
      <c r="J672" s="201"/>
      <c r="K672" s="201"/>
      <c r="L672" s="201"/>
      <c r="M672" s="201"/>
    </row>
    <row r="673" ht="12.75" customHeight="1">
      <c r="C673" s="201"/>
      <c r="D673" s="201"/>
      <c r="E673" s="201"/>
      <c r="F673" s="201"/>
      <c r="G673" s="201"/>
      <c r="H673" s="201"/>
      <c r="I673" s="201"/>
      <c r="J673" s="201"/>
      <c r="K673" s="201"/>
      <c r="L673" s="201"/>
      <c r="M673" s="201"/>
    </row>
    <row r="674" ht="12.75" customHeight="1">
      <c r="C674" s="201"/>
      <c r="D674" s="201"/>
      <c r="E674" s="201"/>
      <c r="F674" s="201"/>
      <c r="G674" s="201"/>
      <c r="H674" s="201"/>
      <c r="I674" s="201"/>
      <c r="J674" s="201"/>
      <c r="K674" s="201"/>
      <c r="L674" s="201"/>
      <c r="M674" s="201"/>
    </row>
    <row r="675" ht="12.75" customHeight="1">
      <c r="C675" s="201"/>
      <c r="D675" s="201"/>
      <c r="E675" s="201"/>
      <c r="F675" s="201"/>
      <c r="G675" s="201"/>
      <c r="H675" s="201"/>
      <c r="I675" s="201"/>
      <c r="J675" s="201"/>
      <c r="K675" s="201"/>
      <c r="L675" s="201"/>
      <c r="M675" s="201"/>
    </row>
    <row r="676" ht="12.75" customHeight="1">
      <c r="C676" s="201"/>
      <c r="D676" s="201"/>
      <c r="E676" s="201"/>
      <c r="F676" s="201"/>
      <c r="G676" s="201"/>
      <c r="H676" s="201"/>
      <c r="I676" s="201"/>
      <c r="J676" s="201"/>
      <c r="K676" s="201"/>
      <c r="L676" s="201"/>
      <c r="M676" s="201"/>
    </row>
    <row r="677" ht="12.75" customHeight="1">
      <c r="C677" s="201"/>
      <c r="D677" s="201"/>
      <c r="E677" s="201"/>
      <c r="F677" s="201"/>
      <c r="G677" s="201"/>
      <c r="H677" s="201"/>
      <c r="I677" s="201"/>
      <c r="J677" s="201"/>
      <c r="K677" s="201"/>
      <c r="L677" s="201"/>
      <c r="M677" s="201"/>
    </row>
    <row r="678" ht="12.75" customHeight="1">
      <c r="C678" s="201"/>
      <c r="D678" s="201"/>
      <c r="E678" s="201"/>
      <c r="F678" s="201"/>
      <c r="G678" s="201"/>
      <c r="H678" s="201"/>
      <c r="I678" s="201"/>
      <c r="J678" s="201"/>
      <c r="K678" s="201"/>
      <c r="L678" s="201"/>
      <c r="M678" s="201"/>
    </row>
    <row r="679" ht="12.75" customHeight="1">
      <c r="C679" s="201"/>
      <c r="D679" s="201"/>
      <c r="E679" s="201"/>
      <c r="F679" s="201"/>
      <c r="G679" s="201"/>
      <c r="H679" s="201"/>
      <c r="I679" s="201"/>
      <c r="J679" s="201"/>
      <c r="K679" s="201"/>
      <c r="L679" s="201"/>
      <c r="M679" s="201"/>
    </row>
    <row r="680" ht="12.75" customHeight="1">
      <c r="C680" s="201"/>
      <c r="D680" s="201"/>
      <c r="E680" s="201"/>
      <c r="F680" s="201"/>
      <c r="G680" s="201"/>
      <c r="H680" s="201"/>
      <c r="I680" s="201"/>
      <c r="J680" s="201"/>
      <c r="K680" s="201"/>
      <c r="L680" s="201"/>
      <c r="M680" s="201"/>
    </row>
    <row r="681" ht="12.75" customHeight="1">
      <c r="C681" s="201"/>
      <c r="D681" s="201"/>
      <c r="E681" s="201"/>
      <c r="F681" s="201"/>
      <c r="G681" s="201"/>
      <c r="H681" s="201"/>
      <c r="I681" s="201"/>
      <c r="J681" s="201"/>
      <c r="K681" s="201"/>
      <c r="L681" s="201"/>
      <c r="M681" s="201"/>
    </row>
    <row r="682" ht="12.75" customHeight="1">
      <c r="C682" s="201"/>
      <c r="D682" s="201"/>
      <c r="E682" s="201"/>
      <c r="F682" s="201"/>
      <c r="G682" s="201"/>
      <c r="H682" s="201"/>
      <c r="I682" s="201"/>
      <c r="J682" s="201"/>
      <c r="K682" s="201"/>
      <c r="L682" s="201"/>
      <c r="M682" s="201"/>
    </row>
    <row r="683" ht="12.75" customHeight="1">
      <c r="C683" s="201"/>
      <c r="D683" s="201"/>
      <c r="E683" s="201"/>
      <c r="F683" s="201"/>
      <c r="G683" s="201"/>
      <c r="H683" s="201"/>
      <c r="I683" s="201"/>
      <c r="J683" s="201"/>
      <c r="K683" s="201"/>
      <c r="L683" s="201"/>
      <c r="M683" s="201"/>
    </row>
    <row r="684" ht="12.75" customHeight="1">
      <c r="C684" s="201"/>
      <c r="D684" s="201"/>
      <c r="E684" s="201"/>
      <c r="F684" s="201"/>
      <c r="G684" s="201"/>
      <c r="H684" s="201"/>
      <c r="I684" s="201"/>
      <c r="J684" s="201"/>
      <c r="K684" s="201"/>
      <c r="L684" s="201"/>
      <c r="M684" s="201"/>
    </row>
    <row r="685" ht="12.75" customHeight="1">
      <c r="C685" s="201"/>
      <c r="D685" s="201"/>
      <c r="E685" s="201"/>
      <c r="F685" s="201"/>
      <c r="G685" s="201"/>
      <c r="H685" s="201"/>
      <c r="I685" s="201"/>
      <c r="J685" s="201"/>
      <c r="K685" s="201"/>
      <c r="L685" s="201"/>
      <c r="M685" s="201"/>
    </row>
    <row r="686" ht="12.75" customHeight="1">
      <c r="C686" s="201"/>
      <c r="D686" s="201"/>
      <c r="E686" s="201"/>
      <c r="F686" s="201"/>
      <c r="G686" s="201"/>
      <c r="H686" s="201"/>
      <c r="I686" s="201"/>
      <c r="J686" s="201"/>
      <c r="K686" s="201"/>
      <c r="L686" s="201"/>
      <c r="M686" s="201"/>
    </row>
    <row r="687" ht="12.75" customHeight="1">
      <c r="C687" s="201"/>
      <c r="D687" s="201"/>
      <c r="E687" s="201"/>
      <c r="F687" s="201"/>
      <c r="G687" s="201"/>
      <c r="H687" s="201"/>
      <c r="I687" s="201"/>
      <c r="J687" s="201"/>
      <c r="K687" s="201"/>
      <c r="L687" s="201"/>
      <c r="M687" s="201"/>
    </row>
    <row r="688" ht="12.75" customHeight="1">
      <c r="C688" s="201"/>
      <c r="D688" s="201"/>
      <c r="E688" s="201"/>
      <c r="F688" s="201"/>
      <c r="G688" s="201"/>
      <c r="H688" s="201"/>
      <c r="I688" s="201"/>
      <c r="J688" s="201"/>
      <c r="K688" s="201"/>
      <c r="L688" s="201"/>
      <c r="M688" s="201"/>
    </row>
    <row r="689" ht="12.75" customHeight="1">
      <c r="C689" s="201"/>
      <c r="D689" s="201"/>
      <c r="E689" s="201"/>
      <c r="F689" s="201"/>
      <c r="G689" s="201"/>
      <c r="H689" s="201"/>
      <c r="I689" s="201"/>
      <c r="J689" s="201"/>
      <c r="K689" s="201"/>
      <c r="L689" s="201"/>
      <c r="M689" s="201"/>
    </row>
    <row r="690" ht="12.75" customHeight="1">
      <c r="C690" s="201"/>
      <c r="D690" s="201"/>
      <c r="E690" s="201"/>
      <c r="F690" s="201"/>
      <c r="G690" s="201"/>
      <c r="H690" s="201"/>
      <c r="I690" s="201"/>
      <c r="J690" s="201"/>
      <c r="K690" s="201"/>
      <c r="L690" s="201"/>
      <c r="M690" s="201"/>
    </row>
    <row r="691" ht="12.75" customHeight="1">
      <c r="C691" s="201"/>
      <c r="D691" s="201"/>
      <c r="E691" s="201"/>
      <c r="F691" s="201"/>
      <c r="G691" s="201"/>
      <c r="H691" s="201"/>
      <c r="I691" s="201"/>
      <c r="J691" s="201"/>
      <c r="K691" s="201"/>
      <c r="L691" s="201"/>
      <c r="M691" s="201"/>
    </row>
    <row r="692" ht="12.75" customHeight="1">
      <c r="C692" s="201"/>
      <c r="D692" s="201"/>
      <c r="E692" s="201"/>
      <c r="F692" s="201"/>
      <c r="G692" s="201"/>
      <c r="H692" s="201"/>
      <c r="I692" s="201"/>
      <c r="J692" s="201"/>
      <c r="K692" s="201"/>
      <c r="L692" s="201"/>
      <c r="M692" s="201"/>
    </row>
    <row r="693" ht="12.75" customHeight="1">
      <c r="C693" s="201"/>
      <c r="D693" s="201"/>
      <c r="E693" s="201"/>
      <c r="F693" s="201"/>
      <c r="G693" s="201"/>
      <c r="H693" s="201"/>
      <c r="I693" s="201"/>
      <c r="J693" s="201"/>
      <c r="K693" s="201"/>
      <c r="L693" s="201"/>
      <c r="M693" s="201"/>
    </row>
    <row r="694" ht="12.75" customHeight="1">
      <c r="C694" s="201"/>
      <c r="D694" s="201"/>
      <c r="E694" s="201"/>
      <c r="F694" s="201"/>
      <c r="G694" s="201"/>
      <c r="H694" s="201"/>
      <c r="I694" s="201"/>
      <c r="J694" s="201"/>
      <c r="K694" s="201"/>
      <c r="L694" s="201"/>
      <c r="M694" s="201"/>
    </row>
    <row r="695" ht="12.75" customHeight="1">
      <c r="C695" s="201"/>
      <c r="D695" s="201"/>
      <c r="E695" s="201"/>
      <c r="F695" s="201"/>
      <c r="G695" s="201"/>
      <c r="H695" s="201"/>
      <c r="I695" s="201"/>
      <c r="J695" s="201"/>
      <c r="K695" s="201"/>
      <c r="L695" s="201"/>
      <c r="M695" s="201"/>
    </row>
    <row r="696" ht="12.75" customHeight="1">
      <c r="C696" s="201"/>
      <c r="D696" s="201"/>
      <c r="E696" s="201"/>
      <c r="F696" s="201"/>
      <c r="G696" s="201"/>
      <c r="H696" s="201"/>
      <c r="I696" s="201"/>
      <c r="J696" s="201"/>
      <c r="K696" s="201"/>
      <c r="L696" s="201"/>
      <c r="M696" s="201"/>
    </row>
    <row r="697" ht="12.75" customHeight="1">
      <c r="C697" s="201"/>
      <c r="D697" s="201"/>
      <c r="E697" s="201"/>
      <c r="F697" s="201"/>
      <c r="G697" s="201"/>
      <c r="H697" s="201"/>
      <c r="I697" s="201"/>
      <c r="J697" s="201"/>
      <c r="K697" s="201"/>
      <c r="L697" s="201"/>
      <c r="M697" s="201"/>
    </row>
    <row r="698" ht="12.75" customHeight="1">
      <c r="C698" s="201"/>
      <c r="D698" s="201"/>
      <c r="E698" s="201"/>
      <c r="F698" s="201"/>
      <c r="G698" s="201"/>
      <c r="H698" s="201"/>
      <c r="I698" s="201"/>
      <c r="J698" s="201"/>
      <c r="K698" s="201"/>
      <c r="L698" s="201"/>
      <c r="M698" s="201"/>
    </row>
    <row r="699" ht="12.75" customHeight="1">
      <c r="C699" s="201"/>
      <c r="D699" s="201"/>
      <c r="E699" s="201"/>
      <c r="F699" s="201"/>
      <c r="G699" s="201"/>
      <c r="H699" s="201"/>
      <c r="I699" s="201"/>
      <c r="J699" s="201"/>
      <c r="K699" s="201"/>
      <c r="L699" s="201"/>
      <c r="M699" s="201"/>
    </row>
    <row r="700" ht="12.75" customHeight="1">
      <c r="C700" s="201"/>
      <c r="D700" s="201"/>
      <c r="E700" s="201"/>
      <c r="F700" s="201"/>
      <c r="G700" s="201"/>
      <c r="H700" s="201"/>
      <c r="I700" s="201"/>
      <c r="J700" s="201"/>
      <c r="K700" s="201"/>
      <c r="L700" s="201"/>
      <c r="M700" s="201"/>
    </row>
    <row r="701" ht="12.75" customHeight="1">
      <c r="C701" s="201"/>
      <c r="D701" s="201"/>
      <c r="E701" s="201"/>
      <c r="F701" s="201"/>
      <c r="G701" s="201"/>
      <c r="H701" s="201"/>
      <c r="I701" s="201"/>
      <c r="J701" s="201"/>
      <c r="K701" s="201"/>
      <c r="L701" s="201"/>
      <c r="M701" s="201"/>
    </row>
    <row r="702" ht="12.75" customHeight="1">
      <c r="C702" s="201"/>
      <c r="D702" s="201"/>
      <c r="E702" s="201"/>
      <c r="F702" s="201"/>
      <c r="G702" s="201"/>
      <c r="H702" s="201"/>
      <c r="I702" s="201"/>
      <c r="J702" s="201"/>
      <c r="K702" s="201"/>
      <c r="L702" s="201"/>
      <c r="M702" s="201"/>
    </row>
    <row r="703" ht="12.75" customHeight="1">
      <c r="C703" s="201"/>
      <c r="D703" s="201"/>
      <c r="E703" s="201"/>
      <c r="F703" s="201"/>
      <c r="G703" s="201"/>
      <c r="H703" s="201"/>
      <c r="I703" s="201"/>
      <c r="J703" s="201"/>
      <c r="K703" s="201"/>
      <c r="L703" s="201"/>
      <c r="M703" s="201"/>
    </row>
    <row r="704" ht="12.75" customHeight="1">
      <c r="C704" s="201"/>
      <c r="D704" s="201"/>
      <c r="E704" s="201"/>
      <c r="F704" s="201"/>
      <c r="G704" s="201"/>
      <c r="H704" s="201"/>
      <c r="I704" s="201"/>
      <c r="J704" s="201"/>
      <c r="K704" s="201"/>
      <c r="L704" s="201"/>
      <c r="M704" s="201"/>
    </row>
    <row r="705" ht="12.75" customHeight="1">
      <c r="C705" s="201"/>
      <c r="D705" s="201"/>
      <c r="E705" s="201"/>
      <c r="F705" s="201"/>
      <c r="G705" s="201"/>
      <c r="H705" s="201"/>
      <c r="I705" s="201"/>
      <c r="J705" s="201"/>
      <c r="K705" s="201"/>
      <c r="L705" s="201"/>
      <c r="M705" s="201"/>
    </row>
    <row r="706" ht="12.75" customHeight="1">
      <c r="C706" s="201"/>
      <c r="D706" s="201"/>
      <c r="E706" s="201"/>
      <c r="F706" s="201"/>
      <c r="G706" s="201"/>
      <c r="H706" s="201"/>
      <c r="I706" s="201"/>
      <c r="J706" s="201"/>
      <c r="K706" s="201"/>
      <c r="L706" s="201"/>
      <c r="M706" s="201"/>
    </row>
    <row r="707" ht="12.75" customHeight="1">
      <c r="C707" s="201"/>
      <c r="D707" s="201"/>
      <c r="E707" s="201"/>
      <c r="F707" s="201"/>
      <c r="G707" s="201"/>
      <c r="H707" s="201"/>
      <c r="I707" s="201"/>
      <c r="J707" s="201"/>
      <c r="K707" s="201"/>
      <c r="L707" s="201"/>
      <c r="M707" s="201"/>
    </row>
    <row r="708" ht="12.75" customHeight="1">
      <c r="C708" s="201"/>
      <c r="D708" s="201"/>
      <c r="E708" s="201"/>
      <c r="F708" s="201"/>
      <c r="G708" s="201"/>
      <c r="H708" s="201"/>
      <c r="I708" s="201"/>
      <c r="J708" s="201"/>
      <c r="K708" s="201"/>
      <c r="L708" s="201"/>
      <c r="M708" s="201"/>
    </row>
    <row r="709" ht="12.75" customHeight="1">
      <c r="C709" s="201"/>
      <c r="D709" s="201"/>
      <c r="E709" s="201"/>
      <c r="F709" s="201"/>
      <c r="G709" s="201"/>
      <c r="H709" s="201"/>
      <c r="I709" s="201"/>
      <c r="J709" s="201"/>
      <c r="K709" s="201"/>
      <c r="L709" s="201"/>
      <c r="M709" s="201"/>
    </row>
    <row r="710" ht="12.75" customHeight="1">
      <c r="C710" s="201"/>
      <c r="D710" s="201"/>
      <c r="E710" s="201"/>
      <c r="F710" s="201"/>
      <c r="G710" s="201"/>
      <c r="H710" s="201"/>
      <c r="I710" s="201"/>
      <c r="J710" s="201"/>
      <c r="K710" s="201"/>
      <c r="L710" s="201"/>
      <c r="M710" s="201"/>
    </row>
    <row r="711" ht="12.75" customHeight="1">
      <c r="C711" s="201"/>
      <c r="D711" s="201"/>
      <c r="E711" s="201"/>
      <c r="F711" s="201"/>
      <c r="G711" s="201"/>
      <c r="H711" s="201"/>
      <c r="I711" s="201"/>
      <c r="J711" s="201"/>
      <c r="K711" s="201"/>
      <c r="L711" s="201"/>
      <c r="M711" s="201"/>
    </row>
    <row r="712" ht="12.75" customHeight="1">
      <c r="C712" s="201"/>
      <c r="D712" s="201"/>
      <c r="E712" s="201"/>
      <c r="F712" s="201"/>
      <c r="G712" s="201"/>
      <c r="H712" s="201"/>
      <c r="I712" s="201"/>
      <c r="J712" s="201"/>
      <c r="K712" s="201"/>
      <c r="L712" s="201"/>
      <c r="M712" s="201"/>
    </row>
    <row r="713" ht="12.75" customHeight="1">
      <c r="C713" s="201"/>
      <c r="D713" s="201"/>
      <c r="E713" s="201"/>
      <c r="F713" s="201"/>
      <c r="G713" s="201"/>
      <c r="H713" s="201"/>
      <c r="I713" s="201"/>
      <c r="J713" s="201"/>
      <c r="K713" s="201"/>
      <c r="L713" s="201"/>
      <c r="M713" s="201"/>
    </row>
    <row r="714" ht="12.75" customHeight="1">
      <c r="C714" s="201"/>
      <c r="D714" s="201"/>
      <c r="E714" s="201"/>
      <c r="F714" s="201"/>
      <c r="G714" s="201"/>
      <c r="H714" s="201"/>
      <c r="I714" s="201"/>
      <c r="J714" s="201"/>
      <c r="K714" s="201"/>
      <c r="L714" s="201"/>
      <c r="M714" s="201"/>
    </row>
    <row r="715" ht="12.75" customHeight="1">
      <c r="C715" s="201"/>
      <c r="D715" s="201"/>
      <c r="E715" s="201"/>
      <c r="F715" s="201"/>
      <c r="G715" s="201"/>
      <c r="H715" s="201"/>
      <c r="I715" s="201"/>
      <c r="J715" s="201"/>
      <c r="K715" s="201"/>
      <c r="L715" s="201"/>
      <c r="M715" s="201"/>
    </row>
    <row r="716" ht="12.75" customHeight="1">
      <c r="C716" s="201"/>
      <c r="D716" s="201"/>
      <c r="E716" s="201"/>
      <c r="F716" s="201"/>
      <c r="G716" s="201"/>
      <c r="H716" s="201"/>
      <c r="I716" s="201"/>
      <c r="J716" s="201"/>
      <c r="K716" s="201"/>
      <c r="L716" s="201"/>
      <c r="M716" s="201"/>
    </row>
    <row r="717" ht="12.75" customHeight="1">
      <c r="C717" s="201"/>
      <c r="D717" s="201"/>
      <c r="E717" s="201"/>
      <c r="F717" s="201"/>
      <c r="G717" s="201"/>
      <c r="H717" s="201"/>
      <c r="I717" s="201"/>
      <c r="J717" s="201"/>
      <c r="K717" s="201"/>
      <c r="L717" s="201"/>
      <c r="M717" s="201"/>
    </row>
    <row r="718" ht="12.75" customHeight="1">
      <c r="C718" s="201"/>
      <c r="D718" s="201"/>
      <c r="E718" s="201"/>
      <c r="F718" s="201"/>
      <c r="G718" s="201"/>
      <c r="H718" s="201"/>
      <c r="I718" s="201"/>
      <c r="J718" s="201"/>
      <c r="K718" s="201"/>
      <c r="L718" s="201"/>
      <c r="M718" s="201"/>
    </row>
    <row r="719" ht="12.75" customHeight="1">
      <c r="C719" s="201"/>
      <c r="D719" s="201"/>
      <c r="E719" s="201"/>
      <c r="F719" s="201"/>
      <c r="G719" s="201"/>
      <c r="H719" s="201"/>
      <c r="I719" s="201"/>
      <c r="J719" s="201"/>
      <c r="K719" s="201"/>
      <c r="L719" s="201"/>
      <c r="M719" s="201"/>
    </row>
    <row r="720" ht="12.75" customHeight="1">
      <c r="C720" s="201"/>
      <c r="D720" s="201"/>
      <c r="E720" s="201"/>
      <c r="F720" s="201"/>
      <c r="G720" s="201"/>
      <c r="H720" s="201"/>
      <c r="I720" s="201"/>
      <c r="J720" s="201"/>
      <c r="K720" s="201"/>
      <c r="L720" s="201"/>
      <c r="M720" s="201"/>
    </row>
    <row r="721" ht="12.75" customHeight="1">
      <c r="C721" s="201"/>
      <c r="D721" s="201"/>
      <c r="E721" s="201"/>
      <c r="F721" s="201"/>
      <c r="G721" s="201"/>
      <c r="H721" s="201"/>
      <c r="I721" s="201"/>
      <c r="J721" s="201"/>
      <c r="K721" s="201"/>
      <c r="L721" s="201"/>
      <c r="M721" s="201"/>
    </row>
    <row r="722" ht="12.75" customHeight="1">
      <c r="C722" s="201"/>
      <c r="D722" s="201"/>
      <c r="E722" s="201"/>
      <c r="F722" s="201"/>
      <c r="G722" s="201"/>
      <c r="H722" s="201"/>
      <c r="I722" s="201"/>
      <c r="J722" s="201"/>
      <c r="K722" s="201"/>
      <c r="L722" s="201"/>
      <c r="M722" s="201"/>
    </row>
    <row r="723" ht="12.75" customHeight="1">
      <c r="C723" s="201"/>
      <c r="D723" s="201"/>
      <c r="E723" s="201"/>
      <c r="F723" s="201"/>
      <c r="G723" s="201"/>
      <c r="H723" s="201"/>
      <c r="I723" s="201"/>
      <c r="J723" s="201"/>
      <c r="K723" s="201"/>
      <c r="L723" s="201"/>
      <c r="M723" s="201"/>
    </row>
    <row r="724" ht="12.75" customHeight="1">
      <c r="C724" s="201"/>
      <c r="D724" s="201"/>
      <c r="E724" s="201"/>
      <c r="F724" s="201"/>
      <c r="G724" s="201"/>
      <c r="H724" s="201"/>
      <c r="I724" s="201"/>
      <c r="J724" s="201"/>
      <c r="K724" s="201"/>
      <c r="L724" s="201"/>
      <c r="M724" s="201"/>
    </row>
    <row r="725" ht="12.75" customHeight="1">
      <c r="C725" s="201"/>
      <c r="D725" s="201"/>
      <c r="E725" s="201"/>
      <c r="F725" s="201"/>
      <c r="G725" s="201"/>
      <c r="H725" s="201"/>
      <c r="I725" s="201"/>
      <c r="J725" s="201"/>
      <c r="K725" s="201"/>
      <c r="L725" s="201"/>
      <c r="M725" s="201"/>
    </row>
    <row r="726" ht="12.75" customHeight="1">
      <c r="C726" s="201"/>
      <c r="D726" s="201"/>
      <c r="E726" s="201"/>
      <c r="F726" s="201"/>
      <c r="G726" s="201"/>
      <c r="H726" s="201"/>
      <c r="I726" s="201"/>
      <c r="J726" s="201"/>
      <c r="K726" s="201"/>
      <c r="L726" s="201"/>
      <c r="M726" s="201"/>
    </row>
    <row r="727" ht="12.75" customHeight="1">
      <c r="C727" s="201"/>
      <c r="D727" s="201"/>
      <c r="E727" s="201"/>
      <c r="F727" s="201"/>
      <c r="G727" s="201"/>
      <c r="H727" s="201"/>
      <c r="I727" s="201"/>
      <c r="J727" s="201"/>
      <c r="K727" s="201"/>
      <c r="L727" s="201"/>
      <c r="M727" s="201"/>
    </row>
    <row r="728" ht="12.75" customHeight="1">
      <c r="C728" s="201"/>
      <c r="D728" s="201"/>
      <c r="E728" s="201"/>
      <c r="F728" s="201"/>
      <c r="G728" s="201"/>
      <c r="H728" s="201"/>
      <c r="I728" s="201"/>
      <c r="J728" s="201"/>
      <c r="K728" s="201"/>
      <c r="L728" s="201"/>
      <c r="M728" s="201"/>
    </row>
    <row r="729" ht="12.75" customHeight="1">
      <c r="C729" s="201"/>
      <c r="D729" s="201"/>
      <c r="E729" s="201"/>
      <c r="F729" s="201"/>
      <c r="G729" s="201"/>
      <c r="H729" s="201"/>
      <c r="I729" s="201"/>
      <c r="J729" s="201"/>
      <c r="K729" s="201"/>
      <c r="L729" s="201"/>
      <c r="M729" s="201"/>
    </row>
    <row r="730" ht="12.75" customHeight="1">
      <c r="C730" s="201"/>
      <c r="D730" s="201"/>
      <c r="E730" s="201"/>
      <c r="F730" s="201"/>
      <c r="G730" s="201"/>
      <c r="H730" s="201"/>
      <c r="I730" s="201"/>
      <c r="J730" s="201"/>
      <c r="K730" s="201"/>
      <c r="L730" s="201"/>
      <c r="M730" s="201"/>
    </row>
    <row r="731" ht="12.75" customHeight="1">
      <c r="C731" s="201"/>
      <c r="D731" s="201"/>
      <c r="E731" s="201"/>
      <c r="F731" s="201"/>
      <c r="G731" s="201"/>
      <c r="H731" s="201"/>
      <c r="I731" s="201"/>
      <c r="J731" s="201"/>
      <c r="K731" s="201"/>
      <c r="L731" s="201"/>
      <c r="M731" s="201"/>
    </row>
    <row r="732" ht="12.75" customHeight="1">
      <c r="C732" s="201"/>
      <c r="D732" s="201"/>
      <c r="E732" s="201"/>
      <c r="F732" s="201"/>
      <c r="G732" s="201"/>
      <c r="H732" s="201"/>
      <c r="I732" s="201"/>
      <c r="J732" s="201"/>
      <c r="K732" s="201"/>
      <c r="L732" s="201"/>
      <c r="M732" s="201"/>
    </row>
    <row r="733" ht="12.75" customHeight="1">
      <c r="C733" s="201"/>
      <c r="D733" s="201"/>
      <c r="E733" s="201"/>
      <c r="F733" s="201"/>
      <c r="G733" s="201"/>
      <c r="H733" s="201"/>
      <c r="I733" s="201"/>
      <c r="J733" s="201"/>
      <c r="K733" s="201"/>
      <c r="L733" s="201"/>
      <c r="M733" s="201"/>
    </row>
    <row r="734" ht="12.75" customHeight="1">
      <c r="C734" s="201"/>
      <c r="D734" s="201"/>
      <c r="E734" s="201"/>
      <c r="F734" s="201"/>
      <c r="G734" s="201"/>
      <c r="H734" s="201"/>
      <c r="I734" s="201"/>
      <c r="J734" s="201"/>
      <c r="K734" s="201"/>
      <c r="L734" s="201"/>
      <c r="M734" s="201"/>
    </row>
    <row r="735" ht="12.75" customHeight="1">
      <c r="C735" s="201"/>
      <c r="D735" s="201"/>
      <c r="E735" s="201"/>
      <c r="F735" s="201"/>
      <c r="G735" s="201"/>
      <c r="H735" s="201"/>
      <c r="I735" s="201"/>
      <c r="J735" s="201"/>
      <c r="K735" s="201"/>
      <c r="L735" s="201"/>
      <c r="M735" s="201"/>
    </row>
    <row r="736" ht="12.75" customHeight="1">
      <c r="C736" s="201"/>
      <c r="D736" s="201"/>
      <c r="E736" s="201"/>
      <c r="F736" s="201"/>
      <c r="G736" s="201"/>
      <c r="H736" s="201"/>
      <c r="I736" s="201"/>
      <c r="J736" s="201"/>
      <c r="K736" s="201"/>
      <c r="L736" s="201"/>
      <c r="M736" s="201"/>
    </row>
    <row r="737" ht="12.75" customHeight="1">
      <c r="C737" s="201"/>
      <c r="D737" s="201"/>
      <c r="E737" s="201"/>
      <c r="F737" s="201"/>
      <c r="G737" s="201"/>
      <c r="H737" s="201"/>
      <c r="I737" s="201"/>
      <c r="J737" s="201"/>
      <c r="K737" s="201"/>
      <c r="L737" s="201"/>
      <c r="M737" s="201"/>
    </row>
    <row r="738" ht="12.75" customHeight="1">
      <c r="C738" s="201"/>
      <c r="D738" s="201"/>
      <c r="E738" s="201"/>
      <c r="F738" s="201"/>
      <c r="G738" s="201"/>
      <c r="H738" s="201"/>
      <c r="I738" s="201"/>
      <c r="J738" s="201"/>
      <c r="K738" s="201"/>
      <c r="L738" s="201"/>
      <c r="M738" s="201"/>
    </row>
    <row r="739" ht="12.75" customHeight="1">
      <c r="C739" s="201"/>
      <c r="D739" s="201"/>
      <c r="E739" s="201"/>
      <c r="F739" s="201"/>
      <c r="G739" s="201"/>
      <c r="H739" s="201"/>
      <c r="I739" s="201"/>
      <c r="J739" s="201"/>
      <c r="K739" s="201"/>
      <c r="L739" s="201"/>
      <c r="M739" s="201"/>
    </row>
    <row r="740" ht="12.75" customHeight="1">
      <c r="C740" s="201"/>
      <c r="D740" s="201"/>
      <c r="E740" s="201"/>
      <c r="F740" s="201"/>
      <c r="G740" s="201"/>
      <c r="H740" s="201"/>
      <c r="I740" s="201"/>
      <c r="J740" s="201"/>
      <c r="K740" s="201"/>
      <c r="L740" s="201"/>
      <c r="M740" s="201"/>
    </row>
    <row r="741" ht="12.75" customHeight="1">
      <c r="C741" s="201"/>
      <c r="D741" s="201"/>
      <c r="E741" s="201"/>
      <c r="F741" s="201"/>
      <c r="G741" s="201"/>
      <c r="H741" s="201"/>
      <c r="I741" s="201"/>
      <c r="J741" s="201"/>
      <c r="K741" s="201"/>
      <c r="L741" s="201"/>
      <c r="M741" s="201"/>
    </row>
    <row r="742" ht="12.75" customHeight="1">
      <c r="C742" s="201"/>
      <c r="D742" s="201"/>
      <c r="E742" s="201"/>
      <c r="F742" s="201"/>
      <c r="G742" s="201"/>
      <c r="H742" s="201"/>
      <c r="I742" s="201"/>
      <c r="J742" s="201"/>
      <c r="K742" s="201"/>
      <c r="L742" s="201"/>
      <c r="M742" s="201"/>
    </row>
    <row r="743" ht="12.75" customHeight="1">
      <c r="C743" s="201"/>
      <c r="D743" s="201"/>
      <c r="E743" s="201"/>
      <c r="F743" s="201"/>
      <c r="G743" s="201"/>
      <c r="H743" s="201"/>
      <c r="I743" s="201"/>
      <c r="J743" s="201"/>
      <c r="K743" s="201"/>
      <c r="L743" s="201"/>
      <c r="M743" s="201"/>
    </row>
    <row r="744" ht="12.75" customHeight="1">
      <c r="C744" s="201"/>
      <c r="D744" s="201"/>
      <c r="E744" s="201"/>
      <c r="F744" s="201"/>
      <c r="G744" s="201"/>
      <c r="H744" s="201"/>
      <c r="I744" s="201"/>
      <c r="J744" s="201"/>
      <c r="K744" s="201"/>
      <c r="L744" s="201"/>
      <c r="M744" s="201"/>
    </row>
    <row r="745" ht="12.75" customHeight="1">
      <c r="C745" s="201"/>
      <c r="D745" s="201"/>
      <c r="E745" s="201"/>
      <c r="F745" s="201"/>
      <c r="G745" s="201"/>
      <c r="H745" s="201"/>
      <c r="I745" s="201"/>
      <c r="J745" s="201"/>
      <c r="K745" s="201"/>
      <c r="L745" s="201"/>
      <c r="M745" s="201"/>
    </row>
    <row r="746" ht="12.75" customHeight="1">
      <c r="C746" s="201"/>
      <c r="D746" s="201"/>
      <c r="E746" s="201"/>
      <c r="F746" s="201"/>
      <c r="G746" s="201"/>
      <c r="H746" s="201"/>
      <c r="I746" s="201"/>
      <c r="J746" s="201"/>
      <c r="K746" s="201"/>
      <c r="L746" s="201"/>
      <c r="M746" s="201"/>
    </row>
    <row r="747" ht="12.75" customHeight="1">
      <c r="C747" s="201"/>
      <c r="D747" s="201"/>
      <c r="E747" s="201"/>
      <c r="F747" s="201"/>
      <c r="G747" s="201"/>
      <c r="H747" s="201"/>
      <c r="I747" s="201"/>
      <c r="J747" s="201"/>
      <c r="K747" s="201"/>
      <c r="L747" s="201"/>
      <c r="M747" s="201"/>
    </row>
    <row r="748" ht="12.75" customHeight="1">
      <c r="C748" s="201"/>
      <c r="D748" s="201"/>
      <c r="E748" s="201"/>
      <c r="F748" s="201"/>
      <c r="G748" s="201"/>
      <c r="H748" s="201"/>
      <c r="I748" s="201"/>
      <c r="J748" s="201"/>
      <c r="K748" s="201"/>
      <c r="L748" s="201"/>
      <c r="M748" s="201"/>
    </row>
    <row r="749" ht="12.75" customHeight="1">
      <c r="C749" s="201"/>
      <c r="D749" s="201"/>
      <c r="E749" s="201"/>
      <c r="F749" s="201"/>
      <c r="G749" s="201"/>
      <c r="H749" s="201"/>
      <c r="I749" s="201"/>
      <c r="J749" s="201"/>
      <c r="K749" s="201"/>
      <c r="L749" s="201"/>
      <c r="M749" s="201"/>
    </row>
    <row r="750" ht="12.75" customHeight="1">
      <c r="C750" s="201"/>
      <c r="D750" s="201"/>
      <c r="E750" s="201"/>
      <c r="F750" s="201"/>
      <c r="G750" s="201"/>
      <c r="H750" s="201"/>
      <c r="I750" s="201"/>
      <c r="J750" s="201"/>
      <c r="K750" s="201"/>
      <c r="L750" s="201"/>
      <c r="M750" s="201"/>
    </row>
    <row r="751" ht="12.75" customHeight="1">
      <c r="C751" s="201"/>
      <c r="D751" s="201"/>
      <c r="E751" s="201"/>
      <c r="F751" s="201"/>
      <c r="G751" s="201"/>
      <c r="H751" s="201"/>
      <c r="I751" s="201"/>
      <c r="J751" s="201"/>
      <c r="K751" s="201"/>
      <c r="L751" s="201"/>
      <c r="M751" s="201"/>
    </row>
    <row r="752" ht="12.75" customHeight="1">
      <c r="C752" s="201"/>
      <c r="D752" s="201"/>
      <c r="E752" s="201"/>
      <c r="F752" s="201"/>
      <c r="G752" s="201"/>
      <c r="H752" s="201"/>
      <c r="I752" s="201"/>
      <c r="J752" s="201"/>
      <c r="K752" s="201"/>
      <c r="L752" s="201"/>
      <c r="M752" s="201"/>
    </row>
    <row r="753" ht="12.75" customHeight="1">
      <c r="C753" s="201"/>
      <c r="D753" s="201"/>
      <c r="E753" s="201"/>
      <c r="F753" s="201"/>
      <c r="G753" s="201"/>
      <c r="H753" s="201"/>
      <c r="I753" s="201"/>
      <c r="J753" s="201"/>
      <c r="K753" s="201"/>
      <c r="L753" s="201"/>
      <c r="M753" s="201"/>
    </row>
    <row r="754" ht="12.75" customHeight="1">
      <c r="C754" s="201"/>
      <c r="D754" s="201"/>
      <c r="E754" s="201"/>
      <c r="F754" s="201"/>
      <c r="G754" s="201"/>
      <c r="H754" s="201"/>
      <c r="I754" s="201"/>
      <c r="J754" s="201"/>
      <c r="K754" s="201"/>
      <c r="L754" s="201"/>
      <c r="M754" s="201"/>
    </row>
    <row r="755" ht="12.75" customHeight="1">
      <c r="C755" s="201"/>
      <c r="D755" s="201"/>
      <c r="E755" s="201"/>
      <c r="F755" s="201"/>
      <c r="G755" s="201"/>
      <c r="H755" s="201"/>
      <c r="I755" s="201"/>
      <c r="J755" s="201"/>
      <c r="K755" s="201"/>
      <c r="L755" s="201"/>
      <c r="M755" s="201"/>
    </row>
    <row r="756" ht="12.75" customHeight="1">
      <c r="C756" s="201"/>
      <c r="D756" s="201"/>
      <c r="E756" s="201"/>
      <c r="F756" s="201"/>
      <c r="G756" s="201"/>
      <c r="H756" s="201"/>
      <c r="I756" s="201"/>
      <c r="J756" s="201"/>
      <c r="K756" s="201"/>
      <c r="L756" s="201"/>
      <c r="M756" s="201"/>
    </row>
    <row r="757" ht="12.75" customHeight="1">
      <c r="C757" s="201"/>
      <c r="D757" s="201"/>
      <c r="E757" s="201"/>
      <c r="F757" s="201"/>
      <c r="G757" s="201"/>
      <c r="H757" s="201"/>
      <c r="I757" s="201"/>
      <c r="J757" s="201"/>
      <c r="K757" s="201"/>
      <c r="L757" s="201"/>
      <c r="M757" s="201"/>
    </row>
    <row r="758" ht="12.75" customHeight="1">
      <c r="C758" s="201"/>
      <c r="D758" s="201"/>
      <c r="E758" s="201"/>
      <c r="F758" s="201"/>
      <c r="G758" s="201"/>
      <c r="H758" s="201"/>
      <c r="I758" s="201"/>
      <c r="J758" s="201"/>
      <c r="K758" s="201"/>
      <c r="L758" s="201"/>
      <c r="M758" s="201"/>
    </row>
    <row r="759" ht="12.75" customHeight="1">
      <c r="C759" s="201"/>
      <c r="D759" s="201"/>
      <c r="E759" s="201"/>
      <c r="F759" s="201"/>
      <c r="G759" s="201"/>
      <c r="H759" s="201"/>
      <c r="I759" s="201"/>
      <c r="J759" s="201"/>
      <c r="K759" s="201"/>
      <c r="L759" s="201"/>
      <c r="M759" s="201"/>
    </row>
    <row r="760" ht="12.75" customHeight="1">
      <c r="C760" s="201"/>
      <c r="D760" s="201"/>
      <c r="E760" s="201"/>
      <c r="F760" s="201"/>
      <c r="G760" s="201"/>
      <c r="H760" s="201"/>
      <c r="I760" s="201"/>
      <c r="J760" s="201"/>
      <c r="K760" s="201"/>
      <c r="L760" s="201"/>
      <c r="M760" s="201"/>
    </row>
    <row r="761" ht="12.75" customHeight="1">
      <c r="C761" s="201"/>
      <c r="D761" s="201"/>
      <c r="E761" s="201"/>
      <c r="F761" s="201"/>
      <c r="G761" s="201"/>
      <c r="H761" s="201"/>
      <c r="I761" s="201"/>
      <c r="J761" s="201"/>
      <c r="K761" s="201"/>
      <c r="L761" s="201"/>
      <c r="M761" s="201"/>
    </row>
    <row r="762" ht="12.75" customHeight="1">
      <c r="C762" s="201"/>
      <c r="D762" s="201"/>
      <c r="E762" s="201"/>
      <c r="F762" s="201"/>
      <c r="G762" s="201"/>
      <c r="H762" s="201"/>
      <c r="I762" s="201"/>
      <c r="J762" s="201"/>
      <c r="K762" s="201"/>
      <c r="L762" s="201"/>
      <c r="M762" s="201"/>
    </row>
    <row r="763" ht="12.75" customHeight="1">
      <c r="C763" s="201"/>
      <c r="D763" s="201"/>
      <c r="E763" s="201"/>
      <c r="F763" s="201"/>
      <c r="G763" s="201"/>
      <c r="H763" s="201"/>
      <c r="I763" s="201"/>
      <c r="J763" s="201"/>
      <c r="K763" s="201"/>
      <c r="L763" s="201"/>
      <c r="M763" s="201"/>
    </row>
    <row r="764" ht="12.75" customHeight="1">
      <c r="C764" s="201"/>
      <c r="D764" s="201"/>
      <c r="E764" s="201"/>
      <c r="F764" s="201"/>
      <c r="G764" s="201"/>
      <c r="H764" s="201"/>
      <c r="I764" s="201"/>
      <c r="J764" s="201"/>
      <c r="K764" s="201"/>
      <c r="L764" s="201"/>
      <c r="M764" s="201"/>
    </row>
    <row r="765" ht="12.75" customHeight="1">
      <c r="C765" s="201"/>
      <c r="D765" s="201"/>
      <c r="E765" s="201"/>
      <c r="F765" s="201"/>
      <c r="G765" s="201"/>
      <c r="H765" s="201"/>
      <c r="I765" s="201"/>
      <c r="J765" s="201"/>
      <c r="K765" s="201"/>
      <c r="L765" s="201"/>
      <c r="M765" s="201"/>
    </row>
    <row r="766" ht="12.75" customHeight="1">
      <c r="C766" s="201"/>
      <c r="D766" s="201"/>
      <c r="E766" s="201"/>
      <c r="F766" s="201"/>
      <c r="G766" s="201"/>
      <c r="H766" s="201"/>
      <c r="I766" s="201"/>
      <c r="J766" s="201"/>
      <c r="K766" s="201"/>
      <c r="L766" s="201"/>
      <c r="M766" s="201"/>
    </row>
    <row r="767" ht="12.75" customHeight="1">
      <c r="C767" s="201"/>
      <c r="D767" s="201"/>
      <c r="E767" s="201"/>
      <c r="F767" s="201"/>
      <c r="G767" s="201"/>
      <c r="H767" s="201"/>
      <c r="I767" s="201"/>
      <c r="J767" s="201"/>
      <c r="K767" s="201"/>
      <c r="L767" s="201"/>
      <c r="M767" s="201"/>
    </row>
    <row r="768" ht="12.75" customHeight="1">
      <c r="C768" s="201"/>
      <c r="D768" s="201"/>
      <c r="E768" s="201"/>
      <c r="F768" s="201"/>
      <c r="G768" s="201"/>
      <c r="H768" s="201"/>
      <c r="I768" s="201"/>
      <c r="J768" s="201"/>
      <c r="K768" s="201"/>
      <c r="L768" s="201"/>
      <c r="M768" s="201"/>
    </row>
    <row r="769" ht="12.75" customHeight="1">
      <c r="C769" s="201"/>
      <c r="D769" s="201"/>
      <c r="E769" s="201"/>
      <c r="F769" s="201"/>
      <c r="G769" s="201"/>
      <c r="H769" s="201"/>
      <c r="I769" s="201"/>
      <c r="J769" s="201"/>
      <c r="K769" s="201"/>
      <c r="L769" s="201"/>
      <c r="M769" s="201"/>
    </row>
    <row r="770" ht="12.75" customHeight="1">
      <c r="C770" s="201"/>
      <c r="D770" s="201"/>
      <c r="E770" s="201"/>
      <c r="F770" s="201"/>
      <c r="G770" s="201"/>
      <c r="H770" s="201"/>
      <c r="I770" s="201"/>
      <c r="J770" s="201"/>
      <c r="K770" s="201"/>
      <c r="L770" s="201"/>
      <c r="M770" s="201"/>
    </row>
    <row r="771" ht="12.75" customHeight="1">
      <c r="C771" s="201"/>
      <c r="D771" s="201"/>
      <c r="E771" s="201"/>
      <c r="F771" s="201"/>
      <c r="G771" s="201"/>
      <c r="H771" s="201"/>
      <c r="I771" s="201"/>
      <c r="J771" s="201"/>
      <c r="K771" s="201"/>
      <c r="L771" s="201"/>
      <c r="M771" s="201"/>
    </row>
    <row r="772" ht="12.75" customHeight="1">
      <c r="C772" s="201"/>
      <c r="D772" s="201"/>
      <c r="E772" s="201"/>
      <c r="F772" s="201"/>
      <c r="G772" s="201"/>
      <c r="H772" s="201"/>
      <c r="I772" s="201"/>
      <c r="J772" s="201"/>
      <c r="K772" s="201"/>
      <c r="L772" s="201"/>
      <c r="M772" s="201"/>
    </row>
    <row r="773" ht="12.75" customHeight="1">
      <c r="C773" s="201"/>
      <c r="D773" s="201"/>
      <c r="E773" s="201"/>
      <c r="F773" s="201"/>
      <c r="G773" s="201"/>
      <c r="H773" s="201"/>
      <c r="I773" s="201"/>
      <c r="J773" s="201"/>
      <c r="K773" s="201"/>
      <c r="L773" s="201"/>
      <c r="M773" s="201"/>
    </row>
    <row r="774" ht="12.75" customHeight="1">
      <c r="C774" s="201"/>
      <c r="D774" s="201"/>
      <c r="E774" s="201"/>
      <c r="F774" s="201"/>
      <c r="G774" s="201"/>
      <c r="H774" s="201"/>
      <c r="I774" s="201"/>
      <c r="J774" s="201"/>
      <c r="K774" s="201"/>
      <c r="L774" s="201"/>
      <c r="M774" s="201"/>
    </row>
    <row r="775" ht="12.75" customHeight="1">
      <c r="C775" s="201"/>
      <c r="D775" s="201"/>
      <c r="E775" s="201"/>
      <c r="F775" s="201"/>
      <c r="G775" s="201"/>
      <c r="H775" s="201"/>
      <c r="I775" s="201"/>
      <c r="J775" s="201"/>
      <c r="K775" s="201"/>
      <c r="L775" s="201"/>
      <c r="M775" s="201"/>
    </row>
    <row r="776" ht="12.75" customHeight="1">
      <c r="C776" s="201"/>
      <c r="D776" s="201"/>
      <c r="E776" s="201"/>
      <c r="F776" s="201"/>
      <c r="G776" s="201"/>
      <c r="H776" s="201"/>
      <c r="I776" s="201"/>
      <c r="J776" s="201"/>
      <c r="K776" s="201"/>
      <c r="L776" s="201"/>
      <c r="M776" s="201"/>
    </row>
    <row r="777" ht="12.75" customHeight="1">
      <c r="C777" s="201"/>
      <c r="D777" s="201"/>
      <c r="E777" s="201"/>
      <c r="F777" s="201"/>
      <c r="G777" s="201"/>
      <c r="H777" s="201"/>
      <c r="I777" s="201"/>
      <c r="J777" s="201"/>
      <c r="K777" s="201"/>
      <c r="L777" s="201"/>
      <c r="M777" s="201"/>
    </row>
    <row r="778" ht="12.75" customHeight="1">
      <c r="C778" s="201"/>
      <c r="D778" s="201"/>
      <c r="E778" s="201"/>
      <c r="F778" s="201"/>
      <c r="G778" s="201"/>
      <c r="H778" s="201"/>
      <c r="I778" s="201"/>
      <c r="J778" s="201"/>
      <c r="K778" s="201"/>
      <c r="L778" s="201"/>
      <c r="M778" s="201"/>
    </row>
    <row r="779" ht="12.75" customHeight="1">
      <c r="C779" s="201"/>
      <c r="D779" s="201"/>
      <c r="E779" s="201"/>
      <c r="F779" s="201"/>
      <c r="G779" s="201"/>
      <c r="H779" s="201"/>
      <c r="I779" s="201"/>
      <c r="J779" s="201"/>
      <c r="K779" s="201"/>
      <c r="L779" s="201"/>
      <c r="M779" s="201"/>
    </row>
    <row r="780" ht="12.75" customHeight="1">
      <c r="C780" s="201"/>
      <c r="D780" s="201"/>
      <c r="E780" s="201"/>
      <c r="F780" s="201"/>
      <c r="G780" s="201"/>
      <c r="H780" s="201"/>
      <c r="I780" s="201"/>
      <c r="J780" s="201"/>
      <c r="K780" s="201"/>
      <c r="L780" s="201"/>
      <c r="M780" s="201"/>
    </row>
    <row r="781" ht="12.75" customHeight="1">
      <c r="C781" s="201"/>
      <c r="D781" s="201"/>
      <c r="E781" s="201"/>
      <c r="F781" s="201"/>
      <c r="G781" s="201"/>
      <c r="H781" s="201"/>
      <c r="I781" s="201"/>
      <c r="J781" s="201"/>
      <c r="K781" s="201"/>
      <c r="L781" s="201"/>
      <c r="M781" s="201"/>
    </row>
    <row r="782" ht="12.75" customHeight="1">
      <c r="C782" s="201"/>
      <c r="D782" s="201"/>
      <c r="E782" s="201"/>
      <c r="F782" s="201"/>
      <c r="G782" s="201"/>
      <c r="H782" s="201"/>
      <c r="I782" s="201"/>
      <c r="J782" s="201"/>
      <c r="K782" s="201"/>
      <c r="L782" s="201"/>
      <c r="M782" s="201"/>
    </row>
    <row r="783" ht="12.75" customHeight="1">
      <c r="C783" s="201"/>
      <c r="D783" s="201"/>
      <c r="E783" s="201"/>
      <c r="F783" s="201"/>
      <c r="G783" s="201"/>
      <c r="H783" s="201"/>
      <c r="I783" s="201"/>
      <c r="J783" s="201"/>
      <c r="K783" s="201"/>
      <c r="L783" s="201"/>
      <c r="M783" s="201"/>
    </row>
    <row r="784" ht="12.75" customHeight="1">
      <c r="C784" s="201"/>
      <c r="D784" s="201"/>
      <c r="E784" s="201"/>
      <c r="F784" s="201"/>
      <c r="G784" s="201"/>
      <c r="H784" s="201"/>
      <c r="I784" s="201"/>
      <c r="J784" s="201"/>
      <c r="K784" s="201"/>
      <c r="L784" s="201"/>
      <c r="M784" s="201"/>
    </row>
    <row r="785" ht="12.75" customHeight="1">
      <c r="C785" s="201"/>
      <c r="D785" s="201"/>
      <c r="E785" s="201"/>
      <c r="F785" s="201"/>
      <c r="G785" s="201"/>
      <c r="H785" s="201"/>
      <c r="I785" s="201"/>
      <c r="J785" s="201"/>
      <c r="K785" s="201"/>
      <c r="L785" s="201"/>
      <c r="M785" s="201"/>
    </row>
    <row r="786" ht="12.75" customHeight="1">
      <c r="C786" s="201"/>
      <c r="D786" s="201"/>
      <c r="E786" s="201"/>
      <c r="F786" s="201"/>
      <c r="G786" s="201"/>
      <c r="H786" s="201"/>
      <c r="I786" s="201"/>
      <c r="J786" s="201"/>
      <c r="K786" s="201"/>
      <c r="L786" s="201"/>
      <c r="M786" s="201"/>
    </row>
    <row r="787" ht="12.75" customHeight="1">
      <c r="C787" s="201"/>
      <c r="D787" s="201"/>
      <c r="E787" s="201"/>
      <c r="F787" s="201"/>
      <c r="G787" s="201"/>
      <c r="H787" s="201"/>
      <c r="I787" s="201"/>
      <c r="J787" s="201"/>
      <c r="K787" s="201"/>
      <c r="L787" s="201"/>
      <c r="M787" s="201"/>
    </row>
    <row r="788" ht="12.75" customHeight="1">
      <c r="C788" s="201"/>
      <c r="D788" s="201"/>
      <c r="E788" s="201"/>
      <c r="F788" s="201"/>
      <c r="G788" s="201"/>
      <c r="H788" s="201"/>
      <c r="I788" s="201"/>
      <c r="J788" s="201"/>
      <c r="K788" s="201"/>
      <c r="L788" s="201"/>
      <c r="M788" s="201"/>
    </row>
    <row r="789" ht="12.75" customHeight="1">
      <c r="C789" s="201"/>
      <c r="D789" s="201"/>
      <c r="E789" s="201"/>
      <c r="F789" s="201"/>
      <c r="G789" s="201"/>
      <c r="H789" s="201"/>
      <c r="I789" s="201"/>
      <c r="J789" s="201"/>
      <c r="K789" s="201"/>
      <c r="L789" s="201"/>
      <c r="M789" s="201"/>
    </row>
    <row r="790" ht="12.75" customHeight="1">
      <c r="C790" s="201"/>
      <c r="D790" s="201"/>
      <c r="E790" s="201"/>
      <c r="F790" s="201"/>
      <c r="G790" s="201"/>
      <c r="H790" s="201"/>
      <c r="I790" s="201"/>
      <c r="J790" s="201"/>
      <c r="K790" s="201"/>
      <c r="L790" s="201"/>
      <c r="M790" s="201"/>
    </row>
    <row r="791" ht="12.75" customHeight="1">
      <c r="C791" s="201"/>
      <c r="D791" s="201"/>
      <c r="E791" s="201"/>
      <c r="F791" s="201"/>
      <c r="G791" s="201"/>
      <c r="H791" s="201"/>
      <c r="I791" s="201"/>
      <c r="J791" s="201"/>
      <c r="K791" s="201"/>
      <c r="L791" s="201"/>
      <c r="M791" s="201"/>
    </row>
    <row r="792" ht="12.75" customHeight="1">
      <c r="C792" s="201"/>
      <c r="D792" s="201"/>
      <c r="E792" s="201"/>
      <c r="F792" s="201"/>
      <c r="G792" s="201"/>
      <c r="H792" s="201"/>
      <c r="I792" s="201"/>
      <c r="J792" s="201"/>
      <c r="K792" s="201"/>
      <c r="L792" s="201"/>
      <c r="M792" s="201"/>
    </row>
    <row r="793" ht="12.75" customHeight="1">
      <c r="C793" s="201"/>
      <c r="D793" s="201"/>
      <c r="E793" s="201"/>
      <c r="F793" s="201"/>
      <c r="G793" s="201"/>
      <c r="H793" s="201"/>
      <c r="I793" s="201"/>
      <c r="J793" s="201"/>
      <c r="K793" s="201"/>
      <c r="L793" s="201"/>
      <c r="M793" s="201"/>
    </row>
    <row r="794" ht="12.75" customHeight="1">
      <c r="C794" s="201"/>
      <c r="D794" s="201"/>
      <c r="E794" s="201"/>
      <c r="F794" s="201"/>
      <c r="G794" s="201"/>
      <c r="H794" s="201"/>
      <c r="I794" s="201"/>
      <c r="J794" s="201"/>
      <c r="K794" s="201"/>
      <c r="L794" s="201"/>
      <c r="M794" s="201"/>
    </row>
    <row r="795" ht="12.75" customHeight="1">
      <c r="C795" s="201"/>
      <c r="D795" s="201"/>
      <c r="E795" s="201"/>
      <c r="F795" s="201"/>
      <c r="G795" s="201"/>
      <c r="H795" s="201"/>
      <c r="I795" s="201"/>
      <c r="J795" s="201"/>
      <c r="K795" s="201"/>
      <c r="L795" s="201"/>
      <c r="M795" s="201"/>
    </row>
    <row r="796" ht="12.75" customHeight="1">
      <c r="C796" s="201"/>
      <c r="D796" s="201"/>
      <c r="E796" s="201"/>
      <c r="F796" s="201"/>
      <c r="G796" s="201"/>
      <c r="H796" s="201"/>
      <c r="I796" s="201"/>
      <c r="J796" s="201"/>
      <c r="K796" s="201"/>
      <c r="L796" s="201"/>
      <c r="M796" s="201"/>
    </row>
    <row r="797" ht="12.75" customHeight="1">
      <c r="C797" s="201"/>
      <c r="D797" s="201"/>
      <c r="E797" s="201"/>
      <c r="F797" s="201"/>
      <c r="G797" s="201"/>
      <c r="H797" s="201"/>
      <c r="I797" s="201"/>
      <c r="J797" s="201"/>
      <c r="K797" s="201"/>
      <c r="L797" s="201"/>
      <c r="M797" s="201"/>
    </row>
    <row r="798" ht="12.75" customHeight="1">
      <c r="C798" s="201"/>
      <c r="D798" s="201"/>
      <c r="E798" s="201"/>
      <c r="F798" s="201"/>
      <c r="G798" s="201"/>
      <c r="H798" s="201"/>
      <c r="I798" s="201"/>
      <c r="J798" s="201"/>
      <c r="K798" s="201"/>
      <c r="L798" s="201"/>
      <c r="M798" s="201"/>
    </row>
    <row r="799" ht="12.75" customHeight="1">
      <c r="C799" s="201"/>
      <c r="D799" s="201"/>
      <c r="E799" s="201"/>
      <c r="F799" s="201"/>
      <c r="G799" s="201"/>
      <c r="H799" s="201"/>
      <c r="I799" s="201"/>
      <c r="J799" s="201"/>
      <c r="K799" s="201"/>
      <c r="L799" s="201"/>
      <c r="M799" s="201"/>
    </row>
    <row r="800" ht="12.75" customHeight="1">
      <c r="C800" s="201"/>
      <c r="D800" s="201"/>
      <c r="E800" s="201"/>
      <c r="F800" s="201"/>
      <c r="G800" s="201"/>
      <c r="H800" s="201"/>
      <c r="I800" s="201"/>
      <c r="J800" s="201"/>
      <c r="K800" s="201"/>
      <c r="L800" s="201"/>
      <c r="M800" s="201"/>
    </row>
    <row r="801" ht="12.75" customHeight="1">
      <c r="C801" s="201"/>
      <c r="D801" s="201"/>
      <c r="E801" s="201"/>
      <c r="F801" s="201"/>
      <c r="G801" s="201"/>
      <c r="H801" s="201"/>
      <c r="I801" s="201"/>
      <c r="J801" s="201"/>
      <c r="K801" s="201"/>
      <c r="L801" s="201"/>
      <c r="M801" s="201"/>
    </row>
    <row r="802" ht="12.75" customHeight="1">
      <c r="C802" s="201"/>
      <c r="D802" s="201"/>
      <c r="E802" s="201"/>
      <c r="F802" s="201"/>
      <c r="G802" s="201"/>
      <c r="H802" s="201"/>
      <c r="I802" s="201"/>
      <c r="J802" s="201"/>
      <c r="K802" s="201"/>
      <c r="L802" s="201"/>
      <c r="M802" s="201"/>
    </row>
    <row r="803" ht="12.75" customHeight="1">
      <c r="C803" s="201"/>
      <c r="D803" s="201"/>
      <c r="E803" s="201"/>
      <c r="F803" s="201"/>
      <c r="G803" s="201"/>
      <c r="H803" s="201"/>
      <c r="I803" s="201"/>
      <c r="J803" s="201"/>
      <c r="K803" s="201"/>
      <c r="L803" s="201"/>
      <c r="M803" s="201"/>
    </row>
    <row r="804" ht="12.75" customHeight="1">
      <c r="C804" s="201"/>
      <c r="D804" s="201"/>
      <c r="E804" s="201"/>
      <c r="F804" s="201"/>
      <c r="G804" s="201"/>
      <c r="H804" s="201"/>
      <c r="I804" s="201"/>
      <c r="J804" s="201"/>
      <c r="K804" s="201"/>
      <c r="L804" s="201"/>
      <c r="M804" s="201"/>
    </row>
    <row r="805" ht="12.75" customHeight="1">
      <c r="C805" s="201"/>
      <c r="D805" s="201"/>
      <c r="E805" s="201"/>
      <c r="F805" s="201"/>
      <c r="G805" s="201"/>
      <c r="H805" s="201"/>
      <c r="I805" s="201"/>
      <c r="J805" s="201"/>
      <c r="K805" s="201"/>
      <c r="L805" s="201"/>
      <c r="M805" s="201"/>
    </row>
    <row r="806" ht="12.75" customHeight="1">
      <c r="C806" s="201"/>
      <c r="D806" s="201"/>
      <c r="E806" s="201"/>
      <c r="F806" s="201"/>
      <c r="G806" s="201"/>
      <c r="H806" s="201"/>
      <c r="I806" s="201"/>
      <c r="J806" s="201"/>
      <c r="K806" s="201"/>
      <c r="L806" s="201"/>
      <c r="M806" s="201"/>
    </row>
    <row r="807" ht="12.75" customHeight="1">
      <c r="C807" s="201"/>
      <c r="D807" s="201"/>
      <c r="E807" s="201"/>
      <c r="F807" s="201"/>
      <c r="G807" s="201"/>
      <c r="H807" s="201"/>
      <c r="I807" s="201"/>
      <c r="J807" s="201"/>
      <c r="K807" s="201"/>
      <c r="L807" s="201"/>
      <c r="M807" s="201"/>
    </row>
    <row r="808" ht="12.75" customHeight="1">
      <c r="C808" s="201"/>
      <c r="D808" s="201"/>
      <c r="E808" s="201"/>
      <c r="F808" s="201"/>
      <c r="G808" s="201"/>
      <c r="H808" s="201"/>
      <c r="I808" s="201"/>
      <c r="J808" s="201"/>
      <c r="K808" s="201"/>
      <c r="L808" s="201"/>
      <c r="M808" s="201"/>
    </row>
    <row r="809" ht="12.75" customHeight="1">
      <c r="C809" s="201"/>
      <c r="D809" s="201"/>
      <c r="E809" s="201"/>
      <c r="F809" s="201"/>
      <c r="G809" s="201"/>
      <c r="H809" s="201"/>
      <c r="I809" s="201"/>
      <c r="J809" s="201"/>
      <c r="K809" s="201"/>
      <c r="L809" s="201"/>
      <c r="M809" s="201"/>
    </row>
    <row r="810" ht="12.75" customHeight="1">
      <c r="C810" s="201"/>
      <c r="D810" s="201"/>
      <c r="E810" s="201"/>
      <c r="F810" s="201"/>
      <c r="G810" s="201"/>
      <c r="H810" s="201"/>
      <c r="I810" s="201"/>
      <c r="J810" s="201"/>
      <c r="K810" s="201"/>
      <c r="L810" s="201"/>
      <c r="M810" s="201"/>
    </row>
    <row r="811" ht="12.75" customHeight="1">
      <c r="C811" s="201"/>
      <c r="D811" s="201"/>
      <c r="E811" s="201"/>
      <c r="F811" s="201"/>
      <c r="G811" s="201"/>
      <c r="H811" s="201"/>
      <c r="I811" s="201"/>
      <c r="J811" s="201"/>
      <c r="K811" s="201"/>
      <c r="L811" s="201"/>
      <c r="M811" s="201"/>
    </row>
    <row r="812" ht="12.75" customHeight="1">
      <c r="C812" s="201"/>
      <c r="D812" s="201"/>
      <c r="E812" s="201"/>
      <c r="F812" s="201"/>
      <c r="G812" s="201"/>
      <c r="H812" s="201"/>
      <c r="I812" s="201"/>
      <c r="J812" s="201"/>
      <c r="K812" s="201"/>
      <c r="L812" s="201"/>
      <c r="M812" s="201"/>
    </row>
    <row r="813" ht="12.75" customHeight="1">
      <c r="C813" s="201"/>
      <c r="D813" s="201"/>
      <c r="E813" s="201"/>
      <c r="F813" s="201"/>
      <c r="G813" s="201"/>
      <c r="H813" s="201"/>
      <c r="I813" s="201"/>
      <c r="J813" s="201"/>
      <c r="K813" s="201"/>
      <c r="L813" s="201"/>
      <c r="M813" s="201"/>
    </row>
    <row r="814" ht="12.75" customHeight="1">
      <c r="C814" s="201"/>
      <c r="D814" s="201"/>
      <c r="E814" s="201"/>
      <c r="F814" s="201"/>
      <c r="G814" s="201"/>
      <c r="H814" s="201"/>
      <c r="I814" s="201"/>
      <c r="J814" s="201"/>
      <c r="K814" s="201"/>
      <c r="L814" s="201"/>
      <c r="M814" s="201"/>
    </row>
    <row r="815" ht="12.75" customHeight="1">
      <c r="C815" s="201"/>
      <c r="D815" s="201"/>
      <c r="E815" s="201"/>
      <c r="F815" s="201"/>
      <c r="G815" s="201"/>
      <c r="H815" s="201"/>
      <c r="I815" s="201"/>
      <c r="J815" s="201"/>
      <c r="K815" s="201"/>
      <c r="L815" s="201"/>
      <c r="M815" s="201"/>
    </row>
    <row r="816" ht="12.75" customHeight="1">
      <c r="C816" s="201"/>
      <c r="D816" s="201"/>
      <c r="E816" s="201"/>
      <c r="F816" s="201"/>
      <c r="G816" s="201"/>
      <c r="H816" s="201"/>
      <c r="I816" s="201"/>
      <c r="J816" s="201"/>
      <c r="K816" s="201"/>
      <c r="L816" s="201"/>
      <c r="M816" s="201"/>
    </row>
    <row r="817" ht="12.75" customHeight="1">
      <c r="C817" s="201"/>
      <c r="D817" s="201"/>
      <c r="E817" s="201"/>
      <c r="F817" s="201"/>
      <c r="G817" s="201"/>
      <c r="H817" s="201"/>
      <c r="I817" s="201"/>
      <c r="J817" s="201"/>
      <c r="K817" s="201"/>
      <c r="L817" s="201"/>
      <c r="M817" s="201"/>
    </row>
    <row r="818" ht="12.75" customHeight="1">
      <c r="C818" s="201"/>
      <c r="D818" s="201"/>
      <c r="E818" s="201"/>
      <c r="F818" s="201"/>
      <c r="G818" s="201"/>
      <c r="H818" s="201"/>
      <c r="I818" s="201"/>
      <c r="J818" s="201"/>
      <c r="K818" s="201"/>
      <c r="L818" s="201"/>
      <c r="M818" s="201"/>
    </row>
    <row r="819" ht="12.75" customHeight="1">
      <c r="C819" s="201"/>
      <c r="D819" s="201"/>
      <c r="E819" s="201"/>
      <c r="F819" s="201"/>
      <c r="G819" s="201"/>
      <c r="H819" s="201"/>
      <c r="I819" s="201"/>
      <c r="J819" s="201"/>
      <c r="K819" s="201"/>
      <c r="L819" s="201"/>
      <c r="M819" s="201"/>
    </row>
    <row r="820" ht="12.75" customHeight="1">
      <c r="C820" s="201"/>
      <c r="D820" s="201"/>
      <c r="E820" s="201"/>
      <c r="F820" s="201"/>
      <c r="G820" s="201"/>
      <c r="H820" s="201"/>
      <c r="I820" s="201"/>
      <c r="J820" s="201"/>
      <c r="K820" s="201"/>
      <c r="L820" s="201"/>
      <c r="M820" s="201"/>
    </row>
    <row r="821" ht="12.75" customHeight="1">
      <c r="C821" s="201"/>
      <c r="D821" s="201"/>
      <c r="E821" s="201"/>
      <c r="F821" s="201"/>
      <c r="G821" s="201"/>
      <c r="H821" s="201"/>
      <c r="I821" s="201"/>
      <c r="J821" s="201"/>
      <c r="K821" s="201"/>
      <c r="L821" s="201"/>
      <c r="M821" s="201"/>
    </row>
    <row r="822" ht="12.75" customHeight="1">
      <c r="C822" s="201"/>
      <c r="D822" s="201"/>
      <c r="E822" s="201"/>
      <c r="F822" s="201"/>
      <c r="G822" s="201"/>
      <c r="H822" s="201"/>
      <c r="I822" s="201"/>
      <c r="J822" s="201"/>
      <c r="K822" s="201"/>
      <c r="L822" s="201"/>
      <c r="M822" s="201"/>
    </row>
    <row r="823" ht="12.75" customHeight="1">
      <c r="C823" s="201"/>
      <c r="D823" s="201"/>
      <c r="E823" s="201"/>
      <c r="F823" s="201"/>
      <c r="G823" s="201"/>
      <c r="H823" s="201"/>
      <c r="I823" s="201"/>
      <c r="J823" s="201"/>
      <c r="K823" s="201"/>
      <c r="L823" s="201"/>
      <c r="M823" s="201"/>
    </row>
    <row r="824" ht="12.75" customHeight="1">
      <c r="C824" s="201"/>
      <c r="D824" s="201"/>
      <c r="E824" s="201"/>
      <c r="F824" s="201"/>
      <c r="G824" s="201"/>
      <c r="H824" s="201"/>
      <c r="I824" s="201"/>
      <c r="J824" s="201"/>
      <c r="K824" s="201"/>
      <c r="L824" s="201"/>
      <c r="M824" s="201"/>
    </row>
    <row r="825" ht="12.75" customHeight="1">
      <c r="C825" s="201"/>
      <c r="D825" s="201"/>
      <c r="E825" s="201"/>
      <c r="F825" s="201"/>
      <c r="G825" s="201"/>
      <c r="H825" s="201"/>
      <c r="I825" s="201"/>
      <c r="J825" s="201"/>
      <c r="K825" s="201"/>
      <c r="L825" s="201"/>
      <c r="M825" s="201"/>
    </row>
    <row r="826" ht="12.75" customHeight="1">
      <c r="C826" s="201"/>
      <c r="D826" s="201"/>
      <c r="E826" s="201"/>
      <c r="F826" s="201"/>
      <c r="G826" s="201"/>
      <c r="H826" s="201"/>
      <c r="I826" s="201"/>
      <c r="J826" s="201"/>
      <c r="K826" s="201"/>
      <c r="L826" s="201"/>
      <c r="M826" s="201"/>
    </row>
    <row r="827" ht="12.75" customHeight="1">
      <c r="C827" s="201"/>
      <c r="D827" s="201"/>
      <c r="E827" s="201"/>
      <c r="F827" s="201"/>
      <c r="G827" s="201"/>
      <c r="H827" s="201"/>
      <c r="I827" s="201"/>
      <c r="J827" s="201"/>
      <c r="K827" s="201"/>
      <c r="L827" s="201"/>
      <c r="M827" s="201"/>
    </row>
    <row r="828" ht="12.75" customHeight="1">
      <c r="C828" s="201"/>
      <c r="D828" s="201"/>
      <c r="E828" s="201"/>
      <c r="F828" s="201"/>
      <c r="G828" s="201"/>
      <c r="H828" s="201"/>
      <c r="I828" s="201"/>
      <c r="J828" s="201"/>
      <c r="K828" s="201"/>
      <c r="L828" s="201"/>
      <c r="M828" s="201"/>
    </row>
    <row r="829" ht="12.75" customHeight="1">
      <c r="C829" s="201"/>
      <c r="D829" s="201"/>
      <c r="E829" s="201"/>
      <c r="F829" s="201"/>
      <c r="G829" s="201"/>
      <c r="H829" s="201"/>
      <c r="I829" s="201"/>
      <c r="J829" s="201"/>
      <c r="K829" s="201"/>
      <c r="L829" s="201"/>
      <c r="M829" s="201"/>
    </row>
    <row r="830" ht="12.75" customHeight="1">
      <c r="C830" s="201"/>
      <c r="D830" s="201"/>
      <c r="E830" s="201"/>
      <c r="F830" s="201"/>
      <c r="G830" s="201"/>
      <c r="H830" s="201"/>
      <c r="I830" s="201"/>
      <c r="J830" s="201"/>
      <c r="K830" s="201"/>
      <c r="L830" s="201"/>
      <c r="M830" s="201"/>
    </row>
    <row r="831" ht="12.75" customHeight="1">
      <c r="C831" s="201"/>
      <c r="D831" s="201"/>
      <c r="E831" s="201"/>
      <c r="F831" s="201"/>
      <c r="G831" s="201"/>
      <c r="H831" s="201"/>
      <c r="I831" s="201"/>
      <c r="J831" s="201"/>
      <c r="K831" s="201"/>
      <c r="L831" s="201"/>
      <c r="M831" s="201"/>
    </row>
    <row r="832" ht="12.75" customHeight="1">
      <c r="C832" s="201"/>
      <c r="D832" s="201"/>
      <c r="E832" s="201"/>
      <c r="F832" s="201"/>
      <c r="G832" s="201"/>
      <c r="H832" s="201"/>
      <c r="I832" s="201"/>
      <c r="J832" s="201"/>
      <c r="K832" s="201"/>
      <c r="L832" s="201"/>
      <c r="M832" s="201"/>
    </row>
    <row r="833" ht="12.75" customHeight="1">
      <c r="C833" s="201"/>
      <c r="D833" s="201"/>
      <c r="E833" s="201"/>
      <c r="F833" s="201"/>
      <c r="G833" s="201"/>
      <c r="H833" s="201"/>
      <c r="I833" s="201"/>
      <c r="J833" s="201"/>
      <c r="K833" s="201"/>
      <c r="L833" s="201"/>
      <c r="M833" s="201"/>
    </row>
    <row r="834" ht="12.75" customHeight="1">
      <c r="C834" s="201"/>
      <c r="D834" s="201"/>
      <c r="E834" s="201"/>
      <c r="F834" s="201"/>
      <c r="G834" s="201"/>
      <c r="H834" s="201"/>
      <c r="I834" s="201"/>
      <c r="J834" s="201"/>
      <c r="K834" s="201"/>
      <c r="L834" s="201"/>
      <c r="M834" s="201"/>
    </row>
    <row r="835" ht="12.75" customHeight="1">
      <c r="C835" s="201"/>
      <c r="D835" s="201"/>
      <c r="E835" s="201"/>
      <c r="F835" s="201"/>
      <c r="G835" s="201"/>
      <c r="H835" s="201"/>
      <c r="I835" s="201"/>
      <c r="J835" s="201"/>
      <c r="K835" s="201"/>
      <c r="L835" s="201"/>
      <c r="M835" s="201"/>
    </row>
    <row r="836" ht="12.75" customHeight="1">
      <c r="C836" s="201"/>
      <c r="D836" s="201"/>
      <c r="E836" s="201"/>
      <c r="F836" s="201"/>
      <c r="G836" s="201"/>
      <c r="H836" s="201"/>
      <c r="I836" s="201"/>
      <c r="J836" s="201"/>
      <c r="K836" s="201"/>
      <c r="L836" s="201"/>
      <c r="M836" s="201"/>
    </row>
    <row r="837" ht="12.75" customHeight="1">
      <c r="C837" s="201"/>
      <c r="D837" s="201"/>
      <c r="E837" s="201"/>
      <c r="F837" s="201"/>
      <c r="G837" s="201"/>
      <c r="H837" s="201"/>
      <c r="I837" s="201"/>
      <c r="J837" s="201"/>
      <c r="K837" s="201"/>
      <c r="L837" s="201"/>
      <c r="M837" s="201"/>
    </row>
    <row r="838" ht="12.75" customHeight="1">
      <c r="C838" s="201"/>
      <c r="D838" s="201"/>
      <c r="E838" s="201"/>
      <c r="F838" s="201"/>
      <c r="G838" s="201"/>
      <c r="H838" s="201"/>
      <c r="I838" s="201"/>
      <c r="J838" s="201"/>
      <c r="K838" s="201"/>
      <c r="L838" s="201"/>
      <c r="M838" s="201"/>
    </row>
    <row r="839" ht="12.75" customHeight="1">
      <c r="C839" s="201"/>
      <c r="D839" s="201"/>
      <c r="E839" s="201"/>
      <c r="F839" s="201"/>
      <c r="G839" s="201"/>
      <c r="H839" s="201"/>
      <c r="I839" s="201"/>
      <c r="J839" s="201"/>
      <c r="K839" s="201"/>
      <c r="L839" s="201"/>
      <c r="M839" s="201"/>
    </row>
    <row r="840" ht="12.75" customHeight="1">
      <c r="C840" s="201"/>
      <c r="D840" s="201"/>
      <c r="E840" s="201"/>
      <c r="F840" s="201"/>
      <c r="G840" s="201"/>
      <c r="H840" s="201"/>
      <c r="I840" s="201"/>
      <c r="J840" s="201"/>
      <c r="K840" s="201"/>
      <c r="L840" s="201"/>
      <c r="M840" s="201"/>
    </row>
    <row r="841" ht="12.75" customHeight="1">
      <c r="C841" s="201"/>
      <c r="D841" s="201"/>
      <c r="E841" s="201"/>
      <c r="F841" s="201"/>
      <c r="G841" s="201"/>
      <c r="H841" s="201"/>
      <c r="I841" s="201"/>
      <c r="J841" s="201"/>
      <c r="K841" s="201"/>
      <c r="L841" s="201"/>
      <c r="M841" s="201"/>
    </row>
    <row r="842" ht="12.75" customHeight="1">
      <c r="C842" s="201"/>
      <c r="D842" s="201"/>
      <c r="E842" s="201"/>
      <c r="F842" s="201"/>
      <c r="G842" s="201"/>
      <c r="H842" s="201"/>
      <c r="I842" s="201"/>
      <c r="J842" s="201"/>
      <c r="K842" s="201"/>
      <c r="L842" s="201"/>
      <c r="M842" s="201"/>
    </row>
    <row r="843" ht="12.75" customHeight="1">
      <c r="C843" s="201"/>
      <c r="D843" s="201"/>
      <c r="E843" s="201"/>
      <c r="F843" s="201"/>
      <c r="G843" s="201"/>
      <c r="H843" s="201"/>
      <c r="I843" s="201"/>
      <c r="J843" s="201"/>
      <c r="K843" s="201"/>
      <c r="L843" s="201"/>
      <c r="M843" s="201"/>
    </row>
    <row r="844" ht="12.75" customHeight="1">
      <c r="C844" s="201"/>
      <c r="D844" s="201"/>
      <c r="E844" s="201"/>
      <c r="F844" s="201"/>
      <c r="G844" s="201"/>
      <c r="H844" s="201"/>
      <c r="I844" s="201"/>
      <c r="J844" s="201"/>
      <c r="K844" s="201"/>
      <c r="L844" s="201"/>
      <c r="M844" s="201"/>
    </row>
    <row r="845" ht="12.75" customHeight="1">
      <c r="C845" s="201"/>
      <c r="D845" s="201"/>
      <c r="E845" s="201"/>
      <c r="F845" s="201"/>
      <c r="G845" s="201"/>
      <c r="H845" s="201"/>
      <c r="I845" s="201"/>
      <c r="J845" s="201"/>
      <c r="K845" s="201"/>
      <c r="L845" s="201"/>
      <c r="M845" s="201"/>
    </row>
    <row r="846" ht="12.75" customHeight="1">
      <c r="C846" s="201"/>
      <c r="D846" s="201"/>
      <c r="E846" s="201"/>
      <c r="F846" s="201"/>
      <c r="G846" s="201"/>
      <c r="H846" s="201"/>
      <c r="I846" s="201"/>
      <c r="J846" s="201"/>
      <c r="K846" s="201"/>
      <c r="L846" s="201"/>
      <c r="M846" s="201"/>
    </row>
    <row r="847" ht="12.75" customHeight="1">
      <c r="C847" s="201"/>
      <c r="D847" s="201"/>
      <c r="E847" s="201"/>
      <c r="F847" s="201"/>
      <c r="G847" s="201"/>
      <c r="H847" s="201"/>
      <c r="I847" s="201"/>
      <c r="J847" s="201"/>
      <c r="K847" s="201"/>
      <c r="L847" s="201"/>
      <c r="M847" s="201"/>
    </row>
    <row r="848" ht="12.75" customHeight="1">
      <c r="C848" s="201"/>
      <c r="D848" s="201"/>
      <c r="E848" s="201"/>
      <c r="F848" s="201"/>
      <c r="G848" s="201"/>
      <c r="H848" s="201"/>
      <c r="I848" s="201"/>
      <c r="J848" s="201"/>
      <c r="K848" s="201"/>
      <c r="L848" s="201"/>
      <c r="M848" s="201"/>
    </row>
    <row r="849" ht="12.75" customHeight="1">
      <c r="C849" s="201"/>
      <c r="D849" s="201"/>
      <c r="E849" s="201"/>
      <c r="F849" s="201"/>
      <c r="G849" s="201"/>
      <c r="H849" s="201"/>
      <c r="I849" s="201"/>
      <c r="J849" s="201"/>
      <c r="K849" s="201"/>
      <c r="L849" s="201"/>
      <c r="M849" s="201"/>
    </row>
    <row r="850" ht="12.75" customHeight="1">
      <c r="C850" s="201"/>
      <c r="D850" s="201"/>
      <c r="E850" s="201"/>
      <c r="F850" s="201"/>
      <c r="G850" s="201"/>
      <c r="H850" s="201"/>
      <c r="I850" s="201"/>
      <c r="J850" s="201"/>
      <c r="K850" s="201"/>
      <c r="L850" s="201"/>
      <c r="M850" s="201"/>
    </row>
    <row r="851" ht="12.75" customHeight="1">
      <c r="C851" s="201"/>
      <c r="D851" s="201"/>
      <c r="E851" s="201"/>
      <c r="F851" s="201"/>
      <c r="G851" s="201"/>
      <c r="H851" s="201"/>
      <c r="I851" s="201"/>
      <c r="J851" s="201"/>
      <c r="K851" s="201"/>
      <c r="L851" s="201"/>
      <c r="M851" s="201"/>
    </row>
    <row r="852" ht="12.75" customHeight="1">
      <c r="C852" s="201"/>
      <c r="D852" s="201"/>
      <c r="E852" s="201"/>
      <c r="F852" s="201"/>
      <c r="G852" s="201"/>
      <c r="H852" s="201"/>
      <c r="I852" s="201"/>
      <c r="J852" s="201"/>
      <c r="K852" s="201"/>
      <c r="L852" s="201"/>
      <c r="M852" s="201"/>
    </row>
    <row r="853" ht="12.75" customHeight="1">
      <c r="C853" s="201"/>
      <c r="D853" s="201"/>
      <c r="E853" s="201"/>
      <c r="F853" s="201"/>
      <c r="G853" s="201"/>
      <c r="H853" s="201"/>
      <c r="I853" s="201"/>
      <c r="J853" s="201"/>
      <c r="K853" s="201"/>
      <c r="L853" s="201"/>
      <c r="M853" s="201"/>
    </row>
    <row r="854" ht="12.75" customHeight="1">
      <c r="C854" s="201"/>
      <c r="D854" s="201"/>
      <c r="E854" s="201"/>
      <c r="F854" s="201"/>
      <c r="G854" s="201"/>
      <c r="H854" s="201"/>
      <c r="I854" s="201"/>
      <c r="J854" s="201"/>
      <c r="K854" s="201"/>
      <c r="L854" s="201"/>
      <c r="M854" s="201"/>
    </row>
    <row r="855" ht="12.75" customHeight="1">
      <c r="C855" s="201"/>
      <c r="D855" s="201"/>
      <c r="E855" s="201"/>
      <c r="F855" s="201"/>
      <c r="G855" s="201"/>
      <c r="H855" s="201"/>
      <c r="I855" s="201"/>
      <c r="J855" s="201"/>
      <c r="K855" s="201"/>
      <c r="L855" s="201"/>
      <c r="M855" s="201"/>
    </row>
    <row r="856" ht="12.75" customHeight="1">
      <c r="C856" s="201"/>
      <c r="D856" s="201"/>
      <c r="E856" s="201"/>
      <c r="F856" s="201"/>
      <c r="G856" s="201"/>
      <c r="H856" s="201"/>
      <c r="I856" s="201"/>
      <c r="J856" s="201"/>
      <c r="K856" s="201"/>
      <c r="L856" s="201"/>
      <c r="M856" s="201"/>
    </row>
    <row r="857" ht="12.75" customHeight="1">
      <c r="C857" s="201"/>
      <c r="D857" s="201"/>
      <c r="E857" s="201"/>
      <c r="F857" s="201"/>
      <c r="G857" s="201"/>
      <c r="H857" s="201"/>
      <c r="I857" s="201"/>
      <c r="J857" s="201"/>
      <c r="K857" s="201"/>
      <c r="L857" s="201"/>
      <c r="M857" s="201"/>
    </row>
    <row r="858" ht="12.75" customHeight="1">
      <c r="C858" s="201"/>
      <c r="D858" s="201"/>
      <c r="E858" s="201"/>
      <c r="F858" s="201"/>
      <c r="G858" s="201"/>
      <c r="H858" s="201"/>
      <c r="I858" s="201"/>
      <c r="J858" s="201"/>
      <c r="K858" s="201"/>
      <c r="L858" s="201"/>
      <c r="M858" s="201"/>
    </row>
    <row r="859" ht="12.75" customHeight="1">
      <c r="C859" s="201"/>
      <c r="D859" s="201"/>
      <c r="E859" s="201"/>
      <c r="F859" s="201"/>
      <c r="G859" s="201"/>
      <c r="H859" s="201"/>
      <c r="I859" s="201"/>
      <c r="J859" s="201"/>
      <c r="K859" s="201"/>
      <c r="L859" s="201"/>
      <c r="M859" s="201"/>
    </row>
    <row r="860" ht="12.75" customHeight="1">
      <c r="C860" s="201"/>
      <c r="D860" s="201"/>
      <c r="E860" s="201"/>
      <c r="F860" s="201"/>
      <c r="G860" s="201"/>
      <c r="H860" s="201"/>
      <c r="I860" s="201"/>
      <c r="J860" s="201"/>
      <c r="K860" s="201"/>
      <c r="L860" s="201"/>
      <c r="M860" s="201"/>
    </row>
    <row r="861" ht="12.75" customHeight="1">
      <c r="C861" s="201"/>
      <c r="D861" s="201"/>
      <c r="E861" s="201"/>
      <c r="F861" s="201"/>
      <c r="G861" s="201"/>
      <c r="H861" s="201"/>
      <c r="I861" s="201"/>
      <c r="J861" s="201"/>
      <c r="K861" s="201"/>
      <c r="L861" s="201"/>
      <c r="M861" s="201"/>
    </row>
    <row r="862" ht="12.75" customHeight="1">
      <c r="C862" s="201"/>
      <c r="D862" s="201"/>
      <c r="E862" s="201"/>
      <c r="F862" s="201"/>
      <c r="G862" s="201"/>
      <c r="H862" s="201"/>
      <c r="I862" s="201"/>
      <c r="J862" s="201"/>
      <c r="K862" s="201"/>
      <c r="L862" s="201"/>
      <c r="M862" s="201"/>
    </row>
    <row r="863" ht="12.75" customHeight="1">
      <c r="C863" s="201"/>
      <c r="D863" s="201"/>
      <c r="E863" s="201"/>
      <c r="F863" s="201"/>
      <c r="G863" s="201"/>
      <c r="H863" s="201"/>
      <c r="I863" s="201"/>
      <c r="J863" s="201"/>
      <c r="K863" s="201"/>
      <c r="L863" s="201"/>
      <c r="M863" s="201"/>
    </row>
    <row r="864" ht="12.75" customHeight="1">
      <c r="C864" s="201"/>
      <c r="D864" s="201"/>
      <c r="E864" s="201"/>
      <c r="F864" s="201"/>
      <c r="G864" s="201"/>
      <c r="H864" s="201"/>
      <c r="I864" s="201"/>
      <c r="J864" s="201"/>
      <c r="K864" s="201"/>
      <c r="L864" s="201"/>
      <c r="M864" s="201"/>
    </row>
    <row r="865" ht="12.75" customHeight="1">
      <c r="C865" s="201"/>
      <c r="D865" s="201"/>
      <c r="E865" s="201"/>
      <c r="F865" s="201"/>
      <c r="G865" s="201"/>
      <c r="H865" s="201"/>
      <c r="I865" s="201"/>
      <c r="J865" s="201"/>
      <c r="K865" s="201"/>
      <c r="L865" s="201"/>
      <c r="M865" s="201"/>
    </row>
    <row r="866" ht="12.75" customHeight="1">
      <c r="C866" s="201"/>
      <c r="D866" s="201"/>
      <c r="E866" s="201"/>
      <c r="F866" s="201"/>
      <c r="G866" s="201"/>
      <c r="H866" s="201"/>
      <c r="I866" s="201"/>
      <c r="J866" s="201"/>
      <c r="K866" s="201"/>
      <c r="L866" s="201"/>
      <c r="M866" s="201"/>
    </row>
    <row r="867" ht="12.75" customHeight="1">
      <c r="C867" s="201"/>
      <c r="D867" s="201"/>
      <c r="E867" s="201"/>
      <c r="F867" s="201"/>
      <c r="G867" s="201"/>
      <c r="H867" s="201"/>
      <c r="I867" s="201"/>
      <c r="J867" s="201"/>
      <c r="K867" s="201"/>
      <c r="L867" s="201"/>
      <c r="M867" s="201"/>
    </row>
    <row r="868" ht="12.75" customHeight="1">
      <c r="C868" s="201"/>
      <c r="D868" s="201"/>
      <c r="E868" s="201"/>
      <c r="F868" s="201"/>
      <c r="G868" s="201"/>
      <c r="H868" s="201"/>
      <c r="I868" s="201"/>
      <c r="J868" s="201"/>
      <c r="K868" s="201"/>
      <c r="L868" s="201"/>
      <c r="M868" s="201"/>
    </row>
    <row r="869" ht="12.75" customHeight="1">
      <c r="C869" s="201"/>
      <c r="D869" s="201"/>
      <c r="E869" s="201"/>
      <c r="F869" s="201"/>
      <c r="G869" s="201"/>
      <c r="H869" s="201"/>
      <c r="I869" s="201"/>
      <c r="J869" s="201"/>
      <c r="K869" s="201"/>
      <c r="L869" s="201"/>
      <c r="M869" s="201"/>
    </row>
    <row r="870" ht="12.75" customHeight="1">
      <c r="C870" s="201"/>
      <c r="D870" s="201"/>
      <c r="E870" s="201"/>
      <c r="F870" s="201"/>
      <c r="G870" s="201"/>
      <c r="H870" s="201"/>
      <c r="I870" s="201"/>
      <c r="J870" s="201"/>
      <c r="K870" s="201"/>
      <c r="L870" s="201"/>
      <c r="M870" s="201"/>
    </row>
    <row r="871" ht="12.75" customHeight="1">
      <c r="C871" s="201"/>
      <c r="D871" s="201"/>
      <c r="E871" s="201"/>
      <c r="F871" s="201"/>
      <c r="G871" s="201"/>
      <c r="H871" s="201"/>
      <c r="I871" s="201"/>
      <c r="J871" s="201"/>
      <c r="K871" s="201"/>
      <c r="L871" s="201"/>
      <c r="M871" s="201"/>
    </row>
    <row r="872" ht="12.75" customHeight="1">
      <c r="C872" s="201"/>
      <c r="D872" s="201"/>
      <c r="E872" s="201"/>
      <c r="F872" s="201"/>
      <c r="G872" s="201"/>
      <c r="H872" s="201"/>
      <c r="I872" s="201"/>
      <c r="J872" s="201"/>
      <c r="K872" s="201"/>
      <c r="L872" s="201"/>
      <c r="M872" s="201"/>
    </row>
    <row r="873" ht="12.75" customHeight="1">
      <c r="C873" s="201"/>
      <c r="D873" s="201"/>
      <c r="E873" s="201"/>
      <c r="F873" s="201"/>
      <c r="G873" s="201"/>
      <c r="H873" s="201"/>
      <c r="I873" s="201"/>
      <c r="J873" s="201"/>
      <c r="K873" s="201"/>
      <c r="L873" s="201"/>
      <c r="M873" s="201"/>
    </row>
    <row r="874" ht="12.75" customHeight="1">
      <c r="C874" s="201"/>
      <c r="D874" s="201"/>
      <c r="E874" s="201"/>
      <c r="F874" s="201"/>
      <c r="G874" s="201"/>
      <c r="H874" s="201"/>
      <c r="I874" s="201"/>
      <c r="J874" s="201"/>
      <c r="K874" s="201"/>
      <c r="L874" s="201"/>
      <c r="M874" s="201"/>
    </row>
    <row r="875" ht="12.75" customHeight="1">
      <c r="C875" s="201"/>
      <c r="D875" s="201"/>
      <c r="E875" s="201"/>
      <c r="F875" s="201"/>
      <c r="G875" s="201"/>
      <c r="H875" s="201"/>
      <c r="I875" s="201"/>
      <c r="J875" s="201"/>
      <c r="K875" s="201"/>
      <c r="L875" s="201"/>
      <c r="M875" s="201"/>
    </row>
    <row r="876" ht="12.75" customHeight="1">
      <c r="C876" s="201"/>
      <c r="D876" s="201"/>
      <c r="E876" s="201"/>
      <c r="F876" s="201"/>
      <c r="G876" s="201"/>
      <c r="H876" s="201"/>
      <c r="I876" s="201"/>
      <c r="J876" s="201"/>
      <c r="K876" s="201"/>
      <c r="L876" s="201"/>
      <c r="M876" s="201"/>
    </row>
    <row r="877" ht="12.75" customHeight="1">
      <c r="C877" s="201"/>
      <c r="D877" s="201"/>
      <c r="E877" s="201"/>
      <c r="F877" s="201"/>
      <c r="G877" s="201"/>
      <c r="H877" s="201"/>
      <c r="I877" s="201"/>
      <c r="J877" s="201"/>
      <c r="K877" s="201"/>
      <c r="L877" s="201"/>
      <c r="M877" s="201"/>
    </row>
    <row r="878" ht="12.75" customHeight="1">
      <c r="C878" s="201"/>
      <c r="D878" s="201"/>
      <c r="E878" s="201"/>
      <c r="F878" s="201"/>
      <c r="G878" s="201"/>
      <c r="H878" s="201"/>
      <c r="I878" s="201"/>
      <c r="J878" s="201"/>
      <c r="K878" s="201"/>
      <c r="L878" s="201"/>
      <c r="M878" s="201"/>
    </row>
    <row r="879" ht="12.75" customHeight="1">
      <c r="C879" s="201"/>
      <c r="D879" s="201"/>
      <c r="E879" s="201"/>
      <c r="F879" s="201"/>
      <c r="G879" s="201"/>
      <c r="H879" s="201"/>
      <c r="I879" s="201"/>
      <c r="J879" s="201"/>
      <c r="K879" s="201"/>
      <c r="L879" s="201"/>
      <c r="M879" s="201"/>
    </row>
    <row r="880" ht="12.75" customHeight="1">
      <c r="C880" s="201"/>
      <c r="D880" s="201"/>
      <c r="E880" s="201"/>
      <c r="F880" s="201"/>
      <c r="G880" s="201"/>
      <c r="H880" s="201"/>
      <c r="I880" s="201"/>
      <c r="J880" s="201"/>
      <c r="K880" s="201"/>
      <c r="L880" s="201"/>
      <c r="M880" s="201"/>
    </row>
    <row r="881" ht="12.75" customHeight="1">
      <c r="C881" s="201"/>
      <c r="D881" s="201"/>
      <c r="E881" s="201"/>
      <c r="F881" s="201"/>
      <c r="G881" s="201"/>
      <c r="H881" s="201"/>
      <c r="I881" s="201"/>
      <c r="J881" s="201"/>
      <c r="K881" s="201"/>
      <c r="L881" s="201"/>
      <c r="M881" s="201"/>
    </row>
    <row r="882" ht="12.75" customHeight="1">
      <c r="C882" s="201"/>
      <c r="D882" s="201"/>
      <c r="E882" s="201"/>
      <c r="F882" s="201"/>
      <c r="G882" s="201"/>
      <c r="H882" s="201"/>
      <c r="I882" s="201"/>
      <c r="J882" s="201"/>
      <c r="K882" s="201"/>
      <c r="L882" s="201"/>
      <c r="M882" s="201"/>
    </row>
    <row r="883" ht="12.75" customHeight="1">
      <c r="C883" s="201"/>
      <c r="D883" s="201"/>
      <c r="E883" s="201"/>
      <c r="F883" s="201"/>
      <c r="G883" s="201"/>
      <c r="H883" s="201"/>
      <c r="I883" s="201"/>
      <c r="J883" s="201"/>
      <c r="K883" s="201"/>
      <c r="L883" s="201"/>
      <c r="M883" s="201"/>
    </row>
    <row r="884" ht="12.75" customHeight="1">
      <c r="C884" s="201"/>
      <c r="D884" s="201"/>
      <c r="E884" s="201"/>
      <c r="F884" s="201"/>
      <c r="G884" s="201"/>
      <c r="H884" s="201"/>
      <c r="I884" s="201"/>
      <c r="J884" s="201"/>
      <c r="K884" s="201"/>
      <c r="L884" s="201"/>
      <c r="M884" s="201"/>
    </row>
    <row r="885" ht="12.75" customHeight="1">
      <c r="C885" s="201"/>
      <c r="D885" s="201"/>
      <c r="E885" s="201"/>
      <c r="F885" s="201"/>
      <c r="G885" s="201"/>
      <c r="H885" s="201"/>
      <c r="I885" s="201"/>
      <c r="J885" s="201"/>
      <c r="K885" s="201"/>
      <c r="L885" s="201"/>
      <c r="M885" s="201"/>
    </row>
    <row r="886" ht="12.75" customHeight="1">
      <c r="C886" s="201"/>
      <c r="D886" s="201"/>
      <c r="E886" s="201"/>
      <c r="F886" s="201"/>
      <c r="G886" s="201"/>
      <c r="H886" s="201"/>
      <c r="I886" s="201"/>
      <c r="J886" s="201"/>
      <c r="K886" s="201"/>
      <c r="L886" s="201"/>
      <c r="M886" s="201"/>
    </row>
    <row r="887" ht="12.75" customHeight="1">
      <c r="C887" s="201"/>
      <c r="D887" s="201"/>
      <c r="E887" s="201"/>
      <c r="F887" s="201"/>
      <c r="G887" s="201"/>
      <c r="H887" s="201"/>
      <c r="I887" s="201"/>
      <c r="J887" s="201"/>
      <c r="K887" s="201"/>
      <c r="L887" s="201"/>
      <c r="M887" s="201"/>
    </row>
    <row r="888" ht="12.75" customHeight="1">
      <c r="C888" s="201"/>
      <c r="D888" s="201"/>
      <c r="E888" s="201"/>
      <c r="F888" s="201"/>
      <c r="G888" s="201"/>
      <c r="H888" s="201"/>
      <c r="I888" s="201"/>
      <c r="J888" s="201"/>
      <c r="K888" s="201"/>
      <c r="L888" s="201"/>
      <c r="M888" s="201"/>
    </row>
    <row r="889" ht="12.75" customHeight="1">
      <c r="C889" s="201"/>
      <c r="D889" s="201"/>
      <c r="E889" s="201"/>
      <c r="F889" s="201"/>
      <c r="G889" s="201"/>
      <c r="H889" s="201"/>
      <c r="I889" s="201"/>
      <c r="J889" s="201"/>
      <c r="K889" s="201"/>
      <c r="L889" s="201"/>
      <c r="M889" s="201"/>
    </row>
    <row r="890" ht="12.75" customHeight="1">
      <c r="C890" s="201"/>
      <c r="D890" s="201"/>
      <c r="E890" s="201"/>
      <c r="F890" s="201"/>
      <c r="G890" s="201"/>
      <c r="H890" s="201"/>
      <c r="I890" s="201"/>
      <c r="J890" s="201"/>
      <c r="K890" s="201"/>
      <c r="L890" s="201"/>
      <c r="M890" s="201"/>
    </row>
    <row r="891" ht="12.75" customHeight="1">
      <c r="C891" s="201"/>
      <c r="D891" s="201"/>
      <c r="E891" s="201"/>
      <c r="F891" s="201"/>
      <c r="G891" s="201"/>
      <c r="H891" s="201"/>
      <c r="I891" s="201"/>
      <c r="J891" s="201"/>
      <c r="K891" s="201"/>
      <c r="L891" s="201"/>
      <c r="M891" s="201"/>
    </row>
    <row r="892" ht="12.75" customHeight="1">
      <c r="C892" s="201"/>
      <c r="D892" s="201"/>
      <c r="E892" s="201"/>
      <c r="F892" s="201"/>
      <c r="G892" s="201"/>
      <c r="H892" s="201"/>
      <c r="I892" s="201"/>
      <c r="J892" s="201"/>
      <c r="K892" s="201"/>
      <c r="L892" s="201"/>
      <c r="M892" s="201"/>
    </row>
    <row r="893" ht="12.75" customHeight="1">
      <c r="C893" s="201"/>
      <c r="D893" s="201"/>
      <c r="E893" s="201"/>
      <c r="F893" s="201"/>
      <c r="G893" s="201"/>
      <c r="H893" s="201"/>
      <c r="I893" s="201"/>
      <c r="J893" s="201"/>
      <c r="K893" s="201"/>
      <c r="L893" s="201"/>
      <c r="M893" s="201"/>
    </row>
    <row r="894" ht="12.75" customHeight="1">
      <c r="C894" s="201"/>
      <c r="D894" s="201"/>
      <c r="E894" s="201"/>
      <c r="F894" s="201"/>
      <c r="G894" s="201"/>
      <c r="H894" s="201"/>
      <c r="I894" s="201"/>
      <c r="J894" s="201"/>
      <c r="K894" s="201"/>
      <c r="L894" s="201"/>
      <c r="M894" s="201"/>
    </row>
    <row r="895" ht="12.75" customHeight="1">
      <c r="C895" s="201"/>
      <c r="D895" s="201"/>
      <c r="E895" s="201"/>
      <c r="F895" s="201"/>
      <c r="G895" s="201"/>
      <c r="H895" s="201"/>
      <c r="I895" s="201"/>
      <c r="J895" s="201"/>
      <c r="K895" s="201"/>
      <c r="L895" s="201"/>
      <c r="M895" s="201"/>
    </row>
    <row r="896" ht="12.75" customHeight="1">
      <c r="C896" s="201"/>
      <c r="D896" s="201"/>
      <c r="E896" s="201"/>
      <c r="F896" s="201"/>
      <c r="G896" s="201"/>
      <c r="H896" s="201"/>
      <c r="I896" s="201"/>
      <c r="J896" s="201"/>
      <c r="K896" s="201"/>
      <c r="L896" s="201"/>
      <c r="M896" s="201"/>
    </row>
    <row r="897" ht="12.75" customHeight="1">
      <c r="C897" s="201"/>
      <c r="D897" s="201"/>
      <c r="E897" s="201"/>
      <c r="F897" s="201"/>
      <c r="G897" s="201"/>
      <c r="H897" s="201"/>
      <c r="I897" s="201"/>
      <c r="J897" s="201"/>
      <c r="K897" s="201"/>
      <c r="L897" s="201"/>
      <c r="M897" s="201"/>
    </row>
    <row r="898" ht="12.75" customHeight="1">
      <c r="C898" s="201"/>
      <c r="D898" s="201"/>
      <c r="E898" s="201"/>
      <c r="F898" s="201"/>
      <c r="G898" s="201"/>
      <c r="H898" s="201"/>
      <c r="I898" s="201"/>
      <c r="J898" s="201"/>
      <c r="K898" s="201"/>
      <c r="L898" s="201"/>
      <c r="M898" s="201"/>
    </row>
    <row r="899" ht="12.75" customHeight="1">
      <c r="C899" s="201"/>
      <c r="D899" s="201"/>
      <c r="E899" s="201"/>
      <c r="F899" s="201"/>
      <c r="G899" s="201"/>
      <c r="H899" s="201"/>
      <c r="I899" s="201"/>
      <c r="J899" s="201"/>
      <c r="K899" s="201"/>
      <c r="L899" s="201"/>
      <c r="M899" s="201"/>
    </row>
    <row r="900" ht="12.75" customHeight="1">
      <c r="C900" s="201"/>
      <c r="D900" s="201"/>
      <c r="E900" s="201"/>
      <c r="F900" s="201"/>
      <c r="G900" s="201"/>
      <c r="H900" s="201"/>
      <c r="I900" s="201"/>
      <c r="J900" s="201"/>
      <c r="K900" s="201"/>
      <c r="L900" s="201"/>
      <c r="M900" s="201"/>
    </row>
    <row r="901" ht="12.75" customHeight="1">
      <c r="C901" s="201"/>
      <c r="D901" s="201"/>
      <c r="E901" s="201"/>
      <c r="F901" s="201"/>
      <c r="G901" s="201"/>
      <c r="H901" s="201"/>
      <c r="I901" s="201"/>
      <c r="J901" s="201"/>
      <c r="K901" s="201"/>
      <c r="L901" s="201"/>
      <c r="M901" s="201"/>
    </row>
    <row r="902" ht="12.75" customHeight="1">
      <c r="C902" s="201"/>
      <c r="D902" s="201"/>
      <c r="E902" s="201"/>
      <c r="F902" s="201"/>
      <c r="G902" s="201"/>
      <c r="H902" s="201"/>
      <c r="I902" s="201"/>
      <c r="J902" s="201"/>
      <c r="K902" s="201"/>
      <c r="L902" s="201"/>
      <c r="M902" s="201"/>
    </row>
    <row r="903" ht="12.75" customHeight="1">
      <c r="C903" s="201"/>
      <c r="D903" s="201"/>
      <c r="E903" s="201"/>
      <c r="F903" s="201"/>
      <c r="G903" s="201"/>
      <c r="H903" s="201"/>
      <c r="I903" s="201"/>
      <c r="J903" s="201"/>
      <c r="K903" s="201"/>
      <c r="L903" s="201"/>
      <c r="M903" s="201"/>
    </row>
    <row r="904" ht="12.75" customHeight="1">
      <c r="C904" s="201"/>
      <c r="D904" s="201"/>
      <c r="E904" s="201"/>
      <c r="F904" s="201"/>
      <c r="G904" s="201"/>
      <c r="H904" s="201"/>
      <c r="I904" s="201"/>
      <c r="J904" s="201"/>
      <c r="K904" s="201"/>
      <c r="L904" s="201"/>
      <c r="M904" s="201"/>
    </row>
    <row r="905" ht="12.75" customHeight="1">
      <c r="C905" s="201"/>
      <c r="D905" s="201"/>
      <c r="E905" s="201"/>
      <c r="F905" s="201"/>
      <c r="G905" s="201"/>
      <c r="H905" s="201"/>
      <c r="I905" s="201"/>
      <c r="J905" s="201"/>
      <c r="K905" s="201"/>
      <c r="L905" s="201"/>
      <c r="M905" s="201"/>
    </row>
    <row r="906" ht="12.75" customHeight="1">
      <c r="C906" s="201"/>
      <c r="D906" s="201"/>
      <c r="E906" s="201"/>
      <c r="F906" s="201"/>
      <c r="G906" s="201"/>
      <c r="H906" s="201"/>
      <c r="I906" s="201"/>
      <c r="J906" s="201"/>
      <c r="K906" s="201"/>
      <c r="L906" s="201"/>
      <c r="M906" s="201"/>
    </row>
    <row r="907" ht="12.75" customHeight="1">
      <c r="C907" s="201"/>
      <c r="D907" s="201"/>
      <c r="E907" s="201"/>
      <c r="F907" s="201"/>
      <c r="G907" s="201"/>
      <c r="H907" s="201"/>
      <c r="I907" s="201"/>
      <c r="J907" s="201"/>
      <c r="K907" s="201"/>
      <c r="L907" s="201"/>
      <c r="M907" s="201"/>
    </row>
    <row r="908" ht="12.75" customHeight="1">
      <c r="C908" s="201"/>
      <c r="D908" s="201"/>
      <c r="E908" s="201"/>
      <c r="F908" s="201"/>
      <c r="G908" s="201"/>
      <c r="H908" s="201"/>
      <c r="I908" s="201"/>
      <c r="J908" s="201"/>
      <c r="K908" s="201"/>
      <c r="L908" s="201"/>
      <c r="M908" s="201"/>
    </row>
    <row r="909" ht="12.75" customHeight="1">
      <c r="C909" s="201"/>
      <c r="D909" s="201"/>
      <c r="E909" s="201"/>
      <c r="F909" s="201"/>
      <c r="G909" s="201"/>
      <c r="H909" s="201"/>
      <c r="I909" s="201"/>
      <c r="J909" s="201"/>
      <c r="K909" s="201"/>
      <c r="L909" s="201"/>
      <c r="M909" s="201"/>
    </row>
    <row r="910" ht="12.75" customHeight="1">
      <c r="C910" s="201"/>
      <c r="D910" s="201"/>
      <c r="E910" s="201"/>
      <c r="F910" s="201"/>
      <c r="G910" s="201"/>
      <c r="H910" s="201"/>
      <c r="I910" s="201"/>
      <c r="J910" s="201"/>
      <c r="K910" s="201"/>
      <c r="L910" s="201"/>
      <c r="M910" s="201"/>
    </row>
    <row r="911" ht="12.75" customHeight="1">
      <c r="C911" s="201"/>
      <c r="D911" s="201"/>
      <c r="E911" s="201"/>
      <c r="F911" s="201"/>
      <c r="G911" s="201"/>
      <c r="H911" s="201"/>
      <c r="I911" s="201"/>
      <c r="J911" s="201"/>
      <c r="K911" s="201"/>
      <c r="L911" s="201"/>
      <c r="M911" s="201"/>
    </row>
    <row r="912" ht="12.75" customHeight="1">
      <c r="C912" s="201"/>
      <c r="D912" s="201"/>
      <c r="E912" s="201"/>
      <c r="F912" s="201"/>
      <c r="G912" s="201"/>
      <c r="H912" s="201"/>
      <c r="I912" s="201"/>
      <c r="J912" s="201"/>
      <c r="K912" s="201"/>
      <c r="L912" s="201"/>
      <c r="M912" s="201"/>
    </row>
    <row r="913" ht="12.75" customHeight="1">
      <c r="C913" s="201"/>
      <c r="D913" s="201"/>
      <c r="E913" s="201"/>
      <c r="F913" s="201"/>
      <c r="G913" s="201"/>
      <c r="H913" s="201"/>
      <c r="I913" s="201"/>
      <c r="J913" s="201"/>
      <c r="K913" s="201"/>
      <c r="L913" s="201"/>
      <c r="M913" s="201"/>
    </row>
    <row r="914" ht="12.75" customHeight="1">
      <c r="C914" s="201"/>
      <c r="D914" s="201"/>
      <c r="E914" s="201"/>
      <c r="F914" s="201"/>
      <c r="G914" s="201"/>
      <c r="H914" s="201"/>
      <c r="I914" s="201"/>
      <c r="J914" s="201"/>
      <c r="K914" s="201"/>
      <c r="L914" s="201"/>
      <c r="M914" s="201"/>
    </row>
    <row r="915" ht="12.75" customHeight="1">
      <c r="C915" s="201"/>
      <c r="D915" s="201"/>
      <c r="E915" s="201"/>
      <c r="F915" s="201"/>
      <c r="G915" s="201"/>
      <c r="H915" s="201"/>
      <c r="I915" s="201"/>
      <c r="J915" s="201"/>
      <c r="K915" s="201"/>
      <c r="L915" s="201"/>
      <c r="M915" s="201"/>
    </row>
    <row r="916" ht="12.75" customHeight="1">
      <c r="C916" s="201"/>
      <c r="D916" s="201"/>
      <c r="E916" s="201"/>
      <c r="F916" s="201"/>
      <c r="G916" s="201"/>
      <c r="H916" s="201"/>
      <c r="I916" s="201"/>
      <c r="J916" s="201"/>
      <c r="K916" s="201"/>
      <c r="L916" s="201"/>
      <c r="M916" s="201"/>
    </row>
    <row r="917" ht="12.75" customHeight="1">
      <c r="C917" s="201"/>
      <c r="D917" s="201"/>
      <c r="E917" s="201"/>
      <c r="F917" s="201"/>
      <c r="G917" s="201"/>
      <c r="H917" s="201"/>
      <c r="I917" s="201"/>
      <c r="J917" s="201"/>
      <c r="K917" s="201"/>
      <c r="L917" s="201"/>
      <c r="M917" s="201"/>
    </row>
    <row r="918" ht="12.75" customHeight="1">
      <c r="C918" s="201"/>
      <c r="D918" s="201"/>
      <c r="E918" s="201"/>
      <c r="F918" s="201"/>
      <c r="G918" s="201"/>
      <c r="H918" s="201"/>
      <c r="I918" s="201"/>
      <c r="J918" s="201"/>
      <c r="K918" s="201"/>
      <c r="L918" s="201"/>
      <c r="M918" s="201"/>
    </row>
    <row r="919" ht="12.75" customHeight="1">
      <c r="C919" s="201"/>
      <c r="D919" s="201"/>
      <c r="E919" s="201"/>
      <c r="F919" s="201"/>
      <c r="G919" s="201"/>
      <c r="H919" s="201"/>
      <c r="I919" s="201"/>
      <c r="J919" s="201"/>
      <c r="K919" s="201"/>
      <c r="L919" s="201"/>
      <c r="M919" s="201"/>
    </row>
    <row r="920" ht="12.75" customHeight="1">
      <c r="C920" s="201"/>
      <c r="D920" s="201"/>
      <c r="E920" s="201"/>
      <c r="F920" s="201"/>
      <c r="G920" s="201"/>
      <c r="H920" s="201"/>
      <c r="I920" s="201"/>
      <c r="J920" s="201"/>
      <c r="K920" s="201"/>
      <c r="L920" s="201"/>
      <c r="M920" s="201"/>
    </row>
    <row r="921" ht="12.75" customHeight="1">
      <c r="C921" s="201"/>
      <c r="D921" s="201"/>
      <c r="E921" s="201"/>
      <c r="F921" s="201"/>
      <c r="G921" s="201"/>
      <c r="H921" s="201"/>
      <c r="I921" s="201"/>
      <c r="J921" s="201"/>
      <c r="K921" s="201"/>
      <c r="L921" s="201"/>
      <c r="M921" s="201"/>
    </row>
    <row r="922" ht="12.75" customHeight="1">
      <c r="C922" s="201"/>
      <c r="D922" s="201"/>
      <c r="E922" s="201"/>
      <c r="F922" s="201"/>
      <c r="G922" s="201"/>
      <c r="H922" s="201"/>
      <c r="I922" s="201"/>
      <c r="J922" s="201"/>
      <c r="K922" s="201"/>
      <c r="L922" s="201"/>
      <c r="M922" s="201"/>
    </row>
    <row r="923" ht="12.75" customHeight="1">
      <c r="C923" s="201"/>
      <c r="D923" s="201"/>
      <c r="E923" s="201"/>
      <c r="F923" s="201"/>
      <c r="G923" s="201"/>
      <c r="H923" s="201"/>
      <c r="I923" s="201"/>
      <c r="J923" s="201"/>
      <c r="K923" s="201"/>
      <c r="L923" s="201"/>
      <c r="M923" s="201"/>
    </row>
    <row r="924" ht="12.75" customHeight="1">
      <c r="C924" s="201"/>
      <c r="D924" s="201"/>
      <c r="E924" s="201"/>
      <c r="F924" s="201"/>
      <c r="G924" s="201"/>
      <c r="H924" s="201"/>
      <c r="I924" s="201"/>
      <c r="J924" s="201"/>
      <c r="K924" s="201"/>
      <c r="L924" s="201"/>
      <c r="M924" s="201"/>
    </row>
    <row r="925" ht="12.75" customHeight="1">
      <c r="C925" s="201"/>
      <c r="D925" s="201"/>
      <c r="E925" s="201"/>
      <c r="F925" s="201"/>
      <c r="G925" s="201"/>
      <c r="H925" s="201"/>
      <c r="I925" s="201"/>
      <c r="J925" s="201"/>
      <c r="K925" s="201"/>
      <c r="L925" s="201"/>
      <c r="M925" s="201"/>
    </row>
    <row r="926" ht="12.75" customHeight="1">
      <c r="C926" s="201"/>
      <c r="D926" s="201"/>
      <c r="E926" s="201"/>
      <c r="F926" s="201"/>
      <c r="G926" s="201"/>
      <c r="H926" s="201"/>
      <c r="I926" s="201"/>
      <c r="J926" s="201"/>
      <c r="K926" s="201"/>
      <c r="L926" s="201"/>
      <c r="M926" s="201"/>
    </row>
    <row r="927" ht="12.75" customHeight="1">
      <c r="C927" s="201"/>
      <c r="D927" s="201"/>
      <c r="E927" s="201"/>
      <c r="F927" s="201"/>
      <c r="G927" s="201"/>
      <c r="H927" s="201"/>
      <c r="I927" s="201"/>
      <c r="J927" s="201"/>
      <c r="K927" s="201"/>
      <c r="L927" s="201"/>
      <c r="M927" s="201"/>
    </row>
    <row r="928" ht="12.75" customHeight="1">
      <c r="C928" s="201"/>
      <c r="D928" s="201"/>
      <c r="E928" s="201"/>
      <c r="F928" s="201"/>
      <c r="G928" s="201"/>
      <c r="H928" s="201"/>
      <c r="I928" s="201"/>
      <c r="J928" s="201"/>
      <c r="K928" s="201"/>
      <c r="L928" s="201"/>
      <c r="M928" s="201"/>
    </row>
    <row r="929" ht="12.75" customHeight="1">
      <c r="C929" s="201"/>
      <c r="D929" s="201"/>
      <c r="E929" s="201"/>
      <c r="F929" s="201"/>
      <c r="G929" s="201"/>
      <c r="H929" s="201"/>
      <c r="I929" s="201"/>
      <c r="J929" s="201"/>
      <c r="K929" s="201"/>
      <c r="L929" s="201"/>
      <c r="M929" s="201"/>
    </row>
    <row r="930" ht="12.75" customHeight="1">
      <c r="C930" s="201"/>
      <c r="D930" s="201"/>
      <c r="E930" s="201"/>
      <c r="F930" s="201"/>
      <c r="G930" s="201"/>
      <c r="H930" s="201"/>
      <c r="I930" s="201"/>
      <c r="J930" s="201"/>
      <c r="K930" s="201"/>
      <c r="L930" s="201"/>
      <c r="M930" s="201"/>
    </row>
    <row r="931" ht="12.75" customHeight="1">
      <c r="C931" s="201"/>
      <c r="D931" s="201"/>
      <c r="E931" s="201"/>
      <c r="F931" s="201"/>
      <c r="G931" s="201"/>
      <c r="H931" s="201"/>
      <c r="I931" s="201"/>
      <c r="J931" s="201"/>
      <c r="K931" s="201"/>
      <c r="L931" s="201"/>
      <c r="M931" s="201"/>
    </row>
    <row r="932" ht="12.75" customHeight="1">
      <c r="C932" s="201"/>
      <c r="D932" s="201"/>
      <c r="E932" s="201"/>
      <c r="F932" s="201"/>
      <c r="G932" s="201"/>
      <c r="H932" s="201"/>
      <c r="I932" s="201"/>
      <c r="J932" s="201"/>
      <c r="K932" s="201"/>
      <c r="L932" s="201"/>
      <c r="M932" s="201"/>
    </row>
    <row r="933" ht="12.75" customHeight="1">
      <c r="C933" s="201"/>
      <c r="D933" s="201"/>
      <c r="E933" s="201"/>
      <c r="F933" s="201"/>
      <c r="G933" s="201"/>
      <c r="H933" s="201"/>
      <c r="I933" s="201"/>
      <c r="J933" s="201"/>
      <c r="K933" s="201"/>
      <c r="L933" s="201"/>
      <c r="M933" s="201"/>
    </row>
    <row r="934" ht="12.75" customHeight="1">
      <c r="C934" s="201"/>
      <c r="D934" s="201"/>
      <c r="E934" s="201"/>
      <c r="F934" s="201"/>
      <c r="G934" s="201"/>
      <c r="H934" s="201"/>
      <c r="I934" s="201"/>
      <c r="J934" s="201"/>
      <c r="K934" s="201"/>
      <c r="L934" s="201"/>
      <c r="M934" s="201"/>
    </row>
    <row r="935" ht="12.75" customHeight="1">
      <c r="C935" s="201"/>
      <c r="D935" s="201"/>
      <c r="E935" s="201"/>
      <c r="F935" s="201"/>
      <c r="G935" s="201"/>
      <c r="H935" s="201"/>
      <c r="I935" s="201"/>
      <c r="J935" s="201"/>
      <c r="K935" s="201"/>
      <c r="L935" s="201"/>
      <c r="M935" s="201"/>
    </row>
    <row r="936" ht="12.75" customHeight="1">
      <c r="C936" s="201"/>
      <c r="D936" s="201"/>
      <c r="E936" s="201"/>
      <c r="F936" s="201"/>
      <c r="G936" s="201"/>
      <c r="H936" s="201"/>
      <c r="I936" s="201"/>
      <c r="J936" s="201"/>
      <c r="K936" s="201"/>
      <c r="L936" s="201"/>
      <c r="M936" s="201"/>
    </row>
    <row r="937" ht="12.75" customHeight="1">
      <c r="C937" s="201"/>
      <c r="D937" s="201"/>
      <c r="E937" s="201"/>
      <c r="F937" s="201"/>
      <c r="G937" s="201"/>
      <c r="H937" s="201"/>
      <c r="I937" s="201"/>
      <c r="J937" s="201"/>
      <c r="K937" s="201"/>
      <c r="L937" s="201"/>
      <c r="M937" s="201"/>
    </row>
    <row r="938" ht="12.75" customHeight="1">
      <c r="C938" s="201"/>
      <c r="D938" s="201"/>
      <c r="E938" s="201"/>
      <c r="F938" s="201"/>
      <c r="G938" s="201"/>
      <c r="H938" s="201"/>
      <c r="I938" s="201"/>
      <c r="J938" s="201"/>
      <c r="K938" s="201"/>
      <c r="L938" s="201"/>
      <c r="M938" s="201"/>
    </row>
    <row r="939" ht="12.75" customHeight="1">
      <c r="C939" s="201"/>
      <c r="D939" s="201"/>
      <c r="E939" s="201"/>
      <c r="F939" s="201"/>
      <c r="G939" s="201"/>
      <c r="H939" s="201"/>
      <c r="I939" s="201"/>
      <c r="J939" s="201"/>
      <c r="K939" s="201"/>
      <c r="L939" s="201"/>
      <c r="M939" s="201"/>
    </row>
    <row r="940" ht="12.75" customHeight="1">
      <c r="C940" s="201"/>
      <c r="D940" s="201"/>
      <c r="E940" s="201"/>
      <c r="F940" s="201"/>
      <c r="G940" s="201"/>
      <c r="H940" s="201"/>
      <c r="I940" s="201"/>
      <c r="J940" s="201"/>
      <c r="K940" s="201"/>
      <c r="L940" s="201"/>
      <c r="M940" s="201"/>
    </row>
    <row r="941" ht="12.75" customHeight="1">
      <c r="C941" s="201"/>
      <c r="D941" s="201"/>
      <c r="E941" s="201"/>
      <c r="F941" s="201"/>
      <c r="G941" s="201"/>
      <c r="H941" s="201"/>
      <c r="I941" s="201"/>
      <c r="J941" s="201"/>
      <c r="K941" s="201"/>
      <c r="L941" s="201"/>
      <c r="M941" s="201"/>
    </row>
    <row r="942" ht="12.75" customHeight="1">
      <c r="C942" s="201"/>
      <c r="D942" s="201"/>
      <c r="E942" s="201"/>
      <c r="F942" s="201"/>
      <c r="G942" s="201"/>
      <c r="H942" s="201"/>
      <c r="I942" s="201"/>
      <c r="J942" s="201"/>
      <c r="K942" s="201"/>
      <c r="L942" s="201"/>
      <c r="M942" s="201"/>
    </row>
    <row r="943" ht="12.75" customHeight="1">
      <c r="C943" s="201"/>
      <c r="D943" s="201"/>
      <c r="E943" s="201"/>
      <c r="F943" s="201"/>
      <c r="G943" s="201"/>
      <c r="H943" s="201"/>
      <c r="I943" s="201"/>
      <c r="J943" s="201"/>
      <c r="K943" s="201"/>
      <c r="L943" s="201"/>
      <c r="M943" s="201"/>
    </row>
    <row r="944" ht="12.75" customHeight="1">
      <c r="C944" s="201"/>
      <c r="D944" s="201"/>
      <c r="E944" s="201"/>
      <c r="F944" s="201"/>
      <c r="G944" s="201"/>
      <c r="H944" s="201"/>
      <c r="I944" s="201"/>
      <c r="J944" s="201"/>
      <c r="K944" s="201"/>
      <c r="L944" s="201"/>
      <c r="M944" s="201"/>
    </row>
    <row r="945" ht="12.75" customHeight="1">
      <c r="C945" s="201"/>
      <c r="D945" s="201"/>
      <c r="E945" s="201"/>
      <c r="F945" s="201"/>
      <c r="G945" s="201"/>
      <c r="H945" s="201"/>
      <c r="I945" s="201"/>
      <c r="J945" s="201"/>
      <c r="K945" s="201"/>
      <c r="L945" s="201"/>
      <c r="M945" s="201"/>
    </row>
    <row r="946" ht="12.75" customHeight="1">
      <c r="C946" s="201"/>
      <c r="D946" s="201"/>
      <c r="E946" s="201"/>
      <c r="F946" s="201"/>
      <c r="G946" s="201"/>
      <c r="H946" s="201"/>
      <c r="I946" s="201"/>
      <c r="J946" s="201"/>
      <c r="K946" s="201"/>
      <c r="L946" s="201"/>
      <c r="M946" s="201"/>
    </row>
    <row r="947" ht="12.75" customHeight="1">
      <c r="C947" s="201"/>
      <c r="D947" s="201"/>
      <c r="E947" s="201"/>
      <c r="F947" s="201"/>
      <c r="G947" s="201"/>
      <c r="H947" s="201"/>
      <c r="I947" s="201"/>
      <c r="J947" s="201"/>
      <c r="K947" s="201"/>
      <c r="L947" s="201"/>
      <c r="M947" s="201"/>
    </row>
    <row r="948" ht="12.75" customHeight="1">
      <c r="C948" s="201"/>
      <c r="D948" s="201"/>
      <c r="E948" s="201"/>
      <c r="F948" s="201"/>
      <c r="G948" s="201"/>
      <c r="H948" s="201"/>
      <c r="I948" s="201"/>
      <c r="J948" s="201"/>
      <c r="K948" s="201"/>
      <c r="L948" s="201"/>
      <c r="M948" s="201"/>
    </row>
    <row r="949" ht="12.75" customHeight="1">
      <c r="C949" s="201"/>
      <c r="D949" s="201"/>
      <c r="E949" s="201"/>
      <c r="F949" s="201"/>
      <c r="G949" s="201"/>
      <c r="H949" s="201"/>
      <c r="I949" s="201"/>
      <c r="J949" s="201"/>
      <c r="K949" s="201"/>
      <c r="L949" s="201"/>
      <c r="M949" s="201"/>
    </row>
    <row r="950" ht="12.75" customHeight="1">
      <c r="C950" s="201"/>
      <c r="D950" s="201"/>
      <c r="E950" s="201"/>
      <c r="F950" s="201"/>
      <c r="G950" s="201"/>
      <c r="H950" s="201"/>
      <c r="I950" s="201"/>
      <c r="J950" s="201"/>
      <c r="K950" s="201"/>
      <c r="L950" s="201"/>
      <c r="M950" s="201"/>
    </row>
    <row r="951" ht="12.75" customHeight="1">
      <c r="C951" s="201"/>
      <c r="D951" s="201"/>
      <c r="E951" s="201"/>
      <c r="F951" s="201"/>
      <c r="G951" s="201"/>
      <c r="H951" s="201"/>
      <c r="I951" s="201"/>
      <c r="J951" s="201"/>
      <c r="K951" s="201"/>
      <c r="L951" s="201"/>
      <c r="M951" s="201"/>
    </row>
    <row r="952" ht="12.75" customHeight="1">
      <c r="C952" s="201"/>
      <c r="D952" s="201"/>
      <c r="E952" s="201"/>
      <c r="F952" s="201"/>
      <c r="G952" s="201"/>
      <c r="H952" s="201"/>
      <c r="I952" s="201"/>
      <c r="J952" s="201"/>
      <c r="K952" s="201"/>
      <c r="L952" s="201"/>
      <c r="M952" s="201"/>
    </row>
    <row r="953" ht="12.75" customHeight="1">
      <c r="C953" s="201"/>
      <c r="D953" s="201"/>
      <c r="E953" s="201"/>
      <c r="F953" s="201"/>
      <c r="G953" s="201"/>
      <c r="H953" s="201"/>
      <c r="I953" s="201"/>
      <c r="J953" s="201"/>
      <c r="K953" s="201"/>
      <c r="L953" s="201"/>
      <c r="M953" s="201"/>
    </row>
    <row r="954" ht="12.75" customHeight="1">
      <c r="C954" s="201"/>
      <c r="D954" s="201"/>
      <c r="E954" s="201"/>
      <c r="F954" s="201"/>
      <c r="G954" s="201"/>
      <c r="H954" s="201"/>
      <c r="I954" s="201"/>
      <c r="J954" s="201"/>
      <c r="K954" s="201"/>
      <c r="L954" s="201"/>
      <c r="M954" s="201"/>
    </row>
    <row r="955" ht="12.75" customHeight="1">
      <c r="C955" s="201"/>
      <c r="D955" s="201"/>
      <c r="E955" s="201"/>
      <c r="F955" s="201"/>
      <c r="G955" s="201"/>
      <c r="H955" s="201"/>
      <c r="I955" s="201"/>
      <c r="J955" s="201"/>
      <c r="K955" s="201"/>
      <c r="L955" s="201"/>
      <c r="M955" s="201"/>
    </row>
    <row r="956" ht="12.75" customHeight="1">
      <c r="C956" s="201"/>
      <c r="D956" s="201"/>
      <c r="E956" s="201"/>
      <c r="F956" s="201"/>
      <c r="G956" s="201"/>
      <c r="H956" s="201"/>
      <c r="I956" s="201"/>
      <c r="J956" s="201"/>
      <c r="K956" s="201"/>
      <c r="L956" s="201"/>
      <c r="M956" s="201"/>
    </row>
    <row r="957" ht="12.75" customHeight="1">
      <c r="C957" s="201"/>
      <c r="D957" s="201"/>
      <c r="E957" s="201"/>
      <c r="F957" s="201"/>
      <c r="G957" s="201"/>
      <c r="H957" s="201"/>
      <c r="I957" s="201"/>
      <c r="J957" s="201"/>
      <c r="K957" s="201"/>
      <c r="L957" s="201"/>
      <c r="M957" s="201"/>
    </row>
    <row r="958" ht="12.75" customHeight="1">
      <c r="C958" s="201"/>
      <c r="D958" s="201"/>
      <c r="E958" s="201"/>
      <c r="F958" s="201"/>
      <c r="G958" s="201"/>
      <c r="H958" s="201"/>
      <c r="I958" s="201"/>
      <c r="J958" s="201"/>
      <c r="K958" s="201"/>
      <c r="L958" s="201"/>
      <c r="M958" s="201"/>
    </row>
    <row r="959" ht="12.75" customHeight="1">
      <c r="C959" s="201"/>
      <c r="D959" s="201"/>
      <c r="E959" s="201"/>
      <c r="F959" s="201"/>
      <c r="G959" s="201"/>
      <c r="H959" s="201"/>
      <c r="I959" s="201"/>
      <c r="J959" s="201"/>
      <c r="K959" s="201"/>
      <c r="L959" s="201"/>
      <c r="M959" s="201"/>
    </row>
    <row r="960" ht="12.75" customHeight="1">
      <c r="C960" s="201"/>
      <c r="D960" s="201"/>
      <c r="E960" s="201"/>
      <c r="F960" s="201"/>
      <c r="G960" s="201"/>
      <c r="H960" s="201"/>
      <c r="I960" s="201"/>
      <c r="J960" s="201"/>
      <c r="K960" s="201"/>
      <c r="L960" s="201"/>
      <c r="M960" s="201"/>
    </row>
    <row r="961" ht="12.75" customHeight="1">
      <c r="C961" s="201"/>
      <c r="D961" s="201"/>
      <c r="E961" s="201"/>
      <c r="F961" s="201"/>
      <c r="G961" s="201"/>
      <c r="H961" s="201"/>
      <c r="I961" s="201"/>
      <c r="J961" s="201"/>
      <c r="K961" s="201"/>
      <c r="L961" s="201"/>
      <c r="M961" s="201"/>
    </row>
    <row r="962" ht="12.75" customHeight="1">
      <c r="C962" s="201"/>
      <c r="D962" s="201"/>
      <c r="E962" s="201"/>
      <c r="F962" s="201"/>
      <c r="G962" s="201"/>
      <c r="H962" s="201"/>
      <c r="I962" s="201"/>
      <c r="J962" s="201"/>
      <c r="K962" s="201"/>
      <c r="L962" s="201"/>
      <c r="M962" s="201"/>
    </row>
    <row r="963" ht="12.75" customHeight="1">
      <c r="C963" s="201"/>
      <c r="D963" s="201"/>
      <c r="E963" s="201"/>
      <c r="F963" s="201"/>
      <c r="G963" s="201"/>
      <c r="H963" s="201"/>
      <c r="I963" s="201"/>
      <c r="J963" s="201"/>
      <c r="K963" s="201"/>
      <c r="L963" s="201"/>
      <c r="M963" s="201"/>
    </row>
    <row r="964" ht="12.75" customHeight="1">
      <c r="C964" s="201"/>
      <c r="D964" s="201"/>
      <c r="E964" s="201"/>
      <c r="F964" s="201"/>
      <c r="G964" s="201"/>
      <c r="H964" s="201"/>
      <c r="I964" s="201"/>
      <c r="J964" s="201"/>
      <c r="K964" s="201"/>
      <c r="L964" s="201"/>
      <c r="M964" s="201"/>
    </row>
    <row r="965" ht="12.75" customHeight="1">
      <c r="C965" s="201"/>
      <c r="D965" s="201"/>
      <c r="E965" s="201"/>
      <c r="F965" s="201"/>
      <c r="G965" s="201"/>
      <c r="H965" s="201"/>
      <c r="I965" s="201"/>
      <c r="J965" s="201"/>
      <c r="K965" s="201"/>
      <c r="L965" s="201"/>
      <c r="M965" s="201"/>
    </row>
    <row r="966" ht="12.75" customHeight="1">
      <c r="C966" s="201"/>
      <c r="D966" s="201"/>
      <c r="E966" s="201"/>
      <c r="F966" s="201"/>
      <c r="G966" s="201"/>
      <c r="H966" s="201"/>
      <c r="I966" s="201"/>
      <c r="J966" s="201"/>
      <c r="K966" s="201"/>
      <c r="L966" s="201"/>
      <c r="M966" s="201"/>
    </row>
    <row r="967" ht="12.75" customHeight="1">
      <c r="C967" s="201"/>
      <c r="D967" s="201"/>
      <c r="E967" s="201"/>
      <c r="F967" s="201"/>
      <c r="G967" s="201"/>
      <c r="H967" s="201"/>
      <c r="I967" s="201"/>
      <c r="J967" s="201"/>
      <c r="K967" s="201"/>
      <c r="L967" s="201"/>
      <c r="M967" s="201"/>
    </row>
    <row r="968" ht="12.75" customHeight="1">
      <c r="C968" s="201"/>
      <c r="D968" s="201"/>
      <c r="E968" s="201"/>
      <c r="F968" s="201"/>
      <c r="G968" s="201"/>
      <c r="H968" s="201"/>
      <c r="I968" s="201"/>
      <c r="J968" s="201"/>
      <c r="K968" s="201"/>
      <c r="L968" s="201"/>
      <c r="M968" s="201"/>
    </row>
    <row r="969" ht="12.75" customHeight="1">
      <c r="C969" s="201"/>
      <c r="D969" s="201"/>
      <c r="E969" s="201"/>
      <c r="F969" s="201"/>
      <c r="G969" s="201"/>
      <c r="H969" s="201"/>
      <c r="I969" s="201"/>
      <c r="J969" s="201"/>
      <c r="K969" s="201"/>
      <c r="L969" s="201"/>
      <c r="M969" s="201"/>
    </row>
    <row r="970" ht="12.75" customHeight="1">
      <c r="C970" s="201"/>
      <c r="D970" s="201"/>
      <c r="E970" s="201"/>
      <c r="F970" s="201"/>
      <c r="G970" s="201"/>
      <c r="H970" s="201"/>
      <c r="I970" s="201"/>
      <c r="J970" s="201"/>
      <c r="K970" s="201"/>
      <c r="L970" s="201"/>
      <c r="M970" s="201"/>
    </row>
    <row r="971" ht="12.75" customHeight="1">
      <c r="C971" s="201"/>
      <c r="D971" s="201"/>
      <c r="E971" s="201"/>
      <c r="F971" s="201"/>
      <c r="G971" s="201"/>
      <c r="H971" s="201"/>
      <c r="I971" s="201"/>
      <c r="J971" s="201"/>
      <c r="K971" s="201"/>
      <c r="L971" s="201"/>
      <c r="M971" s="201"/>
    </row>
    <row r="972" ht="12.75" customHeight="1">
      <c r="C972" s="201"/>
      <c r="D972" s="201"/>
      <c r="E972" s="201"/>
      <c r="F972" s="201"/>
      <c r="G972" s="201"/>
      <c r="H972" s="201"/>
      <c r="I972" s="201"/>
      <c r="J972" s="201"/>
      <c r="K972" s="201"/>
      <c r="L972" s="201"/>
      <c r="M972" s="201"/>
    </row>
    <row r="973" ht="12.75" customHeight="1">
      <c r="C973" s="201"/>
      <c r="D973" s="201"/>
      <c r="E973" s="201"/>
      <c r="F973" s="201"/>
      <c r="G973" s="201"/>
      <c r="H973" s="201"/>
      <c r="I973" s="201"/>
      <c r="J973" s="201"/>
      <c r="K973" s="201"/>
      <c r="L973" s="201"/>
      <c r="M973" s="201"/>
    </row>
    <row r="974" ht="12.75" customHeight="1">
      <c r="C974" s="201"/>
      <c r="D974" s="201"/>
      <c r="E974" s="201"/>
      <c r="F974" s="201"/>
      <c r="G974" s="201"/>
      <c r="H974" s="201"/>
      <c r="I974" s="201"/>
      <c r="J974" s="201"/>
      <c r="K974" s="201"/>
      <c r="L974" s="201"/>
      <c r="M974" s="201"/>
    </row>
    <row r="975" ht="12.75" customHeight="1">
      <c r="C975" s="201"/>
      <c r="D975" s="201"/>
      <c r="E975" s="201"/>
      <c r="F975" s="201"/>
      <c r="G975" s="201"/>
      <c r="H975" s="201"/>
      <c r="I975" s="201"/>
      <c r="J975" s="201"/>
      <c r="K975" s="201"/>
      <c r="L975" s="201"/>
      <c r="M975" s="201"/>
    </row>
    <row r="976" ht="12.75" customHeight="1">
      <c r="C976" s="201"/>
      <c r="D976" s="201"/>
      <c r="E976" s="201"/>
      <c r="F976" s="201"/>
      <c r="G976" s="201"/>
      <c r="H976" s="201"/>
      <c r="I976" s="201"/>
      <c r="J976" s="201"/>
      <c r="K976" s="201"/>
      <c r="L976" s="201"/>
      <c r="M976" s="201"/>
    </row>
    <row r="977" ht="12.75" customHeight="1">
      <c r="C977" s="201"/>
      <c r="D977" s="201"/>
      <c r="E977" s="201"/>
      <c r="F977" s="201"/>
      <c r="G977" s="201"/>
      <c r="H977" s="201"/>
      <c r="I977" s="201"/>
      <c r="J977" s="201"/>
      <c r="K977" s="201"/>
      <c r="L977" s="201"/>
      <c r="M977" s="201"/>
    </row>
    <row r="978" ht="12.75" customHeight="1">
      <c r="C978" s="201"/>
      <c r="D978" s="201"/>
      <c r="E978" s="201"/>
      <c r="F978" s="201"/>
      <c r="G978" s="201"/>
      <c r="H978" s="201"/>
      <c r="I978" s="201"/>
      <c r="J978" s="201"/>
      <c r="K978" s="201"/>
      <c r="L978" s="201"/>
      <c r="M978" s="201"/>
    </row>
    <row r="979" ht="12.75" customHeight="1">
      <c r="C979" s="201"/>
      <c r="D979" s="201"/>
      <c r="E979" s="201"/>
      <c r="F979" s="201"/>
      <c r="G979" s="201"/>
      <c r="H979" s="201"/>
      <c r="I979" s="201"/>
      <c r="J979" s="201"/>
      <c r="K979" s="201"/>
      <c r="L979" s="201"/>
      <c r="M979" s="201"/>
    </row>
    <row r="980" ht="12.75" customHeight="1">
      <c r="C980" s="201"/>
      <c r="D980" s="201"/>
      <c r="E980" s="201"/>
      <c r="F980" s="201"/>
      <c r="G980" s="201"/>
      <c r="H980" s="201"/>
      <c r="I980" s="201"/>
      <c r="J980" s="201"/>
      <c r="K980" s="201"/>
      <c r="L980" s="201"/>
      <c r="M980" s="201"/>
    </row>
    <row r="981" ht="12.75" customHeight="1">
      <c r="C981" s="201"/>
      <c r="D981" s="201"/>
      <c r="E981" s="201"/>
      <c r="F981" s="201"/>
      <c r="G981" s="201"/>
      <c r="H981" s="201"/>
      <c r="I981" s="201"/>
      <c r="J981" s="201"/>
      <c r="K981" s="201"/>
      <c r="L981" s="201"/>
      <c r="M981" s="201"/>
    </row>
    <row r="982" ht="12.75" customHeight="1">
      <c r="C982" s="201"/>
      <c r="D982" s="201"/>
      <c r="E982" s="201"/>
      <c r="F982" s="201"/>
      <c r="G982" s="201"/>
      <c r="H982" s="201"/>
      <c r="I982" s="201"/>
      <c r="J982" s="201"/>
      <c r="K982" s="201"/>
      <c r="L982" s="201"/>
      <c r="M982" s="201"/>
    </row>
    <row r="983" ht="12.75" customHeight="1">
      <c r="C983" s="201"/>
      <c r="D983" s="201"/>
      <c r="E983" s="201"/>
      <c r="F983" s="201"/>
      <c r="G983" s="201"/>
      <c r="H983" s="201"/>
      <c r="I983" s="201"/>
      <c r="J983" s="201"/>
      <c r="K983" s="201"/>
      <c r="L983" s="201"/>
      <c r="M983" s="201"/>
    </row>
    <row r="984" ht="12.75" customHeight="1">
      <c r="C984" s="201"/>
      <c r="D984" s="201"/>
      <c r="E984" s="201"/>
      <c r="F984" s="201"/>
      <c r="G984" s="201"/>
      <c r="H984" s="201"/>
      <c r="I984" s="201"/>
      <c r="J984" s="201"/>
      <c r="K984" s="201"/>
      <c r="L984" s="201"/>
      <c r="M984" s="201"/>
    </row>
    <row r="985" ht="12.75" customHeight="1">
      <c r="C985" s="201"/>
      <c r="D985" s="201"/>
      <c r="E985" s="201"/>
      <c r="F985" s="201"/>
      <c r="G985" s="201"/>
      <c r="H985" s="201"/>
      <c r="I985" s="201"/>
      <c r="J985" s="201"/>
      <c r="K985" s="201"/>
      <c r="L985" s="201"/>
      <c r="M985" s="201"/>
    </row>
    <row r="986" ht="12.75" customHeight="1">
      <c r="C986" s="201"/>
      <c r="D986" s="201"/>
      <c r="E986" s="201"/>
      <c r="F986" s="201"/>
      <c r="G986" s="201"/>
      <c r="H986" s="201"/>
      <c r="I986" s="201"/>
      <c r="J986" s="201"/>
      <c r="K986" s="201"/>
      <c r="L986" s="201"/>
      <c r="M986" s="201"/>
    </row>
    <row r="987" ht="12.75" customHeight="1">
      <c r="C987" s="201"/>
      <c r="D987" s="201"/>
      <c r="E987" s="201"/>
      <c r="F987" s="201"/>
      <c r="G987" s="201"/>
      <c r="H987" s="201"/>
      <c r="I987" s="201"/>
      <c r="J987" s="201"/>
      <c r="K987" s="201"/>
      <c r="L987" s="201"/>
      <c r="M987" s="201"/>
    </row>
    <row r="988" ht="12.75" customHeight="1">
      <c r="C988" s="201"/>
      <c r="D988" s="201"/>
      <c r="E988" s="201"/>
      <c r="F988" s="201"/>
      <c r="G988" s="201"/>
      <c r="H988" s="201"/>
      <c r="I988" s="201"/>
      <c r="J988" s="201"/>
      <c r="K988" s="201"/>
      <c r="L988" s="201"/>
      <c r="M988" s="201"/>
    </row>
    <row r="989" ht="12.75" customHeight="1">
      <c r="C989" s="201"/>
      <c r="D989" s="201"/>
      <c r="E989" s="201"/>
      <c r="F989" s="201"/>
      <c r="G989" s="201"/>
      <c r="H989" s="201"/>
      <c r="I989" s="201"/>
      <c r="J989" s="201"/>
      <c r="K989" s="201"/>
      <c r="L989" s="201"/>
      <c r="M989" s="201"/>
    </row>
    <row r="990" ht="12.75" customHeight="1">
      <c r="C990" s="201"/>
      <c r="D990" s="201"/>
      <c r="E990" s="201"/>
      <c r="F990" s="201"/>
      <c r="G990" s="201"/>
      <c r="H990" s="201"/>
      <c r="I990" s="201"/>
      <c r="J990" s="201"/>
      <c r="K990" s="201"/>
      <c r="L990" s="201"/>
      <c r="M990" s="201"/>
    </row>
    <row r="991" ht="12.75" customHeight="1">
      <c r="C991" s="201"/>
      <c r="D991" s="201"/>
      <c r="E991" s="201"/>
      <c r="F991" s="201"/>
      <c r="G991" s="201"/>
      <c r="H991" s="201"/>
      <c r="I991" s="201"/>
      <c r="J991" s="201"/>
      <c r="K991" s="201"/>
      <c r="L991" s="201"/>
      <c r="M991" s="201"/>
    </row>
    <row r="992" ht="12.75" customHeight="1">
      <c r="C992" s="201"/>
      <c r="D992" s="201"/>
      <c r="E992" s="201"/>
      <c r="F992" s="201"/>
      <c r="G992" s="201"/>
      <c r="H992" s="201"/>
      <c r="I992" s="201"/>
      <c r="J992" s="201"/>
      <c r="K992" s="201"/>
      <c r="L992" s="201"/>
      <c r="M992" s="201"/>
    </row>
    <row r="993" ht="12.75" customHeight="1">
      <c r="C993" s="201"/>
      <c r="D993" s="201"/>
      <c r="E993" s="201"/>
      <c r="F993" s="201"/>
      <c r="G993" s="201"/>
      <c r="H993" s="201"/>
      <c r="I993" s="201"/>
      <c r="J993" s="201"/>
      <c r="K993" s="201"/>
      <c r="L993" s="201"/>
      <c r="M993" s="201"/>
    </row>
    <row r="994" ht="12.75" customHeight="1">
      <c r="C994" s="201"/>
      <c r="D994" s="201"/>
      <c r="E994" s="201"/>
      <c r="F994" s="201"/>
      <c r="G994" s="201"/>
      <c r="H994" s="201"/>
      <c r="I994" s="201"/>
      <c r="J994" s="201"/>
      <c r="K994" s="201"/>
      <c r="L994" s="201"/>
      <c r="M994" s="201"/>
    </row>
    <row r="995" ht="12.75" customHeight="1">
      <c r="C995" s="201"/>
      <c r="D995" s="201"/>
      <c r="E995" s="201"/>
      <c r="F995" s="201"/>
      <c r="G995" s="201"/>
      <c r="H995" s="201"/>
      <c r="I995" s="201"/>
      <c r="J995" s="201"/>
      <c r="K995" s="201"/>
      <c r="L995" s="201"/>
      <c r="M995" s="201"/>
    </row>
    <row r="996" ht="12.75" customHeight="1">
      <c r="C996" s="201"/>
      <c r="D996" s="201"/>
      <c r="E996" s="201"/>
      <c r="F996" s="201"/>
      <c r="G996" s="201"/>
      <c r="H996" s="201"/>
      <c r="I996" s="201"/>
      <c r="J996" s="201"/>
      <c r="K996" s="201"/>
      <c r="L996" s="201"/>
      <c r="M996" s="201"/>
    </row>
    <row r="997" ht="12.75" customHeight="1">
      <c r="C997" s="201"/>
      <c r="D997" s="201"/>
      <c r="E997" s="201"/>
      <c r="F997" s="201"/>
      <c r="G997" s="201"/>
      <c r="H997" s="201"/>
      <c r="I997" s="201"/>
      <c r="J997" s="201"/>
      <c r="K997" s="201"/>
      <c r="L997" s="201"/>
      <c r="M997" s="201"/>
    </row>
    <row r="998" ht="12.75" customHeight="1">
      <c r="C998" s="201"/>
      <c r="D998" s="201"/>
      <c r="E998" s="201"/>
      <c r="F998" s="201"/>
      <c r="G998" s="201"/>
      <c r="H998" s="201"/>
      <c r="I998" s="201"/>
      <c r="J998" s="201"/>
      <c r="K998" s="201"/>
      <c r="L998" s="201"/>
      <c r="M998" s="201"/>
    </row>
    <row r="999" ht="12.75" customHeight="1">
      <c r="C999" s="201"/>
      <c r="D999" s="201"/>
      <c r="E999" s="201"/>
      <c r="F999" s="201"/>
      <c r="G999" s="201"/>
      <c r="H999" s="201"/>
      <c r="I999" s="201"/>
      <c r="J999" s="201"/>
      <c r="K999" s="201"/>
      <c r="L999" s="201"/>
      <c r="M999" s="201"/>
    </row>
    <row r="1000" ht="12.75" customHeight="1">
      <c r="C1000" s="201"/>
      <c r="D1000" s="201"/>
      <c r="E1000" s="201"/>
      <c r="F1000" s="201"/>
      <c r="G1000" s="201"/>
      <c r="H1000" s="201"/>
      <c r="I1000" s="201"/>
      <c r="J1000" s="201"/>
      <c r="K1000" s="201"/>
      <c r="L1000" s="201"/>
      <c r="M1000" s="201"/>
    </row>
  </sheetData>
  <mergeCells count="2">
    <mergeCell ref="C5:G5"/>
    <mergeCell ref="I5:M5"/>
  </mergeCells>
  <dataValidations>
    <dataValidation type="custom" allowBlank="1" sqref="D6:G6 K6 M6">
      <formula1>AND(GTE(LEN(D6),MIN((0),(10000))),LTE(LEN(D6),MAX((0),(10000))))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99"/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9.14"/>
    <col customWidth="1" min="2" max="2" width="3.86"/>
    <col customWidth="1" min="3" max="4" width="6.0"/>
    <col customWidth="1" min="5" max="5" width="26.14"/>
    <col customWidth="1" min="6" max="10" width="9.86"/>
    <col customWidth="1" min="11" max="11" width="10.57"/>
    <col customWidth="1" min="12" max="12" width="9.86"/>
    <col customWidth="1" min="13" max="14" width="10.57"/>
    <col customWidth="1" min="15" max="15" width="9.86"/>
    <col customWidth="1" min="16" max="16" width="11.57"/>
    <col customWidth="1" min="17" max="17" width="11.86"/>
    <col customWidth="1" min="18" max="18" width="10.86"/>
    <col customWidth="1" min="19" max="19" width="11.57"/>
    <col customWidth="1" min="20" max="55" width="9.14"/>
  </cols>
  <sheetData>
    <row r="1" ht="12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2">
        <v>16.0</v>
      </c>
      <c r="Q1" s="2">
        <v>17.0</v>
      </c>
      <c r="R1" s="2">
        <v>18.0</v>
      </c>
      <c r="S1" s="2">
        <v>19.0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12.75" customHeight="1">
      <c r="A2" s="2" t="s">
        <v>301</v>
      </c>
      <c r="B2" s="2" t="s">
        <v>303</v>
      </c>
      <c r="C2" s="236" t="s">
        <v>304</v>
      </c>
      <c r="D2" s="236" t="s">
        <v>305</v>
      </c>
      <c r="E2" s="2" t="s">
        <v>306</v>
      </c>
      <c r="F2" s="119">
        <v>39083.0</v>
      </c>
      <c r="G2" s="119">
        <v>39114.0</v>
      </c>
      <c r="H2" s="119">
        <v>39142.0</v>
      </c>
      <c r="I2" s="119">
        <v>39173.0</v>
      </c>
      <c r="J2" s="119">
        <v>39203.0</v>
      </c>
      <c r="K2" s="119">
        <v>39234.0</v>
      </c>
      <c r="L2" s="119">
        <v>39264.0</v>
      </c>
      <c r="M2" s="119">
        <v>39295.0</v>
      </c>
      <c r="N2" s="119">
        <v>39326.0</v>
      </c>
      <c r="O2" s="119">
        <v>39356.0</v>
      </c>
      <c r="P2" s="119">
        <v>39387.0</v>
      </c>
      <c r="Q2" s="119">
        <v>39417.0</v>
      </c>
      <c r="R2" s="2" t="s">
        <v>40</v>
      </c>
      <c r="S2" s="2" t="s">
        <v>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ht="12.75" customHeight="1">
      <c r="A3" s="238" t="s">
        <v>308</v>
      </c>
      <c r="B3" s="239" t="s">
        <v>89</v>
      </c>
      <c r="C3" s="240">
        <v>31100.0</v>
      </c>
      <c r="D3" s="241" t="s">
        <v>312</v>
      </c>
      <c r="E3" s="239" t="s">
        <v>313</v>
      </c>
      <c r="F3" s="168">
        <v>-2833619.0</v>
      </c>
      <c r="G3" s="35">
        <v>-2698684.52380952</v>
      </c>
      <c r="H3" s="35">
        <v>-2968552.97619048</v>
      </c>
      <c r="I3" s="35">
        <v>-2428816.07142857</v>
      </c>
      <c r="J3" s="35">
        <v>-3103487.20238095</v>
      </c>
      <c r="K3" s="35">
        <v>-2698684.52380952</v>
      </c>
      <c r="L3" s="35">
        <v>-2968552.97619048</v>
      </c>
      <c r="M3" s="35">
        <v>-3103487.20238095</v>
      </c>
      <c r="N3" s="35">
        <v>-2698684.52380952</v>
      </c>
      <c r="O3" s="35">
        <v>-2968552.97619048</v>
      </c>
      <c r="P3" s="35">
        <v>-2968552.97619048</v>
      </c>
      <c r="Q3" s="35">
        <v>-2563750.29761905</v>
      </c>
      <c r="R3" s="242">
        <f t="shared" ref="R3:R451" si="1">SUM(F3:Q3)</f>
        <v>-34003425.25</v>
      </c>
      <c r="S3" s="243">
        <f t="shared" ref="S3:S451" si="2">SUM(F3:H3)</f>
        <v>-8500856.5</v>
      </c>
      <c r="T3" s="3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ht="12.75" customHeight="1">
      <c r="A4" s="238" t="s">
        <v>318</v>
      </c>
      <c r="B4" s="239" t="s">
        <v>89</v>
      </c>
      <c r="C4" s="240">
        <v>31100.0</v>
      </c>
      <c r="D4" s="241" t="s">
        <v>312</v>
      </c>
      <c r="E4" s="239" t="s">
        <v>319</v>
      </c>
      <c r="F4" s="168">
        <v>-65653.874</v>
      </c>
      <c r="G4" s="35">
        <v>-70457.816</v>
      </c>
      <c r="H4" s="35">
        <v>-71258.473</v>
      </c>
      <c r="I4" s="35">
        <v>-56045.99</v>
      </c>
      <c r="J4" s="35">
        <v>-70057.4875</v>
      </c>
      <c r="K4" s="35">
        <v>-60049.275</v>
      </c>
      <c r="L4" s="35">
        <v>-68055.845</v>
      </c>
      <c r="M4" s="35">
        <v>-71338.5387</v>
      </c>
      <c r="N4" s="35">
        <v>-62451.246</v>
      </c>
      <c r="O4" s="35">
        <v>-68856.502</v>
      </c>
      <c r="P4" s="35">
        <v>-69657.159</v>
      </c>
      <c r="Q4" s="35">
        <v>-66774.7938</v>
      </c>
      <c r="R4" s="242">
        <f t="shared" si="1"/>
        <v>-800657</v>
      </c>
      <c r="S4" s="243">
        <f t="shared" si="2"/>
        <v>-207370.163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f t="shared" ref="BC4:BC16" si="3">SUM(AQ4:BB4)</f>
        <v>0</v>
      </c>
    </row>
    <row r="5" ht="12.75" customHeight="1">
      <c r="A5" s="238" t="s">
        <v>324</v>
      </c>
      <c r="B5" s="8" t="s">
        <v>89</v>
      </c>
      <c r="C5" s="241">
        <v>31100.0</v>
      </c>
      <c r="D5" s="241" t="s">
        <v>312</v>
      </c>
      <c r="E5" s="8" t="s">
        <v>325</v>
      </c>
      <c r="F5" s="168">
        <v>-807813.0</v>
      </c>
      <c r="G5" s="35">
        <v>-768946.0</v>
      </c>
      <c r="H5" s="35">
        <v>-844463.0</v>
      </c>
      <c r="I5" s="35">
        <v>-530111.0</v>
      </c>
      <c r="J5" s="35">
        <v>-838364.0</v>
      </c>
      <c r="K5" s="35">
        <v>-678773.0</v>
      </c>
      <c r="L5" s="35">
        <v>-789695.0</v>
      </c>
      <c r="M5" s="35">
        <v>-668474.0</v>
      </c>
      <c r="N5" s="35">
        <v>-606168.0</v>
      </c>
      <c r="O5" s="35">
        <v>-581379.0</v>
      </c>
      <c r="P5" s="35">
        <v>-858437.0</v>
      </c>
      <c r="Q5" s="35">
        <v>-927241.0</v>
      </c>
      <c r="R5" s="242">
        <f t="shared" si="1"/>
        <v>-8899864</v>
      </c>
      <c r="S5" s="243">
        <f t="shared" si="2"/>
        <v>-2421222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f t="shared" si="3"/>
        <v>0</v>
      </c>
    </row>
    <row r="6" ht="12.75" customHeight="1">
      <c r="A6" s="238" t="s">
        <v>328</v>
      </c>
      <c r="B6" s="239" t="s">
        <v>89</v>
      </c>
      <c r="C6" s="244">
        <v>33101.0</v>
      </c>
      <c r="D6" s="241" t="s">
        <v>312</v>
      </c>
      <c r="E6" s="239" t="s">
        <v>191</v>
      </c>
      <c r="F6" s="168">
        <v>129255.0</v>
      </c>
      <c r="G6" s="168">
        <v>123031.0</v>
      </c>
      <c r="H6" s="168">
        <v>135114.0</v>
      </c>
      <c r="I6" s="168">
        <v>84818.0</v>
      </c>
      <c r="J6" s="168">
        <v>134138.0</v>
      </c>
      <c r="K6" s="168">
        <v>108604.0</v>
      </c>
      <c r="L6" s="168">
        <v>126351.0</v>
      </c>
      <c r="M6" s="168">
        <v>106956.0</v>
      </c>
      <c r="N6" s="168">
        <v>96987.0</v>
      </c>
      <c r="O6" s="168">
        <v>93021.0</v>
      </c>
      <c r="P6" s="168">
        <v>137350.0</v>
      </c>
      <c r="Q6" s="168">
        <v>148354.0</v>
      </c>
      <c r="R6" s="242">
        <f t="shared" si="1"/>
        <v>1423979</v>
      </c>
      <c r="S6" s="243">
        <f t="shared" si="2"/>
        <v>387400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f t="shared" si="3"/>
        <v>0</v>
      </c>
    </row>
    <row r="7" ht="12.75" customHeight="1">
      <c r="A7" s="8" t="s">
        <v>329</v>
      </c>
      <c r="B7" s="8" t="s">
        <v>330</v>
      </c>
      <c r="C7" s="241">
        <v>33101.0</v>
      </c>
      <c r="D7" s="241" t="s">
        <v>312</v>
      </c>
      <c r="E7" s="8" t="s">
        <v>191</v>
      </c>
      <c r="F7" s="246">
        <v>0.0</v>
      </c>
      <c r="G7" s="35">
        <v>0.0</v>
      </c>
      <c r="H7" s="35">
        <v>0.0</v>
      </c>
      <c r="I7" s="35">
        <v>0.0</v>
      </c>
      <c r="J7" s="35">
        <v>0.0</v>
      </c>
      <c r="K7" s="35">
        <v>0.0</v>
      </c>
      <c r="L7" s="35">
        <v>0.0</v>
      </c>
      <c r="M7" s="35">
        <v>0.0</v>
      </c>
      <c r="N7" s="35">
        <v>0.0</v>
      </c>
      <c r="O7" s="35">
        <v>0.0</v>
      </c>
      <c r="P7" s="35">
        <v>0.0</v>
      </c>
      <c r="Q7" s="35">
        <v>0.0</v>
      </c>
      <c r="R7" s="35">
        <f t="shared" si="1"/>
        <v>0</v>
      </c>
      <c r="S7" s="243">
        <f t="shared" si="2"/>
        <v>0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f t="shared" si="3"/>
        <v>0</v>
      </c>
    </row>
    <row r="8" ht="12.75" customHeight="1">
      <c r="A8" s="238" t="s">
        <v>331</v>
      </c>
      <c r="B8" s="8" t="s">
        <v>332</v>
      </c>
      <c r="C8" s="241">
        <v>35100.0</v>
      </c>
      <c r="D8" s="241" t="s">
        <v>333</v>
      </c>
      <c r="E8" s="8" t="s">
        <v>182</v>
      </c>
      <c r="F8" s="246">
        <v>-50030.0</v>
      </c>
      <c r="G8" s="35">
        <v>-50030.0</v>
      </c>
      <c r="H8" s="35">
        <v>-50030.0</v>
      </c>
      <c r="I8" s="249">
        <v>-50030.0</v>
      </c>
      <c r="J8" s="35">
        <v>-50030.0</v>
      </c>
      <c r="K8" s="35">
        <v>-50030.0</v>
      </c>
      <c r="L8" s="35">
        <v>-50030.0</v>
      </c>
      <c r="M8" s="35">
        <v>-50030.0</v>
      </c>
      <c r="N8" s="35">
        <v>-50030.0</v>
      </c>
      <c r="O8" s="35">
        <v>-50030.0</v>
      </c>
      <c r="P8" s="35">
        <v>-50030.0</v>
      </c>
      <c r="Q8" s="35">
        <v>-50030.0</v>
      </c>
      <c r="R8" s="35">
        <f t="shared" si="1"/>
        <v>-600360</v>
      </c>
      <c r="S8" s="243">
        <f t="shared" si="2"/>
        <v>-150090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f t="shared" si="3"/>
        <v>0</v>
      </c>
    </row>
    <row r="9" ht="12.75" customHeight="1">
      <c r="A9" s="238" t="s">
        <v>334</v>
      </c>
      <c r="B9" s="8" t="s">
        <v>89</v>
      </c>
      <c r="C9" s="241">
        <v>41100.0</v>
      </c>
      <c r="D9" s="241" t="s">
        <v>312</v>
      </c>
      <c r="E9" s="8" t="s">
        <v>194</v>
      </c>
      <c r="F9" s="168">
        <v>2081912.0</v>
      </c>
      <c r="G9" s="35">
        <v>1987195.0</v>
      </c>
      <c r="H9" s="35">
        <v>2181607.0</v>
      </c>
      <c r="I9" s="35">
        <v>1705034.0</v>
      </c>
      <c r="J9" s="35">
        <v>2256444.0</v>
      </c>
      <c r="K9" s="35">
        <v>1937063.0</v>
      </c>
      <c r="L9" s="35">
        <v>2152974.0</v>
      </c>
      <c r="M9" s="35">
        <v>2174149.0</v>
      </c>
      <c r="N9" s="35">
        <v>1902972.0</v>
      </c>
      <c r="O9" s="35">
        <v>2051617.0</v>
      </c>
      <c r="P9" s="35">
        <v>2187506.0</v>
      </c>
      <c r="Q9" s="35">
        <v>1983910.0</v>
      </c>
      <c r="R9" s="242">
        <f t="shared" si="1"/>
        <v>24602383</v>
      </c>
      <c r="S9" s="243">
        <f t="shared" si="2"/>
        <v>6250714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f t="shared" si="3"/>
        <v>0</v>
      </c>
    </row>
    <row r="10" ht="12.75" customHeight="1">
      <c r="A10" s="8" t="s">
        <v>335</v>
      </c>
      <c r="B10" s="8" t="s">
        <v>330</v>
      </c>
      <c r="C10" s="241">
        <v>41100.0</v>
      </c>
      <c r="D10" s="241" t="s">
        <v>312</v>
      </c>
      <c r="E10" s="8" t="s">
        <v>194</v>
      </c>
      <c r="F10" s="253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242">
        <f t="shared" si="1"/>
        <v>0</v>
      </c>
      <c r="S10" s="243">
        <f t="shared" si="2"/>
        <v>0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f t="shared" si="3"/>
        <v>0</v>
      </c>
    </row>
    <row r="11" ht="12.75" customHeight="1">
      <c r="A11" s="238" t="s">
        <v>337</v>
      </c>
      <c r="B11" s="8" t="s">
        <v>332</v>
      </c>
      <c r="C11" s="241">
        <v>42200.0</v>
      </c>
      <c r="D11" s="241" t="s">
        <v>333</v>
      </c>
      <c r="E11" s="8" t="s">
        <v>79</v>
      </c>
      <c r="F11" s="246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>
        <f t="shared" si="1"/>
        <v>0</v>
      </c>
      <c r="S11" s="243">
        <f t="shared" si="2"/>
        <v>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f t="shared" si="3"/>
        <v>0</v>
      </c>
    </row>
    <row r="12" ht="12.75" customHeight="1">
      <c r="A12" s="238" t="s">
        <v>338</v>
      </c>
      <c r="B12" s="8" t="s">
        <v>339</v>
      </c>
      <c r="C12" s="241">
        <v>42200.0</v>
      </c>
      <c r="D12" s="241" t="s">
        <v>333</v>
      </c>
      <c r="E12" s="8" t="s">
        <v>79</v>
      </c>
      <c r="F12" s="246"/>
      <c r="G12" s="35"/>
      <c r="H12" s="35"/>
      <c r="I12" s="35"/>
      <c r="J12" s="35"/>
      <c r="K12" s="35"/>
      <c r="L12" s="35"/>
      <c r="M12" s="35"/>
      <c r="N12" s="35"/>
      <c r="O12" s="74"/>
      <c r="P12" s="74"/>
      <c r="Q12" s="74"/>
      <c r="R12" s="35">
        <f t="shared" si="1"/>
        <v>0</v>
      </c>
      <c r="S12" s="243">
        <f t="shared" si="2"/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f t="shared" si="3"/>
        <v>0</v>
      </c>
    </row>
    <row r="13" ht="12.75" customHeight="1">
      <c r="A13" s="238" t="s">
        <v>340</v>
      </c>
      <c r="B13" s="8" t="s">
        <v>108</v>
      </c>
      <c r="C13" s="241">
        <v>42200.0</v>
      </c>
      <c r="D13" s="241" t="s">
        <v>312</v>
      </c>
      <c r="E13" s="8" t="s">
        <v>79</v>
      </c>
      <c r="F13" s="151">
        <v>212.0</v>
      </c>
      <c r="G13" s="74">
        <v>202.0</v>
      </c>
      <c r="H13" s="74">
        <v>222.0</v>
      </c>
      <c r="I13" s="74">
        <v>173.0</v>
      </c>
      <c r="J13" s="74">
        <v>229.0</v>
      </c>
      <c r="K13" s="74">
        <v>197.0</v>
      </c>
      <c r="L13" s="74">
        <v>219.0</v>
      </c>
      <c r="M13" s="74">
        <v>221.0</v>
      </c>
      <c r="N13" s="74">
        <v>193.0</v>
      </c>
      <c r="O13" s="74">
        <v>208.0</v>
      </c>
      <c r="P13" s="74">
        <v>222.0</v>
      </c>
      <c r="Q13" s="74">
        <v>202.0</v>
      </c>
      <c r="R13" s="35">
        <f t="shared" si="1"/>
        <v>2500</v>
      </c>
      <c r="S13" s="243">
        <f t="shared" si="2"/>
        <v>636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f t="shared" si="3"/>
        <v>0</v>
      </c>
    </row>
    <row r="14" ht="12.75" customHeight="1">
      <c r="A14" s="238" t="s">
        <v>341</v>
      </c>
      <c r="B14" s="8" t="s">
        <v>89</v>
      </c>
      <c r="C14" s="241">
        <v>42200.0</v>
      </c>
      <c r="D14" s="241" t="s">
        <v>312</v>
      </c>
      <c r="E14" s="8" t="s">
        <v>79</v>
      </c>
      <c r="F14" s="259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35">
        <f t="shared" si="1"/>
        <v>0</v>
      </c>
      <c r="S14" s="243">
        <f t="shared" si="2"/>
        <v>0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f t="shared" si="3"/>
        <v>0</v>
      </c>
    </row>
    <row r="15" ht="12.75" customHeight="1">
      <c r="A15" s="238" t="s">
        <v>337</v>
      </c>
      <c r="B15" s="8" t="s">
        <v>332</v>
      </c>
      <c r="C15" s="241">
        <v>42200.0</v>
      </c>
      <c r="D15" s="241" t="s">
        <v>333</v>
      </c>
      <c r="E15" s="8" t="s">
        <v>79</v>
      </c>
      <c r="F15" s="246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242">
        <f t="shared" si="1"/>
        <v>0</v>
      </c>
      <c r="S15" s="243">
        <f t="shared" si="2"/>
        <v>0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f t="shared" si="3"/>
        <v>0</v>
      </c>
    </row>
    <row r="16" ht="12.75" customHeight="1">
      <c r="A16" s="238" t="s">
        <v>342</v>
      </c>
      <c r="B16" s="8" t="s">
        <v>343</v>
      </c>
      <c r="C16" s="241">
        <v>42200.0</v>
      </c>
      <c r="D16" s="241" t="s">
        <v>333</v>
      </c>
      <c r="E16" s="8" t="s">
        <v>79</v>
      </c>
      <c r="F16" s="246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>
        <f t="shared" si="1"/>
        <v>0</v>
      </c>
      <c r="S16" s="243">
        <f t="shared" si="2"/>
        <v>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f t="shared" si="3"/>
        <v>0</v>
      </c>
    </row>
    <row r="17" ht="12.75" customHeight="1">
      <c r="A17" s="238" t="s">
        <v>344</v>
      </c>
      <c r="B17" s="8" t="s">
        <v>345</v>
      </c>
      <c r="C17" s="241">
        <v>42200.0</v>
      </c>
      <c r="D17" s="241" t="s">
        <v>333</v>
      </c>
      <c r="E17" s="8" t="s">
        <v>79</v>
      </c>
      <c r="F17" s="246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>
        <f t="shared" si="1"/>
        <v>0</v>
      </c>
      <c r="S17" s="243">
        <f t="shared" si="2"/>
        <v>0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ht="12.75" customHeight="1">
      <c r="A18" s="238" t="s">
        <v>348</v>
      </c>
      <c r="B18" s="8" t="s">
        <v>349</v>
      </c>
      <c r="C18" s="241">
        <v>42200.0</v>
      </c>
      <c r="D18" s="241" t="s">
        <v>333</v>
      </c>
      <c r="E18" s="8" t="s">
        <v>79</v>
      </c>
      <c r="F18" s="246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>
        <f t="shared" si="1"/>
        <v>0</v>
      </c>
      <c r="S18" s="243">
        <f t="shared" si="2"/>
        <v>0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 ht="12.75" customHeight="1">
      <c r="A19" s="8" t="s">
        <v>350</v>
      </c>
      <c r="B19" s="8" t="s">
        <v>332</v>
      </c>
      <c r="C19" s="241">
        <v>45103.0</v>
      </c>
      <c r="D19" s="241" t="s">
        <v>333</v>
      </c>
      <c r="E19" s="8" t="s">
        <v>123</v>
      </c>
      <c r="F19" s="246"/>
      <c r="G19" s="35"/>
      <c r="H19" s="35"/>
      <c r="I19" s="242"/>
      <c r="J19" s="35"/>
      <c r="K19" s="35"/>
      <c r="L19" s="35"/>
      <c r="M19" s="35"/>
      <c r="N19" s="35"/>
      <c r="O19" s="35"/>
      <c r="P19" s="35"/>
      <c r="Q19" s="35"/>
      <c r="R19" s="242">
        <f t="shared" si="1"/>
        <v>0</v>
      </c>
      <c r="S19" s="243">
        <f t="shared" si="2"/>
        <v>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ht="12.75" customHeight="1">
      <c r="A20" s="238" t="s">
        <v>353</v>
      </c>
      <c r="B20" s="8" t="s">
        <v>332</v>
      </c>
      <c r="C20" s="241">
        <v>45300.0</v>
      </c>
      <c r="D20" s="241" t="s">
        <v>333</v>
      </c>
      <c r="E20" s="8" t="s">
        <v>22</v>
      </c>
      <c r="F20" s="246">
        <f t="shared" ref="F20:Q20" si="4">244424/12</f>
        <v>20368.66667</v>
      </c>
      <c r="G20" s="35">
        <f t="shared" si="4"/>
        <v>20368.66667</v>
      </c>
      <c r="H20" s="35">
        <f t="shared" si="4"/>
        <v>20368.66667</v>
      </c>
      <c r="I20" s="35">
        <f t="shared" si="4"/>
        <v>20368.66667</v>
      </c>
      <c r="J20" s="35">
        <f t="shared" si="4"/>
        <v>20368.66667</v>
      </c>
      <c r="K20" s="35">
        <f t="shared" si="4"/>
        <v>20368.66667</v>
      </c>
      <c r="L20" s="35">
        <f t="shared" si="4"/>
        <v>20368.66667</v>
      </c>
      <c r="M20" s="35">
        <f t="shared" si="4"/>
        <v>20368.66667</v>
      </c>
      <c r="N20" s="35">
        <f t="shared" si="4"/>
        <v>20368.66667</v>
      </c>
      <c r="O20" s="35">
        <f t="shared" si="4"/>
        <v>20368.66667</v>
      </c>
      <c r="P20" s="35">
        <f t="shared" si="4"/>
        <v>20368.66667</v>
      </c>
      <c r="Q20" s="35">
        <f t="shared" si="4"/>
        <v>20368.66667</v>
      </c>
      <c r="R20" s="35">
        <f t="shared" si="1"/>
        <v>244424</v>
      </c>
      <c r="S20" s="243">
        <f t="shared" si="2"/>
        <v>61106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ht="12.75" customHeight="1">
      <c r="A21" s="238" t="s">
        <v>362</v>
      </c>
      <c r="B21" s="8" t="s">
        <v>108</v>
      </c>
      <c r="C21" s="241">
        <v>45300.0</v>
      </c>
      <c r="D21" s="241" t="s">
        <v>312</v>
      </c>
      <c r="E21" s="8" t="s">
        <v>22</v>
      </c>
      <c r="F21" s="151">
        <v>540.0</v>
      </c>
      <c r="G21" s="74">
        <v>540.0</v>
      </c>
      <c r="H21" s="74">
        <v>540.0</v>
      </c>
      <c r="I21" s="74">
        <v>540.0</v>
      </c>
      <c r="J21" s="74">
        <v>540.0</v>
      </c>
      <c r="K21" s="74">
        <v>540.0</v>
      </c>
      <c r="L21" s="74">
        <v>540.0</v>
      </c>
      <c r="M21" s="74">
        <v>540.0</v>
      </c>
      <c r="N21" s="74">
        <v>540.0</v>
      </c>
      <c r="O21" s="74">
        <v>540.0</v>
      </c>
      <c r="P21" s="74">
        <v>540.0</v>
      </c>
      <c r="Q21" s="74">
        <v>540.0</v>
      </c>
      <c r="R21" s="35">
        <f t="shared" si="1"/>
        <v>6480</v>
      </c>
      <c r="S21" s="243">
        <f t="shared" si="2"/>
        <v>1620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f t="shared" ref="BC21:BC36" si="5">SUM(AQ21:BB21)</f>
        <v>0</v>
      </c>
    </row>
    <row r="22" ht="12.75" customHeight="1">
      <c r="A22" s="238" t="s">
        <v>365</v>
      </c>
      <c r="B22" s="8" t="s">
        <v>89</v>
      </c>
      <c r="C22" s="241">
        <v>45300.0</v>
      </c>
      <c r="D22" s="241" t="s">
        <v>312</v>
      </c>
      <c r="E22" s="8" t="s">
        <v>22</v>
      </c>
      <c r="F22" s="151">
        <v>2340.0</v>
      </c>
      <c r="G22" s="74">
        <v>2340.0</v>
      </c>
      <c r="H22" s="74">
        <v>2340.0</v>
      </c>
      <c r="I22" s="74">
        <v>2340.0</v>
      </c>
      <c r="J22" s="74">
        <v>2340.0</v>
      </c>
      <c r="K22" s="74">
        <v>2340.0</v>
      </c>
      <c r="L22" s="74">
        <v>2340.0</v>
      </c>
      <c r="M22" s="74">
        <v>2340.0</v>
      </c>
      <c r="N22" s="74">
        <v>2340.0</v>
      </c>
      <c r="O22" s="74">
        <v>2340.0</v>
      </c>
      <c r="P22" s="74">
        <v>2340.0</v>
      </c>
      <c r="Q22" s="74">
        <v>2340.0</v>
      </c>
      <c r="R22" s="35">
        <f t="shared" si="1"/>
        <v>28080</v>
      </c>
      <c r="S22" s="243">
        <f t="shared" si="2"/>
        <v>7020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f t="shared" si="5"/>
        <v>0</v>
      </c>
    </row>
    <row r="23" ht="12.75" customHeight="1">
      <c r="A23" s="238" t="s">
        <v>370</v>
      </c>
      <c r="B23" s="8" t="s">
        <v>176</v>
      </c>
      <c r="C23" s="241">
        <v>45300.0</v>
      </c>
      <c r="D23" s="241" t="s">
        <v>312</v>
      </c>
      <c r="E23" s="8" t="s">
        <v>22</v>
      </c>
      <c r="F23" s="151">
        <v>3120.0</v>
      </c>
      <c r="G23" s="74">
        <v>3120.0</v>
      </c>
      <c r="H23" s="74">
        <v>3120.0</v>
      </c>
      <c r="I23" s="74">
        <v>3120.0</v>
      </c>
      <c r="J23" s="74">
        <v>3120.0</v>
      </c>
      <c r="K23" s="74">
        <v>3120.0</v>
      </c>
      <c r="L23" s="74">
        <v>3120.0</v>
      </c>
      <c r="M23" s="74">
        <v>3120.0</v>
      </c>
      <c r="N23" s="74">
        <v>3120.0</v>
      </c>
      <c r="O23" s="74">
        <v>3120.0</v>
      </c>
      <c r="P23" s="74">
        <v>3120.0</v>
      </c>
      <c r="Q23" s="74">
        <v>3120.0</v>
      </c>
      <c r="R23" s="35">
        <f t="shared" si="1"/>
        <v>37440</v>
      </c>
      <c r="S23" s="243">
        <f t="shared" si="2"/>
        <v>9360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f t="shared" si="5"/>
        <v>0</v>
      </c>
    </row>
    <row r="24" ht="12.75" customHeight="1">
      <c r="A24" s="238" t="s">
        <v>353</v>
      </c>
      <c r="B24" s="8" t="s">
        <v>332</v>
      </c>
      <c r="C24" s="241">
        <v>45300.0</v>
      </c>
      <c r="D24" s="241" t="s">
        <v>333</v>
      </c>
      <c r="E24" s="8" t="s">
        <v>22</v>
      </c>
      <c r="F24" s="246">
        <v>0.0</v>
      </c>
      <c r="G24" s="35">
        <v>0.0</v>
      </c>
      <c r="H24" s="35">
        <v>0.0</v>
      </c>
      <c r="I24" s="242">
        <v>0.0</v>
      </c>
      <c r="J24" s="35">
        <v>0.0</v>
      </c>
      <c r="K24" s="35">
        <v>0.0</v>
      </c>
      <c r="L24" s="35">
        <v>0.0</v>
      </c>
      <c r="M24" s="35">
        <v>0.0</v>
      </c>
      <c r="N24" s="35">
        <v>0.0</v>
      </c>
      <c r="O24" s="35">
        <v>0.0</v>
      </c>
      <c r="P24" s="35">
        <v>0.0</v>
      </c>
      <c r="Q24" s="35">
        <v>0.0</v>
      </c>
      <c r="R24" s="242">
        <f t="shared" si="1"/>
        <v>0</v>
      </c>
      <c r="S24" s="243">
        <f t="shared" si="2"/>
        <v>0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f t="shared" si="5"/>
        <v>0</v>
      </c>
    </row>
    <row r="25" ht="12.75" customHeight="1">
      <c r="A25" s="238" t="s">
        <v>373</v>
      </c>
      <c r="B25" s="8" t="s">
        <v>332</v>
      </c>
      <c r="C25" s="241">
        <v>45400.0</v>
      </c>
      <c r="D25" s="241" t="s">
        <v>333</v>
      </c>
      <c r="E25" s="8" t="s">
        <v>24</v>
      </c>
      <c r="F25" s="246">
        <f t="shared" ref="F25:Q25" si="6">88449/12</f>
        <v>7370.75</v>
      </c>
      <c r="G25" s="35">
        <f t="shared" si="6"/>
        <v>7370.75</v>
      </c>
      <c r="H25" s="35">
        <f t="shared" si="6"/>
        <v>7370.75</v>
      </c>
      <c r="I25" s="35">
        <f t="shared" si="6"/>
        <v>7370.75</v>
      </c>
      <c r="J25" s="35">
        <f t="shared" si="6"/>
        <v>7370.75</v>
      </c>
      <c r="K25" s="35">
        <f t="shared" si="6"/>
        <v>7370.75</v>
      </c>
      <c r="L25" s="35">
        <f t="shared" si="6"/>
        <v>7370.75</v>
      </c>
      <c r="M25" s="35">
        <f t="shared" si="6"/>
        <v>7370.75</v>
      </c>
      <c r="N25" s="35">
        <f t="shared" si="6"/>
        <v>7370.75</v>
      </c>
      <c r="O25" s="35">
        <f t="shared" si="6"/>
        <v>7370.75</v>
      </c>
      <c r="P25" s="35">
        <f t="shared" si="6"/>
        <v>7370.75</v>
      </c>
      <c r="Q25" s="35">
        <f t="shared" si="6"/>
        <v>7370.75</v>
      </c>
      <c r="R25" s="35">
        <f t="shared" si="1"/>
        <v>88449</v>
      </c>
      <c r="S25" s="243">
        <f t="shared" si="2"/>
        <v>22112.25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f t="shared" si="5"/>
        <v>0</v>
      </c>
    </row>
    <row r="26" ht="12.75" customHeight="1">
      <c r="A26" s="238" t="s">
        <v>378</v>
      </c>
      <c r="B26" s="8" t="s">
        <v>108</v>
      </c>
      <c r="C26" s="241">
        <v>45400.0</v>
      </c>
      <c r="D26" s="241" t="s">
        <v>312</v>
      </c>
      <c r="E26" s="8" t="s">
        <v>24</v>
      </c>
      <c r="F26" s="259">
        <v>0.0</v>
      </c>
      <c r="G26" s="74">
        <v>0.0</v>
      </c>
      <c r="H26" s="74">
        <v>0.0</v>
      </c>
      <c r="I26" s="74">
        <v>0.0</v>
      </c>
      <c r="J26" s="74">
        <v>0.0</v>
      </c>
      <c r="K26" s="74">
        <v>0.0</v>
      </c>
      <c r="L26" s="74">
        <v>0.0</v>
      </c>
      <c r="M26" s="74">
        <v>0.0</v>
      </c>
      <c r="N26" s="74">
        <v>0.0</v>
      </c>
      <c r="O26" s="74">
        <v>0.0</v>
      </c>
      <c r="P26" s="74">
        <v>0.0</v>
      </c>
      <c r="Q26" s="74">
        <v>0.0</v>
      </c>
      <c r="R26" s="35">
        <f t="shared" si="1"/>
        <v>0</v>
      </c>
      <c r="S26" s="243">
        <f t="shared" si="2"/>
        <v>0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f t="shared" si="5"/>
        <v>0</v>
      </c>
    </row>
    <row r="27" ht="12.75" customHeight="1">
      <c r="A27" s="238" t="s">
        <v>379</v>
      </c>
      <c r="B27" s="8" t="s">
        <v>89</v>
      </c>
      <c r="C27" s="241">
        <v>45400.0</v>
      </c>
      <c r="D27" s="241" t="s">
        <v>312</v>
      </c>
      <c r="E27" s="8" t="s">
        <v>24</v>
      </c>
      <c r="F27" s="151">
        <v>833.3333333333334</v>
      </c>
      <c r="G27" s="74">
        <v>833.3333333333334</v>
      </c>
      <c r="H27" s="74">
        <v>833.3333333333334</v>
      </c>
      <c r="I27" s="74">
        <v>833.3333333333334</v>
      </c>
      <c r="J27" s="74">
        <v>833.3333333333334</v>
      </c>
      <c r="K27" s="74">
        <v>833.3333333333334</v>
      </c>
      <c r="L27" s="74">
        <v>833.3333333333334</v>
      </c>
      <c r="M27" s="74">
        <v>833.3333333333334</v>
      </c>
      <c r="N27" s="74">
        <v>833.3333333333334</v>
      </c>
      <c r="O27" s="74">
        <v>833.3333333333334</v>
      </c>
      <c r="P27" s="74">
        <v>833.3333333333334</v>
      </c>
      <c r="Q27" s="74">
        <v>833.3333333333334</v>
      </c>
      <c r="R27" s="35">
        <f t="shared" si="1"/>
        <v>10000</v>
      </c>
      <c r="S27" s="243">
        <f t="shared" si="2"/>
        <v>2500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f t="shared" si="5"/>
        <v>0</v>
      </c>
    </row>
    <row r="28" ht="12.75" customHeight="1">
      <c r="A28" s="238" t="s">
        <v>382</v>
      </c>
      <c r="B28" s="8" t="s">
        <v>176</v>
      </c>
      <c r="C28" s="241">
        <v>45400.0</v>
      </c>
      <c r="D28" s="241" t="s">
        <v>312</v>
      </c>
      <c r="E28" s="8" t="s">
        <v>24</v>
      </c>
      <c r="F28" s="259">
        <v>0.0</v>
      </c>
      <c r="G28" s="74">
        <v>0.0</v>
      </c>
      <c r="H28" s="74">
        <v>0.0</v>
      </c>
      <c r="I28" s="74">
        <v>0.0</v>
      </c>
      <c r="J28" s="74">
        <v>0.0</v>
      </c>
      <c r="K28" s="74">
        <v>0.0</v>
      </c>
      <c r="L28" s="74">
        <v>0.0</v>
      </c>
      <c r="M28" s="74">
        <v>0.0</v>
      </c>
      <c r="N28" s="74">
        <v>0.0</v>
      </c>
      <c r="O28" s="74">
        <v>0.0</v>
      </c>
      <c r="P28" s="74">
        <v>0.0</v>
      </c>
      <c r="Q28" s="74">
        <v>0.0</v>
      </c>
      <c r="R28" s="35">
        <f t="shared" si="1"/>
        <v>0</v>
      </c>
      <c r="S28" s="243">
        <f t="shared" si="2"/>
        <v>0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f t="shared" si="5"/>
        <v>0</v>
      </c>
    </row>
    <row r="29" ht="12.75" customHeight="1">
      <c r="A29" s="238" t="s">
        <v>373</v>
      </c>
      <c r="B29" s="8" t="s">
        <v>332</v>
      </c>
      <c r="C29" s="241">
        <v>45400.0</v>
      </c>
      <c r="D29" s="241" t="s">
        <v>333</v>
      </c>
      <c r="E29" s="8" t="s">
        <v>24</v>
      </c>
      <c r="F29" s="246">
        <f t="shared" ref="F29:Q29" si="7">90000/12</f>
        <v>7500</v>
      </c>
      <c r="G29" s="35">
        <f t="shared" si="7"/>
        <v>7500</v>
      </c>
      <c r="H29" s="35">
        <f t="shared" si="7"/>
        <v>7500</v>
      </c>
      <c r="I29" s="35">
        <f t="shared" si="7"/>
        <v>7500</v>
      </c>
      <c r="J29" s="35">
        <f t="shared" si="7"/>
        <v>7500</v>
      </c>
      <c r="K29" s="35">
        <f t="shared" si="7"/>
        <v>7500</v>
      </c>
      <c r="L29" s="35">
        <f t="shared" si="7"/>
        <v>7500</v>
      </c>
      <c r="M29" s="35">
        <f t="shared" si="7"/>
        <v>7500</v>
      </c>
      <c r="N29" s="35">
        <f t="shared" si="7"/>
        <v>7500</v>
      </c>
      <c r="O29" s="35">
        <f t="shared" si="7"/>
        <v>7500</v>
      </c>
      <c r="P29" s="35">
        <f t="shared" si="7"/>
        <v>7500</v>
      </c>
      <c r="Q29" s="35">
        <f t="shared" si="7"/>
        <v>7500</v>
      </c>
      <c r="R29" s="242">
        <f t="shared" si="1"/>
        <v>90000</v>
      </c>
      <c r="S29" s="243">
        <f t="shared" si="2"/>
        <v>22500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f t="shared" si="5"/>
        <v>0</v>
      </c>
    </row>
    <row r="30" ht="12.75" customHeight="1">
      <c r="A30" s="238" t="s">
        <v>383</v>
      </c>
      <c r="B30" s="8" t="s">
        <v>343</v>
      </c>
      <c r="C30" s="241">
        <v>45400.0</v>
      </c>
      <c r="D30" s="241" t="s">
        <v>333</v>
      </c>
      <c r="E30" s="8" t="s">
        <v>24</v>
      </c>
      <c r="F30" s="259">
        <f t="shared" ref="F30:Q30" si="8">200000/12</f>
        <v>16666.66667</v>
      </c>
      <c r="G30" s="74">
        <f t="shared" si="8"/>
        <v>16666.66667</v>
      </c>
      <c r="H30" s="74">
        <f t="shared" si="8"/>
        <v>16666.66667</v>
      </c>
      <c r="I30" s="74">
        <f t="shared" si="8"/>
        <v>16666.66667</v>
      </c>
      <c r="J30" s="74">
        <f t="shared" si="8"/>
        <v>16666.66667</v>
      </c>
      <c r="K30" s="74">
        <f t="shared" si="8"/>
        <v>16666.66667</v>
      </c>
      <c r="L30" s="74">
        <f t="shared" si="8"/>
        <v>16666.66667</v>
      </c>
      <c r="M30" s="74">
        <f t="shared" si="8"/>
        <v>16666.66667</v>
      </c>
      <c r="N30" s="74">
        <f t="shared" si="8"/>
        <v>16666.66667</v>
      </c>
      <c r="O30" s="74">
        <f t="shared" si="8"/>
        <v>16666.66667</v>
      </c>
      <c r="P30" s="74">
        <f t="shared" si="8"/>
        <v>16666.66667</v>
      </c>
      <c r="Q30" s="74">
        <f t="shared" si="8"/>
        <v>16666.66667</v>
      </c>
      <c r="R30" s="35">
        <f t="shared" si="1"/>
        <v>200000</v>
      </c>
      <c r="S30" s="243">
        <f t="shared" si="2"/>
        <v>50000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f t="shared" si="5"/>
        <v>0</v>
      </c>
    </row>
    <row r="31" ht="12.75" customHeight="1">
      <c r="A31" s="238" t="s">
        <v>384</v>
      </c>
      <c r="B31" s="8" t="s">
        <v>345</v>
      </c>
      <c r="C31" s="241">
        <v>45400.0</v>
      </c>
      <c r="D31" s="241" t="s">
        <v>333</v>
      </c>
      <c r="E31" s="8" t="s">
        <v>24</v>
      </c>
      <c r="F31" s="259">
        <f t="shared" ref="F31:Q31" si="9">50000/12</f>
        <v>4166.666667</v>
      </c>
      <c r="G31" s="74">
        <f t="shared" si="9"/>
        <v>4166.666667</v>
      </c>
      <c r="H31" s="74">
        <f t="shared" si="9"/>
        <v>4166.666667</v>
      </c>
      <c r="I31" s="74">
        <f t="shared" si="9"/>
        <v>4166.666667</v>
      </c>
      <c r="J31" s="74">
        <f t="shared" si="9"/>
        <v>4166.666667</v>
      </c>
      <c r="K31" s="74">
        <f t="shared" si="9"/>
        <v>4166.666667</v>
      </c>
      <c r="L31" s="74">
        <f t="shared" si="9"/>
        <v>4166.666667</v>
      </c>
      <c r="M31" s="74">
        <f t="shared" si="9"/>
        <v>4166.666667</v>
      </c>
      <c r="N31" s="74">
        <f t="shared" si="9"/>
        <v>4166.666667</v>
      </c>
      <c r="O31" s="74">
        <f t="shared" si="9"/>
        <v>4166.666667</v>
      </c>
      <c r="P31" s="74">
        <f t="shared" si="9"/>
        <v>4166.666667</v>
      </c>
      <c r="Q31" s="74">
        <f t="shared" si="9"/>
        <v>4166.666667</v>
      </c>
      <c r="R31" s="35">
        <f t="shared" si="1"/>
        <v>50000</v>
      </c>
      <c r="S31" s="243">
        <f t="shared" si="2"/>
        <v>12500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f t="shared" si="5"/>
        <v>0</v>
      </c>
    </row>
    <row r="32" ht="12.75" customHeight="1">
      <c r="A32" s="8" t="s">
        <v>193</v>
      </c>
      <c r="B32" s="8" t="s">
        <v>108</v>
      </c>
      <c r="C32" s="241">
        <v>45402.0</v>
      </c>
      <c r="D32" s="241" t="s">
        <v>312</v>
      </c>
      <c r="E32" s="8" t="s">
        <v>387</v>
      </c>
      <c r="F32" s="259">
        <v>0.0</v>
      </c>
      <c r="G32" s="74">
        <v>0.0</v>
      </c>
      <c r="H32" s="74">
        <v>0.0</v>
      </c>
      <c r="I32" s="74">
        <v>0.0</v>
      </c>
      <c r="J32" s="74">
        <v>0.0</v>
      </c>
      <c r="K32" s="74">
        <v>0.0</v>
      </c>
      <c r="L32" s="74">
        <v>0.0</v>
      </c>
      <c r="M32" s="74">
        <v>0.0</v>
      </c>
      <c r="N32" s="74">
        <v>0.0</v>
      </c>
      <c r="O32" s="74">
        <v>0.0</v>
      </c>
      <c r="P32" s="74">
        <v>0.0</v>
      </c>
      <c r="Q32" s="74">
        <v>0.0</v>
      </c>
      <c r="R32" s="35">
        <f t="shared" si="1"/>
        <v>0</v>
      </c>
      <c r="S32" s="243">
        <f t="shared" si="2"/>
        <v>0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f t="shared" si="5"/>
        <v>0</v>
      </c>
    </row>
    <row r="33" ht="12.75" customHeight="1">
      <c r="A33" s="8" t="s">
        <v>172</v>
      </c>
      <c r="B33" s="8" t="s">
        <v>89</v>
      </c>
      <c r="C33" s="241">
        <v>45402.0</v>
      </c>
      <c r="D33" s="241" t="s">
        <v>312</v>
      </c>
      <c r="E33" s="8" t="s">
        <v>387</v>
      </c>
      <c r="F33" s="259">
        <v>0.0</v>
      </c>
      <c r="G33" s="74">
        <v>0.0</v>
      </c>
      <c r="H33" s="74">
        <v>0.0</v>
      </c>
      <c r="I33" s="74">
        <v>0.0</v>
      </c>
      <c r="J33" s="74">
        <v>0.0</v>
      </c>
      <c r="K33" s="74">
        <v>0.0</v>
      </c>
      <c r="L33" s="74">
        <v>0.0</v>
      </c>
      <c r="M33" s="74">
        <v>0.0</v>
      </c>
      <c r="N33" s="74">
        <v>0.0</v>
      </c>
      <c r="O33" s="74">
        <v>0.0</v>
      </c>
      <c r="P33" s="74">
        <v>0.0</v>
      </c>
      <c r="Q33" s="74">
        <v>0.0</v>
      </c>
      <c r="R33" s="35">
        <f t="shared" si="1"/>
        <v>0</v>
      </c>
      <c r="S33" s="243">
        <f t="shared" si="2"/>
        <v>0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f t="shared" si="5"/>
        <v>0</v>
      </c>
    </row>
    <row r="34" ht="12.75" customHeight="1">
      <c r="A34" s="8" t="s">
        <v>172</v>
      </c>
      <c r="B34" s="8" t="s">
        <v>89</v>
      </c>
      <c r="C34" s="241">
        <v>45402.0</v>
      </c>
      <c r="D34" s="241" t="s">
        <v>312</v>
      </c>
      <c r="E34" s="8" t="s">
        <v>387</v>
      </c>
      <c r="F34" s="259">
        <v>0.0</v>
      </c>
      <c r="G34" s="74">
        <v>0.0</v>
      </c>
      <c r="H34" s="74">
        <v>0.0</v>
      </c>
      <c r="I34" s="74">
        <v>0.0</v>
      </c>
      <c r="J34" s="74">
        <v>0.0</v>
      </c>
      <c r="K34" s="74">
        <v>0.0</v>
      </c>
      <c r="L34" s="74">
        <v>0.0</v>
      </c>
      <c r="M34" s="74">
        <v>0.0</v>
      </c>
      <c r="N34" s="74">
        <v>0.0</v>
      </c>
      <c r="O34" s="74">
        <v>0.0</v>
      </c>
      <c r="P34" s="74">
        <v>0.0</v>
      </c>
      <c r="Q34" s="74">
        <v>0.0</v>
      </c>
      <c r="R34" s="35">
        <f t="shared" si="1"/>
        <v>0</v>
      </c>
      <c r="S34" s="243">
        <f t="shared" si="2"/>
        <v>0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f t="shared" si="5"/>
        <v>0</v>
      </c>
    </row>
    <row r="35" ht="12.75" customHeight="1">
      <c r="A35" s="8" t="s">
        <v>388</v>
      </c>
      <c r="B35" s="8" t="s">
        <v>176</v>
      </c>
      <c r="C35" s="241">
        <v>45402.0</v>
      </c>
      <c r="D35" s="241" t="s">
        <v>312</v>
      </c>
      <c r="E35" s="8" t="s">
        <v>387</v>
      </c>
      <c r="F35" s="259">
        <v>0.0</v>
      </c>
      <c r="G35" s="74">
        <v>0.0</v>
      </c>
      <c r="H35" s="74">
        <v>0.0</v>
      </c>
      <c r="I35" s="74">
        <v>0.0</v>
      </c>
      <c r="J35" s="74">
        <v>0.0</v>
      </c>
      <c r="K35" s="74">
        <v>0.0</v>
      </c>
      <c r="L35" s="74">
        <v>0.0</v>
      </c>
      <c r="M35" s="74">
        <v>0.0</v>
      </c>
      <c r="N35" s="74">
        <v>0.0</v>
      </c>
      <c r="O35" s="74">
        <v>0.0</v>
      </c>
      <c r="P35" s="74">
        <v>0.0</v>
      </c>
      <c r="Q35" s="74">
        <v>0.0</v>
      </c>
      <c r="R35" s="35">
        <f t="shared" si="1"/>
        <v>0</v>
      </c>
      <c r="S35" s="243">
        <f t="shared" si="2"/>
        <v>0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f t="shared" si="5"/>
        <v>0</v>
      </c>
    </row>
    <row r="36" ht="12.75" customHeight="1">
      <c r="A36" s="8" t="s">
        <v>389</v>
      </c>
      <c r="B36" s="8" t="s">
        <v>332</v>
      </c>
      <c r="C36" s="241">
        <v>45402.0</v>
      </c>
      <c r="D36" s="241" t="s">
        <v>333</v>
      </c>
      <c r="E36" s="8" t="s">
        <v>387</v>
      </c>
      <c r="F36" s="246">
        <v>0.0</v>
      </c>
      <c r="G36" s="35">
        <v>0.0</v>
      </c>
      <c r="H36" s="35">
        <v>0.0</v>
      </c>
      <c r="I36" s="242">
        <v>0.0</v>
      </c>
      <c r="J36" s="35">
        <v>0.0</v>
      </c>
      <c r="K36" s="35">
        <v>0.0</v>
      </c>
      <c r="L36" s="35">
        <v>0.0</v>
      </c>
      <c r="M36" s="35">
        <v>0.0</v>
      </c>
      <c r="N36" s="35">
        <v>0.0</v>
      </c>
      <c r="O36" s="35">
        <v>0.0</v>
      </c>
      <c r="P36" s="35">
        <v>0.0</v>
      </c>
      <c r="Q36" s="35">
        <v>0.0</v>
      </c>
      <c r="R36" s="242">
        <f t="shared" si="1"/>
        <v>0</v>
      </c>
      <c r="S36" s="243">
        <f t="shared" si="2"/>
        <v>0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f t="shared" si="5"/>
        <v>0</v>
      </c>
    </row>
    <row r="37" ht="12.75" customHeight="1">
      <c r="A37" s="238" t="s">
        <v>394</v>
      </c>
      <c r="B37" s="8" t="s">
        <v>332</v>
      </c>
      <c r="C37" s="241">
        <v>45600.0</v>
      </c>
      <c r="D37" s="241" t="s">
        <v>333</v>
      </c>
      <c r="E37" s="8" t="s">
        <v>110</v>
      </c>
      <c r="F37" s="246">
        <f t="shared" ref="F37:Q37" si="10">44000/12</f>
        <v>3666.666667</v>
      </c>
      <c r="G37" s="35">
        <f t="shared" si="10"/>
        <v>3666.666667</v>
      </c>
      <c r="H37" s="35">
        <f t="shared" si="10"/>
        <v>3666.666667</v>
      </c>
      <c r="I37" s="35">
        <f t="shared" si="10"/>
        <v>3666.666667</v>
      </c>
      <c r="J37" s="35">
        <f t="shared" si="10"/>
        <v>3666.666667</v>
      </c>
      <c r="K37" s="35">
        <f t="shared" si="10"/>
        <v>3666.666667</v>
      </c>
      <c r="L37" s="35">
        <f t="shared" si="10"/>
        <v>3666.666667</v>
      </c>
      <c r="M37" s="35">
        <f t="shared" si="10"/>
        <v>3666.666667</v>
      </c>
      <c r="N37" s="35">
        <f t="shared" si="10"/>
        <v>3666.666667</v>
      </c>
      <c r="O37" s="35">
        <f t="shared" si="10"/>
        <v>3666.666667</v>
      </c>
      <c r="P37" s="35">
        <f t="shared" si="10"/>
        <v>3666.666667</v>
      </c>
      <c r="Q37" s="35">
        <f t="shared" si="10"/>
        <v>3666.666667</v>
      </c>
      <c r="R37" s="35">
        <f t="shared" si="1"/>
        <v>44000</v>
      </c>
      <c r="S37" s="243">
        <f t="shared" si="2"/>
        <v>11000</v>
      </c>
      <c r="T37" s="35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</row>
    <row r="38" ht="12.75" customHeight="1">
      <c r="A38" s="238" t="s">
        <v>399</v>
      </c>
      <c r="B38" s="8" t="s">
        <v>108</v>
      </c>
      <c r="C38" s="241">
        <v>45600.0</v>
      </c>
      <c r="D38" s="241" t="s">
        <v>312</v>
      </c>
      <c r="E38" s="8" t="s">
        <v>110</v>
      </c>
      <c r="F38" s="259">
        <v>0.0</v>
      </c>
      <c r="G38" s="74">
        <v>0.0</v>
      </c>
      <c r="H38" s="74">
        <v>0.0</v>
      </c>
      <c r="I38" s="74">
        <v>0.0</v>
      </c>
      <c r="J38" s="74">
        <v>0.0</v>
      </c>
      <c r="K38" s="74">
        <v>0.0</v>
      </c>
      <c r="L38" s="74">
        <v>0.0</v>
      </c>
      <c r="M38" s="74">
        <v>0.0</v>
      </c>
      <c r="N38" s="74">
        <v>0.0</v>
      </c>
      <c r="O38" s="74">
        <v>0.0</v>
      </c>
      <c r="P38" s="74">
        <v>0.0</v>
      </c>
      <c r="Q38" s="74">
        <v>0.0</v>
      </c>
      <c r="R38" s="35">
        <f t="shared" si="1"/>
        <v>0</v>
      </c>
      <c r="S38" s="243">
        <f t="shared" si="2"/>
        <v>0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</row>
    <row r="39" ht="12.75" customHeight="1">
      <c r="A39" s="238" t="s">
        <v>402</v>
      </c>
      <c r="B39" s="8" t="s">
        <v>89</v>
      </c>
      <c r="C39" s="241">
        <v>45600.0</v>
      </c>
      <c r="D39" s="241" t="s">
        <v>312</v>
      </c>
      <c r="E39" s="8" t="s">
        <v>110</v>
      </c>
      <c r="F39" s="151">
        <f t="shared" ref="F39:Q39" si="11">52000/12</f>
        <v>4333.333333</v>
      </c>
      <c r="G39" s="74">
        <f t="shared" si="11"/>
        <v>4333.333333</v>
      </c>
      <c r="H39" s="74">
        <f t="shared" si="11"/>
        <v>4333.333333</v>
      </c>
      <c r="I39" s="74">
        <f t="shared" si="11"/>
        <v>4333.333333</v>
      </c>
      <c r="J39" s="74">
        <f t="shared" si="11"/>
        <v>4333.333333</v>
      </c>
      <c r="K39" s="74">
        <f t="shared" si="11"/>
        <v>4333.333333</v>
      </c>
      <c r="L39" s="74">
        <f t="shared" si="11"/>
        <v>4333.333333</v>
      </c>
      <c r="M39" s="74">
        <f t="shared" si="11"/>
        <v>4333.333333</v>
      </c>
      <c r="N39" s="74">
        <f t="shared" si="11"/>
        <v>4333.333333</v>
      </c>
      <c r="O39" s="74">
        <f t="shared" si="11"/>
        <v>4333.333333</v>
      </c>
      <c r="P39" s="74">
        <f t="shared" si="11"/>
        <v>4333.333333</v>
      </c>
      <c r="Q39" s="74">
        <f t="shared" si="11"/>
        <v>4333.333333</v>
      </c>
      <c r="R39" s="35">
        <f t="shared" si="1"/>
        <v>52000</v>
      </c>
      <c r="S39" s="243">
        <f t="shared" si="2"/>
        <v>13000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</row>
    <row r="40" ht="12.75" customHeight="1">
      <c r="A40" s="238" t="s">
        <v>403</v>
      </c>
      <c r="B40" s="8" t="s">
        <v>176</v>
      </c>
      <c r="C40" s="241">
        <v>45600.0</v>
      </c>
      <c r="D40" s="241" t="s">
        <v>312</v>
      </c>
      <c r="E40" s="8" t="s">
        <v>110</v>
      </c>
      <c r="F40" s="259">
        <v>0.0</v>
      </c>
      <c r="G40" s="74">
        <v>0.0</v>
      </c>
      <c r="H40" s="74">
        <v>0.0</v>
      </c>
      <c r="I40" s="74">
        <v>0.0</v>
      </c>
      <c r="J40" s="74">
        <v>0.0</v>
      </c>
      <c r="K40" s="74">
        <v>0.0</v>
      </c>
      <c r="L40" s="74">
        <v>0.0</v>
      </c>
      <c r="M40" s="74">
        <v>0.0</v>
      </c>
      <c r="N40" s="74">
        <v>0.0</v>
      </c>
      <c r="O40" s="74">
        <v>0.0</v>
      </c>
      <c r="P40" s="74">
        <v>0.0</v>
      </c>
      <c r="Q40" s="74">
        <v>0.0</v>
      </c>
      <c r="R40" s="35">
        <f t="shared" si="1"/>
        <v>0</v>
      </c>
      <c r="S40" s="243">
        <f t="shared" si="2"/>
        <v>0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</row>
    <row r="41" ht="12.75" customHeight="1">
      <c r="A41" s="238" t="s">
        <v>394</v>
      </c>
      <c r="B41" s="8" t="s">
        <v>332</v>
      </c>
      <c r="C41" s="241">
        <v>45600.0</v>
      </c>
      <c r="D41" s="241" t="s">
        <v>333</v>
      </c>
      <c r="E41" s="8" t="s">
        <v>110</v>
      </c>
      <c r="F41" s="246">
        <v>500.0</v>
      </c>
      <c r="G41" s="35">
        <v>500.0</v>
      </c>
      <c r="H41" s="35">
        <v>500.0</v>
      </c>
      <c r="I41" s="242">
        <v>500.0</v>
      </c>
      <c r="J41" s="35">
        <v>500.0</v>
      </c>
      <c r="K41" s="35">
        <v>500.0</v>
      </c>
      <c r="L41" s="35">
        <v>500.0</v>
      </c>
      <c r="M41" s="35">
        <v>500.0</v>
      </c>
      <c r="N41" s="35">
        <v>500.0</v>
      </c>
      <c r="O41" s="35">
        <v>500.0</v>
      </c>
      <c r="P41" s="35">
        <v>500.0</v>
      </c>
      <c r="Q41" s="35">
        <v>500.0</v>
      </c>
      <c r="R41" s="242">
        <f t="shared" si="1"/>
        <v>6000</v>
      </c>
      <c r="S41" s="243">
        <f t="shared" si="2"/>
        <v>1500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f>SUM(AQ41:BB41)</f>
        <v>0</v>
      </c>
    </row>
    <row r="42" ht="12.75" customHeight="1">
      <c r="A42" s="238" t="s">
        <v>408</v>
      </c>
      <c r="B42" s="8" t="s">
        <v>332</v>
      </c>
      <c r="C42" s="241">
        <v>45702.0</v>
      </c>
      <c r="D42" s="241" t="s">
        <v>333</v>
      </c>
      <c r="E42" s="8" t="s">
        <v>112</v>
      </c>
      <c r="F42" s="246">
        <v>83.33333333333333</v>
      </c>
      <c r="G42" s="35">
        <v>83.33333333333333</v>
      </c>
      <c r="H42" s="35">
        <v>83.33333333333333</v>
      </c>
      <c r="I42" s="35">
        <v>83.33333333333333</v>
      </c>
      <c r="J42" s="35">
        <v>83.33333333333333</v>
      </c>
      <c r="K42" s="35">
        <v>83.33333333333333</v>
      </c>
      <c r="L42" s="35">
        <v>83.33333333333333</v>
      </c>
      <c r="M42" s="35">
        <v>83.33333333333333</v>
      </c>
      <c r="N42" s="35">
        <v>83.33333333333333</v>
      </c>
      <c r="O42" s="35">
        <v>83.33333333333333</v>
      </c>
      <c r="P42" s="35">
        <v>83.33333333333333</v>
      </c>
      <c r="Q42" s="35">
        <v>83.33333333333333</v>
      </c>
      <c r="R42" s="35">
        <f t="shared" si="1"/>
        <v>1000</v>
      </c>
      <c r="S42" s="243">
        <f t="shared" si="2"/>
        <v>250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</row>
    <row r="43" ht="12.75" customHeight="1">
      <c r="A43" s="238" t="s">
        <v>413</v>
      </c>
      <c r="B43" s="8" t="s">
        <v>339</v>
      </c>
      <c r="C43" s="241">
        <v>45702.0</v>
      </c>
      <c r="D43" s="241" t="s">
        <v>333</v>
      </c>
      <c r="E43" s="8" t="s">
        <v>112</v>
      </c>
      <c r="F43" s="246">
        <v>0.0</v>
      </c>
      <c r="G43" s="35">
        <v>0.0</v>
      </c>
      <c r="H43" s="35">
        <v>0.0</v>
      </c>
      <c r="I43" s="35">
        <v>0.0</v>
      </c>
      <c r="J43" s="35">
        <v>0.0</v>
      </c>
      <c r="K43" s="35">
        <v>0.0</v>
      </c>
      <c r="L43" s="35">
        <v>0.0</v>
      </c>
      <c r="M43" s="35">
        <v>0.0</v>
      </c>
      <c r="N43" s="35">
        <v>0.0</v>
      </c>
      <c r="O43" s="35">
        <v>0.0</v>
      </c>
      <c r="P43" s="35">
        <v>0.0</v>
      </c>
      <c r="Q43" s="35">
        <v>0.0</v>
      </c>
      <c r="R43" s="35">
        <f t="shared" si="1"/>
        <v>0</v>
      </c>
      <c r="S43" s="243">
        <f t="shared" si="2"/>
        <v>0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ht="12.75" customHeight="1">
      <c r="A44" s="238" t="s">
        <v>414</v>
      </c>
      <c r="B44" s="8" t="s">
        <v>108</v>
      </c>
      <c r="C44" s="241">
        <v>45702.0</v>
      </c>
      <c r="D44" s="241" t="s">
        <v>312</v>
      </c>
      <c r="E44" s="8" t="s">
        <v>112</v>
      </c>
      <c r="F44" s="259">
        <v>0.0</v>
      </c>
      <c r="G44" s="74">
        <v>0.0</v>
      </c>
      <c r="H44" s="74">
        <v>0.0</v>
      </c>
      <c r="I44" s="74">
        <v>0.0</v>
      </c>
      <c r="J44" s="74">
        <v>0.0</v>
      </c>
      <c r="K44" s="74">
        <v>0.0</v>
      </c>
      <c r="L44" s="74">
        <v>0.0</v>
      </c>
      <c r="M44" s="74">
        <v>0.0</v>
      </c>
      <c r="N44" s="74">
        <v>0.0</v>
      </c>
      <c r="O44" s="74">
        <v>0.0</v>
      </c>
      <c r="P44" s="74">
        <v>0.0</v>
      </c>
      <c r="Q44" s="74">
        <v>0.0</v>
      </c>
      <c r="R44" s="35">
        <f t="shared" si="1"/>
        <v>0</v>
      </c>
      <c r="S44" s="243">
        <f t="shared" si="2"/>
        <v>0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</row>
    <row r="45" ht="12.75" customHeight="1">
      <c r="A45" s="238" t="s">
        <v>416</v>
      </c>
      <c r="B45" s="8" t="s">
        <v>89</v>
      </c>
      <c r="C45" s="241">
        <v>45702.0</v>
      </c>
      <c r="D45" s="241" t="s">
        <v>312</v>
      </c>
      <c r="E45" s="8" t="s">
        <v>112</v>
      </c>
      <c r="F45" s="151">
        <f t="shared" ref="F45:Q45" si="12">16/12</f>
        <v>1.333333333</v>
      </c>
      <c r="G45" s="74">
        <f t="shared" si="12"/>
        <v>1.333333333</v>
      </c>
      <c r="H45" s="74">
        <f t="shared" si="12"/>
        <v>1.333333333</v>
      </c>
      <c r="I45" s="74">
        <f t="shared" si="12"/>
        <v>1.333333333</v>
      </c>
      <c r="J45" s="74">
        <f t="shared" si="12"/>
        <v>1.333333333</v>
      </c>
      <c r="K45" s="74">
        <f t="shared" si="12"/>
        <v>1.333333333</v>
      </c>
      <c r="L45" s="74">
        <f t="shared" si="12"/>
        <v>1.333333333</v>
      </c>
      <c r="M45" s="74">
        <f t="shared" si="12"/>
        <v>1.333333333</v>
      </c>
      <c r="N45" s="74">
        <f t="shared" si="12"/>
        <v>1.333333333</v>
      </c>
      <c r="O45" s="74">
        <f t="shared" si="12"/>
        <v>1.333333333</v>
      </c>
      <c r="P45" s="74">
        <f t="shared" si="12"/>
        <v>1.333333333</v>
      </c>
      <c r="Q45" s="74">
        <f t="shared" si="12"/>
        <v>1.333333333</v>
      </c>
      <c r="R45" s="35">
        <f t="shared" si="1"/>
        <v>16</v>
      </c>
      <c r="S45" s="243">
        <f t="shared" si="2"/>
        <v>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ht="12.75" customHeight="1">
      <c r="A46" s="238" t="s">
        <v>408</v>
      </c>
      <c r="B46" s="8" t="s">
        <v>332</v>
      </c>
      <c r="C46" s="241">
        <v>45702.0</v>
      </c>
      <c r="D46" s="241" t="s">
        <v>333</v>
      </c>
      <c r="E46" s="8" t="s">
        <v>112</v>
      </c>
      <c r="F46" s="246">
        <v>0.0</v>
      </c>
      <c r="G46" s="35">
        <v>0.0</v>
      </c>
      <c r="H46" s="35">
        <v>0.0</v>
      </c>
      <c r="I46" s="242">
        <v>0.0</v>
      </c>
      <c r="J46" s="35">
        <v>0.0</v>
      </c>
      <c r="K46" s="35">
        <v>0.0</v>
      </c>
      <c r="L46" s="35">
        <v>0.0</v>
      </c>
      <c r="M46" s="35">
        <v>0.0</v>
      </c>
      <c r="N46" s="35">
        <v>0.0</v>
      </c>
      <c r="O46" s="35">
        <v>0.0</v>
      </c>
      <c r="P46" s="35">
        <v>0.0</v>
      </c>
      <c r="Q46" s="35">
        <v>0.0</v>
      </c>
      <c r="R46" s="242">
        <f t="shared" si="1"/>
        <v>0</v>
      </c>
      <c r="S46" s="243">
        <f t="shared" si="2"/>
        <v>0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ht="12.75" customHeight="1">
      <c r="A47" s="238" t="s">
        <v>422</v>
      </c>
      <c r="B47" s="8" t="s">
        <v>343</v>
      </c>
      <c r="C47" s="241">
        <v>45702.0</v>
      </c>
      <c r="D47" s="241" t="s">
        <v>333</v>
      </c>
      <c r="E47" s="8" t="s">
        <v>112</v>
      </c>
      <c r="F47" s="246">
        <v>0.0</v>
      </c>
      <c r="G47" s="35">
        <v>0.0</v>
      </c>
      <c r="H47" s="35">
        <v>0.0</v>
      </c>
      <c r="I47" s="35">
        <v>0.0</v>
      </c>
      <c r="J47" s="35">
        <v>0.0</v>
      </c>
      <c r="K47" s="35">
        <v>0.0</v>
      </c>
      <c r="L47" s="35">
        <v>0.0</v>
      </c>
      <c r="M47" s="35">
        <v>0.0</v>
      </c>
      <c r="N47" s="35">
        <v>0.0</v>
      </c>
      <c r="O47" s="35">
        <v>0.0</v>
      </c>
      <c r="P47" s="35">
        <v>0.0</v>
      </c>
      <c r="Q47" s="35">
        <v>0.0</v>
      </c>
      <c r="R47" s="35">
        <f t="shared" si="1"/>
        <v>0</v>
      </c>
      <c r="S47" s="243">
        <f t="shared" si="2"/>
        <v>0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ht="12.75" customHeight="1">
      <c r="A48" s="238" t="s">
        <v>425</v>
      </c>
      <c r="B48" s="8" t="s">
        <v>345</v>
      </c>
      <c r="C48" s="241">
        <v>45702.0</v>
      </c>
      <c r="D48" s="241" t="s">
        <v>333</v>
      </c>
      <c r="E48" s="8" t="s">
        <v>112</v>
      </c>
      <c r="F48" s="246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>
        <f t="shared" si="1"/>
        <v>0</v>
      </c>
      <c r="S48" s="243">
        <f t="shared" si="2"/>
        <v>0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ht="12.75" customHeight="1">
      <c r="A49" s="238" t="s">
        <v>426</v>
      </c>
      <c r="B49" s="8" t="s">
        <v>349</v>
      </c>
      <c r="C49" s="241">
        <v>45702.0</v>
      </c>
      <c r="D49" s="241" t="s">
        <v>333</v>
      </c>
      <c r="E49" s="8" t="s">
        <v>112</v>
      </c>
      <c r="F49" s="246">
        <v>0.0</v>
      </c>
      <c r="G49" s="35">
        <v>0.0</v>
      </c>
      <c r="H49" s="35">
        <v>0.0</v>
      </c>
      <c r="I49" s="35">
        <v>0.0</v>
      </c>
      <c r="J49" s="35">
        <v>0.0</v>
      </c>
      <c r="K49" s="35">
        <v>0.0</v>
      </c>
      <c r="L49" s="35">
        <v>0.0</v>
      </c>
      <c r="M49" s="35">
        <v>0.0</v>
      </c>
      <c r="N49" s="35">
        <v>0.0</v>
      </c>
      <c r="O49" s="35">
        <v>0.0</v>
      </c>
      <c r="P49" s="35">
        <v>0.0</v>
      </c>
      <c r="Q49" s="35">
        <v>0.0</v>
      </c>
      <c r="R49" s="35">
        <f t="shared" si="1"/>
        <v>0</v>
      </c>
      <c r="S49" s="243">
        <f t="shared" si="2"/>
        <v>0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ht="12.75" customHeight="1">
      <c r="A50" s="238" t="s">
        <v>429</v>
      </c>
      <c r="B50" s="8" t="s">
        <v>332</v>
      </c>
      <c r="C50" s="241">
        <v>45703.0</v>
      </c>
      <c r="D50" s="241" t="s">
        <v>333</v>
      </c>
      <c r="E50" s="8" t="s">
        <v>113</v>
      </c>
      <c r="F50" s="246">
        <f t="shared" ref="F50:Q50" si="13">29308/12</f>
        <v>2442.333333</v>
      </c>
      <c r="G50" s="35">
        <f t="shared" si="13"/>
        <v>2442.333333</v>
      </c>
      <c r="H50" s="35">
        <f t="shared" si="13"/>
        <v>2442.333333</v>
      </c>
      <c r="I50" s="35">
        <f t="shared" si="13"/>
        <v>2442.333333</v>
      </c>
      <c r="J50" s="35">
        <f t="shared" si="13"/>
        <v>2442.333333</v>
      </c>
      <c r="K50" s="35">
        <f t="shared" si="13"/>
        <v>2442.333333</v>
      </c>
      <c r="L50" s="35">
        <f t="shared" si="13"/>
        <v>2442.333333</v>
      </c>
      <c r="M50" s="35">
        <f t="shared" si="13"/>
        <v>2442.333333</v>
      </c>
      <c r="N50" s="35">
        <f t="shared" si="13"/>
        <v>2442.333333</v>
      </c>
      <c r="O50" s="35">
        <f t="shared" si="13"/>
        <v>2442.333333</v>
      </c>
      <c r="P50" s="35">
        <f t="shared" si="13"/>
        <v>2442.333333</v>
      </c>
      <c r="Q50" s="35">
        <f t="shared" si="13"/>
        <v>2442.333333</v>
      </c>
      <c r="R50" s="35">
        <f t="shared" si="1"/>
        <v>29308</v>
      </c>
      <c r="S50" s="243">
        <f t="shared" si="2"/>
        <v>7327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f>SUM(AQ50:BB50)</f>
        <v>0</v>
      </c>
    </row>
    <row r="51" ht="12.75" customHeight="1">
      <c r="A51" s="238" t="s">
        <v>436</v>
      </c>
      <c r="B51" s="8" t="s">
        <v>339</v>
      </c>
      <c r="C51" s="241">
        <v>45703.0</v>
      </c>
      <c r="D51" s="241" t="s">
        <v>333</v>
      </c>
      <c r="E51" s="8" t="s">
        <v>113</v>
      </c>
      <c r="F51" s="246">
        <v>0.0</v>
      </c>
      <c r="G51" s="35">
        <v>0.0</v>
      </c>
      <c r="H51" s="35">
        <v>0.0</v>
      </c>
      <c r="I51" s="35">
        <v>0.0</v>
      </c>
      <c r="J51" s="35">
        <v>0.0</v>
      </c>
      <c r="K51" s="35">
        <v>0.0</v>
      </c>
      <c r="L51" s="35">
        <v>0.0</v>
      </c>
      <c r="M51" s="35">
        <v>0.0</v>
      </c>
      <c r="N51" s="35">
        <v>0.0</v>
      </c>
      <c r="O51" s="35">
        <v>0.0</v>
      </c>
      <c r="P51" s="35">
        <v>0.0</v>
      </c>
      <c r="Q51" s="35">
        <v>0.0</v>
      </c>
      <c r="R51" s="35">
        <f t="shared" si="1"/>
        <v>0</v>
      </c>
      <c r="S51" s="243">
        <f t="shared" si="2"/>
        <v>0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ht="12.75" customHeight="1">
      <c r="A52" s="238" t="s">
        <v>439</v>
      </c>
      <c r="B52" s="8" t="s">
        <v>108</v>
      </c>
      <c r="C52" s="241">
        <v>45703.0</v>
      </c>
      <c r="D52" s="241" t="s">
        <v>312</v>
      </c>
      <c r="E52" s="8" t="s">
        <v>113</v>
      </c>
      <c r="F52" s="259">
        <v>0.0</v>
      </c>
      <c r="G52" s="74">
        <v>0.0</v>
      </c>
      <c r="H52" s="74">
        <v>0.0</v>
      </c>
      <c r="I52" s="74">
        <v>0.0</v>
      </c>
      <c r="J52" s="74">
        <v>0.0</v>
      </c>
      <c r="K52" s="74">
        <v>0.0</v>
      </c>
      <c r="L52" s="74">
        <v>0.0</v>
      </c>
      <c r="M52" s="74">
        <v>0.0</v>
      </c>
      <c r="N52" s="74">
        <v>0.0</v>
      </c>
      <c r="O52" s="74">
        <v>0.0</v>
      </c>
      <c r="P52" s="74">
        <v>0.0</v>
      </c>
      <c r="Q52" s="74">
        <v>0.0</v>
      </c>
      <c r="R52" s="35">
        <f t="shared" si="1"/>
        <v>0</v>
      </c>
      <c r="S52" s="243">
        <f t="shared" si="2"/>
        <v>0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</row>
    <row r="53" ht="12.75" customHeight="1">
      <c r="A53" s="238" t="s">
        <v>444</v>
      </c>
      <c r="B53" s="8" t="s">
        <v>89</v>
      </c>
      <c r="C53" s="241">
        <v>45703.0</v>
      </c>
      <c r="D53" s="241" t="s">
        <v>312</v>
      </c>
      <c r="E53" s="8" t="s">
        <v>113</v>
      </c>
      <c r="F53" s="151">
        <v>125.0</v>
      </c>
      <c r="G53" s="74">
        <v>125.0</v>
      </c>
      <c r="H53" s="74">
        <v>125.0</v>
      </c>
      <c r="I53" s="74">
        <v>125.0</v>
      </c>
      <c r="J53" s="74">
        <v>125.0</v>
      </c>
      <c r="K53" s="74">
        <v>125.0</v>
      </c>
      <c r="L53" s="74">
        <v>125.0</v>
      </c>
      <c r="M53" s="74">
        <v>125.0</v>
      </c>
      <c r="N53" s="74">
        <v>125.0</v>
      </c>
      <c r="O53" s="74">
        <v>125.0</v>
      </c>
      <c r="P53" s="74">
        <v>125.0</v>
      </c>
      <c r="Q53" s="74">
        <v>125.0</v>
      </c>
      <c r="R53" s="35">
        <f t="shared" si="1"/>
        <v>1500</v>
      </c>
      <c r="S53" s="243">
        <f t="shared" si="2"/>
        <v>375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ht="12.75" customHeight="1">
      <c r="A54" s="238" t="s">
        <v>429</v>
      </c>
      <c r="B54" s="8" t="s">
        <v>332</v>
      </c>
      <c r="C54" s="241">
        <v>45703.0</v>
      </c>
      <c r="D54" s="241" t="s">
        <v>333</v>
      </c>
      <c r="E54" s="8" t="s">
        <v>113</v>
      </c>
      <c r="F54" s="246">
        <v>0.0</v>
      </c>
      <c r="G54" s="35">
        <v>0.0</v>
      </c>
      <c r="H54" s="35">
        <v>0.0</v>
      </c>
      <c r="I54" s="242">
        <v>0.0</v>
      </c>
      <c r="J54" s="35">
        <v>0.0</v>
      </c>
      <c r="K54" s="35">
        <v>0.0</v>
      </c>
      <c r="L54" s="35">
        <v>0.0</v>
      </c>
      <c r="M54" s="35">
        <v>0.0</v>
      </c>
      <c r="N54" s="35">
        <v>0.0</v>
      </c>
      <c r="O54" s="35">
        <v>0.0</v>
      </c>
      <c r="P54" s="35">
        <v>0.0</v>
      </c>
      <c r="Q54" s="35">
        <v>0.0</v>
      </c>
      <c r="R54" s="242">
        <f t="shared" si="1"/>
        <v>0</v>
      </c>
      <c r="S54" s="243">
        <f t="shared" si="2"/>
        <v>0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</row>
    <row r="55" ht="12.75" customHeight="1">
      <c r="A55" s="238" t="s">
        <v>447</v>
      </c>
      <c r="B55" s="8" t="s">
        <v>343</v>
      </c>
      <c r="C55" s="241">
        <v>45703.0</v>
      </c>
      <c r="D55" s="241" t="s">
        <v>333</v>
      </c>
      <c r="E55" s="8" t="s">
        <v>113</v>
      </c>
      <c r="F55" s="246">
        <v>0.0</v>
      </c>
      <c r="G55" s="35">
        <v>0.0</v>
      </c>
      <c r="H55" s="35">
        <v>0.0</v>
      </c>
      <c r="I55" s="35">
        <v>0.0</v>
      </c>
      <c r="J55" s="35">
        <v>0.0</v>
      </c>
      <c r="K55" s="35">
        <v>0.0</v>
      </c>
      <c r="L55" s="35">
        <v>0.0</v>
      </c>
      <c r="M55" s="35">
        <v>0.0</v>
      </c>
      <c r="N55" s="35">
        <v>0.0</v>
      </c>
      <c r="O55" s="35">
        <v>0.0</v>
      </c>
      <c r="P55" s="35">
        <v>0.0</v>
      </c>
      <c r="Q55" s="35">
        <v>0.0</v>
      </c>
      <c r="R55" s="35">
        <f t="shared" si="1"/>
        <v>0</v>
      </c>
      <c r="S55" s="243">
        <f t="shared" si="2"/>
        <v>0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f t="shared" ref="BC55:BC69" si="14">SUM(AQ55:BB55)</f>
        <v>0</v>
      </c>
    </row>
    <row r="56" ht="12.75" customHeight="1">
      <c r="A56" s="238" t="s">
        <v>452</v>
      </c>
      <c r="B56" s="8" t="s">
        <v>345</v>
      </c>
      <c r="C56" s="241">
        <v>45703.0</v>
      </c>
      <c r="D56" s="241" t="s">
        <v>333</v>
      </c>
      <c r="E56" s="8" t="s">
        <v>113</v>
      </c>
      <c r="F56" s="246">
        <v>833.3333333333334</v>
      </c>
      <c r="G56" s="35">
        <v>833.3333333333334</v>
      </c>
      <c r="H56" s="35">
        <v>833.3333333333334</v>
      </c>
      <c r="I56" s="35">
        <v>833.3333333333334</v>
      </c>
      <c r="J56" s="35">
        <v>833.3333333333334</v>
      </c>
      <c r="K56" s="35">
        <v>833.3333333333334</v>
      </c>
      <c r="L56" s="35">
        <v>833.3333333333334</v>
      </c>
      <c r="M56" s="35">
        <v>833.3333333333334</v>
      </c>
      <c r="N56" s="35">
        <v>833.3333333333334</v>
      </c>
      <c r="O56" s="35">
        <v>833.3333333333334</v>
      </c>
      <c r="P56" s="35">
        <v>833.3333333333334</v>
      </c>
      <c r="Q56" s="35">
        <v>833.3333333333334</v>
      </c>
      <c r="R56" s="35">
        <f t="shared" si="1"/>
        <v>10000</v>
      </c>
      <c r="S56" s="243">
        <f t="shared" si="2"/>
        <v>2500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f t="shared" si="14"/>
        <v>0</v>
      </c>
    </row>
    <row r="57" ht="12.75" customHeight="1">
      <c r="A57" s="238" t="s">
        <v>455</v>
      </c>
      <c r="B57" s="8" t="s">
        <v>349</v>
      </c>
      <c r="C57" s="241">
        <v>45703.0</v>
      </c>
      <c r="D57" s="241" t="s">
        <v>333</v>
      </c>
      <c r="E57" s="8" t="s">
        <v>113</v>
      </c>
      <c r="F57" s="246">
        <v>0.0</v>
      </c>
      <c r="G57" s="35">
        <v>0.0</v>
      </c>
      <c r="H57" s="35">
        <v>0.0</v>
      </c>
      <c r="I57" s="35">
        <v>0.0</v>
      </c>
      <c r="J57" s="35">
        <v>0.0</v>
      </c>
      <c r="K57" s="35">
        <v>0.0</v>
      </c>
      <c r="L57" s="35">
        <v>0.0</v>
      </c>
      <c r="M57" s="35">
        <v>0.0</v>
      </c>
      <c r="N57" s="35">
        <v>0.0</v>
      </c>
      <c r="O57" s="35">
        <v>0.0</v>
      </c>
      <c r="P57" s="35">
        <v>0.0</v>
      </c>
      <c r="Q57" s="35">
        <v>0.0</v>
      </c>
      <c r="R57" s="35">
        <f t="shared" si="1"/>
        <v>0</v>
      </c>
      <c r="S57" s="243">
        <f t="shared" si="2"/>
        <v>0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f t="shared" si="14"/>
        <v>0</v>
      </c>
    </row>
    <row r="58" ht="12.75" customHeight="1">
      <c r="A58" s="238" t="s">
        <v>458</v>
      </c>
      <c r="B58" s="8" t="s">
        <v>332</v>
      </c>
      <c r="C58" s="241">
        <v>45704.0</v>
      </c>
      <c r="D58" s="241" t="s">
        <v>333</v>
      </c>
      <c r="E58" s="8" t="s">
        <v>114</v>
      </c>
      <c r="F58" s="246">
        <v>0.0</v>
      </c>
      <c r="G58" s="35">
        <v>0.0</v>
      </c>
      <c r="H58" s="35">
        <v>0.0</v>
      </c>
      <c r="I58" s="35">
        <v>0.0</v>
      </c>
      <c r="J58" s="35">
        <v>0.0</v>
      </c>
      <c r="K58" s="35">
        <v>0.0</v>
      </c>
      <c r="L58" s="35">
        <v>0.0</v>
      </c>
      <c r="M58" s="35">
        <v>0.0</v>
      </c>
      <c r="N58" s="35">
        <v>0.0</v>
      </c>
      <c r="O58" s="35">
        <v>0.0</v>
      </c>
      <c r="P58" s="35">
        <v>0.0</v>
      </c>
      <c r="Q58" s="35">
        <v>0.0</v>
      </c>
      <c r="R58" s="35">
        <f t="shared" si="1"/>
        <v>0</v>
      </c>
      <c r="S58" s="243">
        <f t="shared" si="2"/>
        <v>0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f t="shared" si="14"/>
        <v>0</v>
      </c>
    </row>
    <row r="59" ht="12.75" customHeight="1">
      <c r="A59" s="238" t="s">
        <v>461</v>
      </c>
      <c r="B59" s="8" t="s">
        <v>339</v>
      </c>
      <c r="C59" s="241">
        <v>45704.0</v>
      </c>
      <c r="D59" s="241" t="s">
        <v>333</v>
      </c>
      <c r="E59" s="8" t="s">
        <v>114</v>
      </c>
      <c r="F59" s="246">
        <v>0.0</v>
      </c>
      <c r="G59" s="35">
        <v>0.0</v>
      </c>
      <c r="H59" s="35">
        <v>0.0</v>
      </c>
      <c r="I59" s="35">
        <v>0.0</v>
      </c>
      <c r="J59" s="35">
        <v>0.0</v>
      </c>
      <c r="K59" s="35">
        <v>0.0</v>
      </c>
      <c r="L59" s="35">
        <v>0.0</v>
      </c>
      <c r="M59" s="35">
        <v>0.0</v>
      </c>
      <c r="N59" s="35">
        <v>0.0</v>
      </c>
      <c r="O59" s="35">
        <v>0.0</v>
      </c>
      <c r="P59" s="35">
        <v>0.0</v>
      </c>
      <c r="Q59" s="35">
        <v>0.0</v>
      </c>
      <c r="R59" s="35">
        <f t="shared" si="1"/>
        <v>0</v>
      </c>
      <c r="S59" s="243">
        <f t="shared" si="2"/>
        <v>0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f t="shared" si="14"/>
        <v>0</v>
      </c>
    </row>
    <row r="60" ht="12.75" customHeight="1">
      <c r="A60" s="238" t="s">
        <v>464</v>
      </c>
      <c r="B60" s="8" t="s">
        <v>108</v>
      </c>
      <c r="C60" s="241">
        <v>45704.0</v>
      </c>
      <c r="D60" s="241" t="s">
        <v>312</v>
      </c>
      <c r="E60" s="8" t="s">
        <v>114</v>
      </c>
      <c r="F60" s="151">
        <f t="shared" ref="F60:Q60" si="15">1000/12</f>
        <v>83.33333333</v>
      </c>
      <c r="G60" s="74">
        <f t="shared" si="15"/>
        <v>83.33333333</v>
      </c>
      <c r="H60" s="74">
        <f t="shared" si="15"/>
        <v>83.33333333</v>
      </c>
      <c r="I60" s="74">
        <f t="shared" si="15"/>
        <v>83.33333333</v>
      </c>
      <c r="J60" s="74">
        <f t="shared" si="15"/>
        <v>83.33333333</v>
      </c>
      <c r="K60" s="74">
        <f t="shared" si="15"/>
        <v>83.33333333</v>
      </c>
      <c r="L60" s="74">
        <f t="shared" si="15"/>
        <v>83.33333333</v>
      </c>
      <c r="M60" s="74">
        <f t="shared" si="15"/>
        <v>83.33333333</v>
      </c>
      <c r="N60" s="74">
        <f t="shared" si="15"/>
        <v>83.33333333</v>
      </c>
      <c r="O60" s="74">
        <f t="shared" si="15"/>
        <v>83.33333333</v>
      </c>
      <c r="P60" s="74">
        <f t="shared" si="15"/>
        <v>83.33333333</v>
      </c>
      <c r="Q60" s="74">
        <f t="shared" si="15"/>
        <v>83.33333333</v>
      </c>
      <c r="R60" s="35">
        <f t="shared" si="1"/>
        <v>1000</v>
      </c>
      <c r="S60" s="243">
        <f t="shared" si="2"/>
        <v>250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f t="shared" si="14"/>
        <v>0</v>
      </c>
    </row>
    <row r="61" ht="12.75" customHeight="1">
      <c r="A61" s="238" t="s">
        <v>473</v>
      </c>
      <c r="B61" s="8" t="s">
        <v>89</v>
      </c>
      <c r="C61" s="241">
        <v>45704.0</v>
      </c>
      <c r="D61" s="241" t="s">
        <v>312</v>
      </c>
      <c r="E61" s="8" t="s">
        <v>114</v>
      </c>
      <c r="F61" s="259">
        <v>0.0</v>
      </c>
      <c r="G61" s="74">
        <v>0.0</v>
      </c>
      <c r="H61" s="74">
        <v>0.0</v>
      </c>
      <c r="I61" s="74">
        <v>0.0</v>
      </c>
      <c r="J61" s="74">
        <v>0.0</v>
      </c>
      <c r="K61" s="74">
        <v>0.0</v>
      </c>
      <c r="L61" s="74">
        <v>0.0</v>
      </c>
      <c r="M61" s="74">
        <v>0.0</v>
      </c>
      <c r="N61" s="74">
        <v>0.0</v>
      </c>
      <c r="O61" s="74">
        <v>0.0</v>
      </c>
      <c r="P61" s="74">
        <v>0.0</v>
      </c>
      <c r="Q61" s="74">
        <v>0.0</v>
      </c>
      <c r="R61" s="35">
        <f t="shared" si="1"/>
        <v>0</v>
      </c>
      <c r="S61" s="243">
        <f t="shared" si="2"/>
        <v>0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f t="shared" si="14"/>
        <v>0</v>
      </c>
    </row>
    <row r="62" ht="12.75" customHeight="1">
      <c r="A62" s="238" t="s">
        <v>458</v>
      </c>
      <c r="B62" s="8" t="s">
        <v>332</v>
      </c>
      <c r="C62" s="241">
        <v>45704.0</v>
      </c>
      <c r="D62" s="241" t="s">
        <v>333</v>
      </c>
      <c r="E62" s="8" t="s">
        <v>114</v>
      </c>
      <c r="F62" s="246">
        <v>0.0</v>
      </c>
      <c r="G62" s="35">
        <v>0.0</v>
      </c>
      <c r="H62" s="35">
        <v>0.0</v>
      </c>
      <c r="I62" s="242">
        <v>0.0</v>
      </c>
      <c r="J62" s="35">
        <v>0.0</v>
      </c>
      <c r="K62" s="35">
        <v>0.0</v>
      </c>
      <c r="L62" s="35">
        <v>0.0</v>
      </c>
      <c r="M62" s="35">
        <v>0.0</v>
      </c>
      <c r="N62" s="35">
        <v>0.0</v>
      </c>
      <c r="O62" s="35">
        <v>0.0</v>
      </c>
      <c r="P62" s="35">
        <v>0.0</v>
      </c>
      <c r="Q62" s="35">
        <v>0.0</v>
      </c>
      <c r="R62" s="242">
        <f t="shared" si="1"/>
        <v>0</v>
      </c>
      <c r="S62" s="243">
        <f t="shared" si="2"/>
        <v>0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f t="shared" si="14"/>
        <v>0</v>
      </c>
    </row>
    <row r="63" ht="12.75" customHeight="1">
      <c r="A63" s="238" t="s">
        <v>478</v>
      </c>
      <c r="B63" s="8" t="s">
        <v>343</v>
      </c>
      <c r="C63" s="241">
        <v>45704.0</v>
      </c>
      <c r="D63" s="241" t="s">
        <v>333</v>
      </c>
      <c r="E63" s="8" t="s">
        <v>114</v>
      </c>
      <c r="F63" s="246">
        <v>0.0</v>
      </c>
      <c r="G63" s="35">
        <v>0.0</v>
      </c>
      <c r="H63" s="35">
        <v>0.0</v>
      </c>
      <c r="I63" s="35">
        <v>0.0</v>
      </c>
      <c r="J63" s="35">
        <v>0.0</v>
      </c>
      <c r="K63" s="35">
        <v>0.0</v>
      </c>
      <c r="L63" s="35">
        <v>0.0</v>
      </c>
      <c r="M63" s="35">
        <v>0.0</v>
      </c>
      <c r="N63" s="35">
        <v>0.0</v>
      </c>
      <c r="O63" s="35">
        <v>0.0</v>
      </c>
      <c r="P63" s="35">
        <v>0.0</v>
      </c>
      <c r="Q63" s="35">
        <v>0.0</v>
      </c>
      <c r="R63" s="35">
        <f t="shared" si="1"/>
        <v>0</v>
      </c>
      <c r="S63" s="243">
        <f t="shared" si="2"/>
        <v>0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f t="shared" si="14"/>
        <v>0</v>
      </c>
    </row>
    <row r="64" ht="12.75" customHeight="1">
      <c r="A64" s="238" t="s">
        <v>481</v>
      </c>
      <c r="B64" s="8" t="s">
        <v>345</v>
      </c>
      <c r="C64" s="241">
        <v>45704.0</v>
      </c>
      <c r="D64" s="241" t="s">
        <v>333</v>
      </c>
      <c r="E64" s="8" t="s">
        <v>114</v>
      </c>
      <c r="F64" s="246">
        <v>0.0</v>
      </c>
      <c r="G64" s="35">
        <v>0.0</v>
      </c>
      <c r="H64" s="35">
        <v>0.0</v>
      </c>
      <c r="I64" s="35">
        <v>0.0</v>
      </c>
      <c r="J64" s="35">
        <v>0.0</v>
      </c>
      <c r="K64" s="35">
        <v>0.0</v>
      </c>
      <c r="L64" s="35">
        <v>0.0</v>
      </c>
      <c r="M64" s="35">
        <v>0.0</v>
      </c>
      <c r="N64" s="35">
        <v>0.0</v>
      </c>
      <c r="O64" s="35">
        <v>0.0</v>
      </c>
      <c r="P64" s="35">
        <v>0.0</v>
      </c>
      <c r="Q64" s="35">
        <v>0.0</v>
      </c>
      <c r="R64" s="35">
        <f t="shared" si="1"/>
        <v>0</v>
      </c>
      <c r="S64" s="243">
        <f t="shared" si="2"/>
        <v>0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f t="shared" si="14"/>
        <v>0</v>
      </c>
    </row>
    <row r="65" ht="12.75" customHeight="1">
      <c r="A65" s="238" t="s">
        <v>484</v>
      </c>
      <c r="B65" s="8" t="s">
        <v>349</v>
      </c>
      <c r="C65" s="241">
        <v>45704.0</v>
      </c>
      <c r="D65" s="241" t="s">
        <v>333</v>
      </c>
      <c r="E65" s="8" t="s">
        <v>114</v>
      </c>
      <c r="F65" s="246">
        <v>0.0</v>
      </c>
      <c r="G65" s="35">
        <v>0.0</v>
      </c>
      <c r="H65" s="35">
        <v>0.0</v>
      </c>
      <c r="I65" s="35">
        <v>0.0</v>
      </c>
      <c r="J65" s="35">
        <v>0.0</v>
      </c>
      <c r="K65" s="35">
        <v>0.0</v>
      </c>
      <c r="L65" s="35">
        <v>0.0</v>
      </c>
      <c r="M65" s="35">
        <v>0.0</v>
      </c>
      <c r="N65" s="35">
        <v>0.0</v>
      </c>
      <c r="O65" s="35">
        <v>0.0</v>
      </c>
      <c r="P65" s="35">
        <v>0.0</v>
      </c>
      <c r="Q65" s="35">
        <v>0.0</v>
      </c>
      <c r="R65" s="35">
        <f t="shared" si="1"/>
        <v>0</v>
      </c>
      <c r="S65" s="243">
        <f t="shared" si="2"/>
        <v>0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f t="shared" si="14"/>
        <v>0</v>
      </c>
    </row>
    <row r="66" ht="12.75" customHeight="1">
      <c r="A66" s="238" t="s">
        <v>487</v>
      </c>
      <c r="B66" s="8" t="s">
        <v>332</v>
      </c>
      <c r="C66" s="241">
        <v>45705.0</v>
      </c>
      <c r="D66" s="241" t="s">
        <v>333</v>
      </c>
      <c r="E66" s="8" t="s">
        <v>116</v>
      </c>
      <c r="F66" s="246">
        <v>0.0</v>
      </c>
      <c r="G66" s="35">
        <v>0.0</v>
      </c>
      <c r="H66" s="35">
        <v>0.0</v>
      </c>
      <c r="I66" s="35">
        <v>0.0</v>
      </c>
      <c r="J66" s="35">
        <v>0.0</v>
      </c>
      <c r="K66" s="35">
        <v>0.0</v>
      </c>
      <c r="L66" s="35">
        <v>0.0</v>
      </c>
      <c r="M66" s="35">
        <v>0.0</v>
      </c>
      <c r="N66" s="35">
        <v>0.0</v>
      </c>
      <c r="O66" s="35">
        <v>0.0</v>
      </c>
      <c r="P66" s="35">
        <v>0.0</v>
      </c>
      <c r="Q66" s="35">
        <v>0.0</v>
      </c>
      <c r="R66" s="35">
        <f t="shared" si="1"/>
        <v>0</v>
      </c>
      <c r="S66" s="243">
        <f t="shared" si="2"/>
        <v>0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f t="shared" si="14"/>
        <v>0</v>
      </c>
    </row>
    <row r="67" ht="12.75" customHeight="1">
      <c r="A67" s="238" t="s">
        <v>490</v>
      </c>
      <c r="B67" s="8" t="s">
        <v>339</v>
      </c>
      <c r="C67" s="241">
        <v>45705.0</v>
      </c>
      <c r="D67" s="241" t="s">
        <v>333</v>
      </c>
      <c r="E67" s="8" t="s">
        <v>116</v>
      </c>
      <c r="F67" s="246">
        <v>0.0</v>
      </c>
      <c r="G67" s="35">
        <v>0.0</v>
      </c>
      <c r="H67" s="35">
        <v>0.0</v>
      </c>
      <c r="I67" s="35">
        <v>0.0</v>
      </c>
      <c r="J67" s="35">
        <v>0.0</v>
      </c>
      <c r="K67" s="35">
        <v>0.0</v>
      </c>
      <c r="L67" s="35">
        <v>0.0</v>
      </c>
      <c r="M67" s="35">
        <v>0.0</v>
      </c>
      <c r="N67" s="35">
        <v>0.0</v>
      </c>
      <c r="O67" s="35">
        <v>0.0</v>
      </c>
      <c r="P67" s="35">
        <v>0.0</v>
      </c>
      <c r="Q67" s="35">
        <v>0.0</v>
      </c>
      <c r="R67" s="35">
        <f t="shared" si="1"/>
        <v>0</v>
      </c>
      <c r="S67" s="243">
        <f t="shared" si="2"/>
        <v>0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f t="shared" si="14"/>
        <v>0</v>
      </c>
    </row>
    <row r="68" ht="12.75" customHeight="1">
      <c r="A68" s="238" t="s">
        <v>493</v>
      </c>
      <c r="B68" s="8" t="s">
        <v>108</v>
      </c>
      <c r="C68" s="241">
        <v>45705.0</v>
      </c>
      <c r="D68" s="241" t="s">
        <v>312</v>
      </c>
      <c r="E68" s="8" t="s">
        <v>116</v>
      </c>
      <c r="F68" s="259">
        <v>0.0</v>
      </c>
      <c r="G68" s="74">
        <v>0.0</v>
      </c>
      <c r="H68" s="74">
        <v>0.0</v>
      </c>
      <c r="I68" s="74">
        <v>0.0</v>
      </c>
      <c r="J68" s="74">
        <v>0.0</v>
      </c>
      <c r="K68" s="74">
        <v>0.0</v>
      </c>
      <c r="L68" s="74">
        <v>0.0</v>
      </c>
      <c r="M68" s="74">
        <v>0.0</v>
      </c>
      <c r="N68" s="74">
        <v>0.0</v>
      </c>
      <c r="O68" s="74">
        <v>0.0</v>
      </c>
      <c r="P68" s="74">
        <v>0.0</v>
      </c>
      <c r="Q68" s="74">
        <v>0.0</v>
      </c>
      <c r="R68" s="35">
        <f t="shared" si="1"/>
        <v>0</v>
      </c>
      <c r="S68" s="243">
        <f t="shared" si="2"/>
        <v>0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f t="shared" si="14"/>
        <v>0</v>
      </c>
    </row>
    <row r="69" ht="12.75" customHeight="1">
      <c r="A69" s="238" t="s">
        <v>496</v>
      </c>
      <c r="B69" s="8" t="s">
        <v>89</v>
      </c>
      <c r="C69" s="241">
        <v>45705.0</v>
      </c>
      <c r="D69" s="241" t="s">
        <v>312</v>
      </c>
      <c r="E69" s="8" t="s">
        <v>116</v>
      </c>
      <c r="F69" s="151">
        <f t="shared" ref="F69:Q69" si="16">9535/12</f>
        <v>794.5833333</v>
      </c>
      <c r="G69" s="74">
        <f t="shared" si="16"/>
        <v>794.5833333</v>
      </c>
      <c r="H69" s="74">
        <f t="shared" si="16"/>
        <v>794.5833333</v>
      </c>
      <c r="I69" s="74">
        <f t="shared" si="16"/>
        <v>794.5833333</v>
      </c>
      <c r="J69" s="74">
        <f t="shared" si="16"/>
        <v>794.5833333</v>
      </c>
      <c r="K69" s="74">
        <f t="shared" si="16"/>
        <v>794.5833333</v>
      </c>
      <c r="L69" s="74">
        <f t="shared" si="16"/>
        <v>794.5833333</v>
      </c>
      <c r="M69" s="74">
        <f t="shared" si="16"/>
        <v>794.5833333</v>
      </c>
      <c r="N69" s="74">
        <f t="shared" si="16"/>
        <v>794.5833333</v>
      </c>
      <c r="O69" s="74">
        <f t="shared" si="16"/>
        <v>794.5833333</v>
      </c>
      <c r="P69" s="74">
        <f t="shared" si="16"/>
        <v>794.5833333</v>
      </c>
      <c r="Q69" s="74">
        <f t="shared" si="16"/>
        <v>794.5833333</v>
      </c>
      <c r="R69" s="35">
        <f t="shared" si="1"/>
        <v>9535</v>
      </c>
      <c r="S69" s="243">
        <f t="shared" si="2"/>
        <v>2383.75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f t="shared" si="14"/>
        <v>0</v>
      </c>
    </row>
    <row r="70" ht="12.75" customHeight="1">
      <c r="A70" s="238" t="s">
        <v>487</v>
      </c>
      <c r="B70" s="8" t="s">
        <v>332</v>
      </c>
      <c r="C70" s="241">
        <v>45705.0</v>
      </c>
      <c r="D70" s="241" t="s">
        <v>333</v>
      </c>
      <c r="E70" s="8" t="s">
        <v>116</v>
      </c>
      <c r="F70" s="246">
        <v>0.0</v>
      </c>
      <c r="G70" s="35">
        <v>0.0</v>
      </c>
      <c r="H70" s="35">
        <v>0.0</v>
      </c>
      <c r="I70" s="242">
        <v>0.0</v>
      </c>
      <c r="J70" s="35">
        <v>0.0</v>
      </c>
      <c r="K70" s="35">
        <v>0.0</v>
      </c>
      <c r="L70" s="35">
        <v>0.0</v>
      </c>
      <c r="M70" s="35">
        <v>0.0</v>
      </c>
      <c r="N70" s="35">
        <v>0.0</v>
      </c>
      <c r="O70" s="35">
        <v>0.0</v>
      </c>
      <c r="P70" s="35">
        <v>0.0</v>
      </c>
      <c r="Q70" s="35">
        <v>0.0</v>
      </c>
      <c r="R70" s="242">
        <f t="shared" si="1"/>
        <v>0</v>
      </c>
      <c r="S70" s="243">
        <f t="shared" si="2"/>
        <v>0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ht="12.75" customHeight="1">
      <c r="A71" s="238" t="s">
        <v>503</v>
      </c>
      <c r="B71" s="8" t="s">
        <v>343</v>
      </c>
      <c r="C71" s="241">
        <v>45705.0</v>
      </c>
      <c r="D71" s="241" t="s">
        <v>333</v>
      </c>
      <c r="E71" s="8" t="s">
        <v>116</v>
      </c>
      <c r="F71" s="246">
        <v>0.0</v>
      </c>
      <c r="G71" s="35">
        <v>0.0</v>
      </c>
      <c r="H71" s="35">
        <v>0.0</v>
      </c>
      <c r="I71" s="35">
        <v>0.0</v>
      </c>
      <c r="J71" s="35">
        <v>0.0</v>
      </c>
      <c r="K71" s="35">
        <v>0.0</v>
      </c>
      <c r="L71" s="35">
        <v>0.0</v>
      </c>
      <c r="M71" s="35">
        <v>0.0</v>
      </c>
      <c r="N71" s="35">
        <v>0.0</v>
      </c>
      <c r="O71" s="35">
        <v>0.0</v>
      </c>
      <c r="P71" s="35">
        <v>0.0</v>
      </c>
      <c r="Q71" s="35">
        <v>0.0</v>
      </c>
      <c r="R71" s="35">
        <f t="shared" si="1"/>
        <v>0</v>
      </c>
      <c r="S71" s="243">
        <f t="shared" si="2"/>
        <v>0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ht="12.75" customHeight="1">
      <c r="A72" s="238" t="s">
        <v>506</v>
      </c>
      <c r="B72" s="8" t="s">
        <v>345</v>
      </c>
      <c r="C72" s="241">
        <v>45705.0</v>
      </c>
      <c r="D72" s="241" t="s">
        <v>333</v>
      </c>
      <c r="E72" s="8" t="s">
        <v>116</v>
      </c>
      <c r="F72" s="246">
        <v>0.0</v>
      </c>
      <c r="G72" s="35">
        <v>0.0</v>
      </c>
      <c r="H72" s="35">
        <v>0.0</v>
      </c>
      <c r="I72" s="35">
        <v>0.0</v>
      </c>
      <c r="J72" s="35">
        <v>0.0</v>
      </c>
      <c r="K72" s="35">
        <v>0.0</v>
      </c>
      <c r="L72" s="35">
        <v>0.0</v>
      </c>
      <c r="M72" s="35">
        <v>0.0</v>
      </c>
      <c r="N72" s="35">
        <v>0.0</v>
      </c>
      <c r="O72" s="35">
        <v>0.0</v>
      </c>
      <c r="P72" s="35">
        <v>0.0</v>
      </c>
      <c r="Q72" s="35">
        <v>0.0</v>
      </c>
      <c r="R72" s="35">
        <f t="shared" si="1"/>
        <v>0</v>
      </c>
      <c r="S72" s="243">
        <f t="shared" si="2"/>
        <v>0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ht="12.75" customHeight="1">
      <c r="A73" s="238" t="s">
        <v>509</v>
      </c>
      <c r="B73" s="8" t="s">
        <v>349</v>
      </c>
      <c r="C73" s="241">
        <v>45705.0</v>
      </c>
      <c r="D73" s="241" t="s">
        <v>333</v>
      </c>
      <c r="E73" s="8" t="s">
        <v>116</v>
      </c>
      <c r="F73" s="246">
        <v>208.33333333333334</v>
      </c>
      <c r="G73" s="35">
        <v>208.33333333333334</v>
      </c>
      <c r="H73" s="35">
        <v>208.33333333333334</v>
      </c>
      <c r="I73" s="35">
        <v>208.33333333333334</v>
      </c>
      <c r="J73" s="35">
        <v>208.33333333333334</v>
      </c>
      <c r="K73" s="35">
        <v>208.33333333333334</v>
      </c>
      <c r="L73" s="35">
        <v>208.33333333333334</v>
      </c>
      <c r="M73" s="35">
        <v>208.33333333333334</v>
      </c>
      <c r="N73" s="35">
        <v>208.33333333333334</v>
      </c>
      <c r="O73" s="35">
        <v>208.33333333333334</v>
      </c>
      <c r="P73" s="35">
        <v>208.33333333333334</v>
      </c>
      <c r="Q73" s="35">
        <v>208.33333333333334</v>
      </c>
      <c r="R73" s="35">
        <f t="shared" si="1"/>
        <v>2500</v>
      </c>
      <c r="S73" s="243">
        <f t="shared" si="2"/>
        <v>625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</row>
    <row r="74" ht="12.75" customHeight="1">
      <c r="A74" s="238" t="s">
        <v>512</v>
      </c>
      <c r="B74" s="8" t="s">
        <v>332</v>
      </c>
      <c r="C74" s="241">
        <v>45710.0</v>
      </c>
      <c r="D74" s="241" t="s">
        <v>333</v>
      </c>
      <c r="E74" s="8" t="s">
        <v>119</v>
      </c>
      <c r="F74" s="246">
        <f t="shared" ref="F74:Q74" si="17">21751/12</f>
        <v>1812.583333</v>
      </c>
      <c r="G74" s="35">
        <f t="shared" si="17"/>
        <v>1812.583333</v>
      </c>
      <c r="H74" s="35">
        <f t="shared" si="17"/>
        <v>1812.583333</v>
      </c>
      <c r="I74" s="35">
        <f t="shared" si="17"/>
        <v>1812.583333</v>
      </c>
      <c r="J74" s="35">
        <f t="shared" si="17"/>
        <v>1812.583333</v>
      </c>
      <c r="K74" s="35">
        <f t="shared" si="17"/>
        <v>1812.583333</v>
      </c>
      <c r="L74" s="35">
        <f t="shared" si="17"/>
        <v>1812.583333</v>
      </c>
      <c r="M74" s="35">
        <f t="shared" si="17"/>
        <v>1812.583333</v>
      </c>
      <c r="N74" s="35">
        <f t="shared" si="17"/>
        <v>1812.583333</v>
      </c>
      <c r="O74" s="35">
        <f t="shared" si="17"/>
        <v>1812.583333</v>
      </c>
      <c r="P74" s="35">
        <f t="shared" si="17"/>
        <v>1812.583333</v>
      </c>
      <c r="Q74" s="35">
        <f t="shared" si="17"/>
        <v>1812.583333</v>
      </c>
      <c r="R74" s="35">
        <f t="shared" si="1"/>
        <v>21751</v>
      </c>
      <c r="S74" s="243">
        <f t="shared" si="2"/>
        <v>5437.75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>
        <f>SUM(AQ74:BB74)</f>
        <v>0</v>
      </c>
    </row>
    <row r="75" ht="12.75" customHeight="1">
      <c r="A75" s="238" t="s">
        <v>516</v>
      </c>
      <c r="B75" s="8" t="s">
        <v>339</v>
      </c>
      <c r="C75" s="241">
        <v>45710.0</v>
      </c>
      <c r="D75" s="241" t="s">
        <v>333</v>
      </c>
      <c r="E75" s="8" t="s">
        <v>119</v>
      </c>
      <c r="F75" s="246">
        <v>0.0</v>
      </c>
      <c r="G75" s="35">
        <v>0.0</v>
      </c>
      <c r="H75" s="35">
        <v>0.0</v>
      </c>
      <c r="I75" s="35">
        <v>0.0</v>
      </c>
      <c r="J75" s="35">
        <v>0.0</v>
      </c>
      <c r="K75" s="35">
        <v>0.0</v>
      </c>
      <c r="L75" s="35">
        <v>0.0</v>
      </c>
      <c r="M75" s="35">
        <v>0.0</v>
      </c>
      <c r="N75" s="35">
        <v>0.0</v>
      </c>
      <c r="O75" s="35">
        <v>0.0</v>
      </c>
      <c r="P75" s="35">
        <v>0.0</v>
      </c>
      <c r="Q75" s="35">
        <v>0.0</v>
      </c>
      <c r="R75" s="35">
        <f t="shared" si="1"/>
        <v>0</v>
      </c>
      <c r="S75" s="243">
        <f t="shared" si="2"/>
        <v>0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ht="12.75" customHeight="1">
      <c r="A76" s="238" t="s">
        <v>517</v>
      </c>
      <c r="B76" s="8" t="s">
        <v>108</v>
      </c>
      <c r="C76" s="241">
        <v>45710.0</v>
      </c>
      <c r="D76" s="241" t="s">
        <v>312</v>
      </c>
      <c r="E76" s="8" t="s">
        <v>119</v>
      </c>
      <c r="F76" s="259">
        <v>0.0</v>
      </c>
      <c r="G76" s="74">
        <v>0.0</v>
      </c>
      <c r="H76" s="74">
        <v>0.0</v>
      </c>
      <c r="I76" s="74">
        <v>0.0</v>
      </c>
      <c r="J76" s="74">
        <v>0.0</v>
      </c>
      <c r="K76" s="74">
        <v>0.0</v>
      </c>
      <c r="L76" s="74">
        <v>0.0</v>
      </c>
      <c r="M76" s="74">
        <v>0.0</v>
      </c>
      <c r="N76" s="74">
        <v>0.0</v>
      </c>
      <c r="O76" s="74">
        <v>0.0</v>
      </c>
      <c r="P76" s="74">
        <v>0.0</v>
      </c>
      <c r="Q76" s="74">
        <v>0.0</v>
      </c>
      <c r="R76" s="35">
        <f t="shared" si="1"/>
        <v>0</v>
      </c>
      <c r="S76" s="243">
        <f t="shared" si="2"/>
        <v>0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ht="12.75" customHeight="1">
      <c r="A77" s="238" t="s">
        <v>519</v>
      </c>
      <c r="B77" s="8" t="s">
        <v>89</v>
      </c>
      <c r="C77" s="241">
        <v>45710.0</v>
      </c>
      <c r="D77" s="241" t="s">
        <v>312</v>
      </c>
      <c r="E77" s="8" t="s">
        <v>119</v>
      </c>
      <c r="F77" s="151">
        <f t="shared" ref="F77:Q77" si="18">67000/12</f>
        <v>5583.333333</v>
      </c>
      <c r="G77" s="74">
        <f t="shared" si="18"/>
        <v>5583.333333</v>
      </c>
      <c r="H77" s="74">
        <f t="shared" si="18"/>
        <v>5583.333333</v>
      </c>
      <c r="I77" s="74">
        <f t="shared" si="18"/>
        <v>5583.333333</v>
      </c>
      <c r="J77" s="74">
        <f t="shared" si="18"/>
        <v>5583.333333</v>
      </c>
      <c r="K77" s="74">
        <f t="shared" si="18"/>
        <v>5583.333333</v>
      </c>
      <c r="L77" s="74">
        <f t="shared" si="18"/>
        <v>5583.333333</v>
      </c>
      <c r="M77" s="74">
        <f t="shared" si="18"/>
        <v>5583.333333</v>
      </c>
      <c r="N77" s="74">
        <f t="shared" si="18"/>
        <v>5583.333333</v>
      </c>
      <c r="O77" s="74">
        <f t="shared" si="18"/>
        <v>5583.333333</v>
      </c>
      <c r="P77" s="74">
        <f t="shared" si="18"/>
        <v>5583.333333</v>
      </c>
      <c r="Q77" s="74">
        <f t="shared" si="18"/>
        <v>5583.333333</v>
      </c>
      <c r="R77" s="35">
        <f t="shared" si="1"/>
        <v>67000</v>
      </c>
      <c r="S77" s="243">
        <f t="shared" si="2"/>
        <v>16750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ht="12.75" customHeight="1">
      <c r="A78" s="238" t="s">
        <v>512</v>
      </c>
      <c r="B78" s="8" t="s">
        <v>332</v>
      </c>
      <c r="C78" s="241">
        <v>45710.0</v>
      </c>
      <c r="D78" s="241" t="s">
        <v>333</v>
      </c>
      <c r="E78" s="8" t="s">
        <v>119</v>
      </c>
      <c r="F78" s="246">
        <v>25.0</v>
      </c>
      <c r="G78" s="35">
        <v>25.0</v>
      </c>
      <c r="H78" s="35">
        <v>25.0</v>
      </c>
      <c r="I78" s="242">
        <v>25.0</v>
      </c>
      <c r="J78" s="35">
        <v>25.0</v>
      </c>
      <c r="K78" s="35">
        <v>25.0</v>
      </c>
      <c r="L78" s="35">
        <v>25.0</v>
      </c>
      <c r="M78" s="35">
        <v>25.0</v>
      </c>
      <c r="N78" s="35">
        <v>25.0</v>
      </c>
      <c r="O78" s="35">
        <v>25.0</v>
      </c>
      <c r="P78" s="35">
        <v>25.0</v>
      </c>
      <c r="Q78" s="35">
        <v>25.0</v>
      </c>
      <c r="R78" s="242">
        <f t="shared" si="1"/>
        <v>300</v>
      </c>
      <c r="S78" s="243">
        <f t="shared" si="2"/>
        <v>75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ht="12.75" customHeight="1">
      <c r="A79" s="238" t="s">
        <v>522</v>
      </c>
      <c r="B79" s="8" t="s">
        <v>343</v>
      </c>
      <c r="C79" s="241">
        <v>45710.0</v>
      </c>
      <c r="D79" s="241" t="s">
        <v>333</v>
      </c>
      <c r="E79" s="8" t="s">
        <v>119</v>
      </c>
      <c r="F79" s="246">
        <v>333.3333333333333</v>
      </c>
      <c r="G79" s="35">
        <v>333.3333333333333</v>
      </c>
      <c r="H79" s="35">
        <v>333.3333333333333</v>
      </c>
      <c r="I79" s="35">
        <v>333.3333333333333</v>
      </c>
      <c r="J79" s="35">
        <v>333.3333333333333</v>
      </c>
      <c r="K79" s="35">
        <v>333.3333333333333</v>
      </c>
      <c r="L79" s="35">
        <v>333.3333333333333</v>
      </c>
      <c r="M79" s="35">
        <v>333.3333333333333</v>
      </c>
      <c r="N79" s="35">
        <v>333.3333333333333</v>
      </c>
      <c r="O79" s="35">
        <v>333.3333333333333</v>
      </c>
      <c r="P79" s="35">
        <v>333.3333333333333</v>
      </c>
      <c r="Q79" s="35">
        <v>333.3333333333333</v>
      </c>
      <c r="R79" s="35">
        <f t="shared" si="1"/>
        <v>4000</v>
      </c>
      <c r="S79" s="243">
        <f t="shared" si="2"/>
        <v>1000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</row>
    <row r="80" ht="12.75" customHeight="1">
      <c r="A80" s="238" t="s">
        <v>523</v>
      </c>
      <c r="B80" s="8" t="s">
        <v>345</v>
      </c>
      <c r="C80" s="241">
        <v>45710.0</v>
      </c>
      <c r="D80" s="241" t="s">
        <v>333</v>
      </c>
      <c r="E80" s="8" t="s">
        <v>119</v>
      </c>
      <c r="F80" s="246">
        <v>1416.6666666666667</v>
      </c>
      <c r="G80" s="35">
        <v>1416.6666666666667</v>
      </c>
      <c r="H80" s="35">
        <v>1416.6666666666667</v>
      </c>
      <c r="I80" s="35">
        <v>1416.6666666666667</v>
      </c>
      <c r="J80" s="35">
        <v>1416.6666666666667</v>
      </c>
      <c r="K80" s="35">
        <v>1416.6666666666667</v>
      </c>
      <c r="L80" s="35">
        <v>1416.6666666666667</v>
      </c>
      <c r="M80" s="35">
        <v>1416.6666666666667</v>
      </c>
      <c r="N80" s="35">
        <v>1416.6666666666667</v>
      </c>
      <c r="O80" s="35">
        <v>1416.6666666666667</v>
      </c>
      <c r="P80" s="35">
        <v>1416.6666666666667</v>
      </c>
      <c r="Q80" s="35">
        <v>1416.6666666666667</v>
      </c>
      <c r="R80" s="35">
        <f t="shared" si="1"/>
        <v>17000</v>
      </c>
      <c r="S80" s="243">
        <f t="shared" si="2"/>
        <v>4250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>
        <f t="shared" ref="BC80:BC210" si="19">SUM(AQ80:BB80)</f>
        <v>0</v>
      </c>
    </row>
    <row r="81" ht="12.75" customHeight="1">
      <c r="A81" s="238" t="s">
        <v>524</v>
      </c>
      <c r="B81" s="8" t="s">
        <v>349</v>
      </c>
      <c r="C81" s="241">
        <v>45710.0</v>
      </c>
      <c r="D81" s="241" t="s">
        <v>333</v>
      </c>
      <c r="E81" s="8" t="s">
        <v>119</v>
      </c>
      <c r="F81" s="246">
        <v>191.66666666666666</v>
      </c>
      <c r="G81" s="35">
        <v>191.66666666666666</v>
      </c>
      <c r="H81" s="35">
        <v>191.66666666666666</v>
      </c>
      <c r="I81" s="35">
        <v>191.66666666666666</v>
      </c>
      <c r="J81" s="35">
        <v>191.66666666666666</v>
      </c>
      <c r="K81" s="35">
        <v>191.66666666666666</v>
      </c>
      <c r="L81" s="35">
        <v>191.66666666666666</v>
      </c>
      <c r="M81" s="35">
        <v>191.66666666666666</v>
      </c>
      <c r="N81" s="35">
        <v>191.66666666666666</v>
      </c>
      <c r="O81" s="35">
        <v>191.66666666666666</v>
      </c>
      <c r="P81" s="35">
        <v>191.66666666666666</v>
      </c>
      <c r="Q81" s="35">
        <v>191.66666666666666</v>
      </c>
      <c r="R81" s="35">
        <f t="shared" si="1"/>
        <v>2300</v>
      </c>
      <c r="S81" s="243">
        <f t="shared" si="2"/>
        <v>575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>
        <f t="shared" si="19"/>
        <v>0</v>
      </c>
    </row>
    <row r="82" ht="12.75" customHeight="1">
      <c r="A82" s="238" t="s">
        <v>525</v>
      </c>
      <c r="B82" s="8" t="s">
        <v>108</v>
      </c>
      <c r="C82" s="241">
        <v>45718.0</v>
      </c>
      <c r="D82" s="241" t="s">
        <v>312</v>
      </c>
      <c r="E82" s="8" t="s">
        <v>526</v>
      </c>
      <c r="F82" s="259">
        <v>0.0</v>
      </c>
      <c r="G82" s="74">
        <v>0.0</v>
      </c>
      <c r="H82" s="74">
        <v>0.0</v>
      </c>
      <c r="I82" s="74">
        <v>0.0</v>
      </c>
      <c r="J82" s="74">
        <v>0.0</v>
      </c>
      <c r="K82" s="74">
        <v>0.0</v>
      </c>
      <c r="L82" s="74">
        <v>0.0</v>
      </c>
      <c r="M82" s="74">
        <v>0.0</v>
      </c>
      <c r="N82" s="74">
        <v>0.0</v>
      </c>
      <c r="O82" s="74">
        <v>0.0</v>
      </c>
      <c r="P82" s="74">
        <v>0.0</v>
      </c>
      <c r="Q82" s="74">
        <v>0.0</v>
      </c>
      <c r="R82" s="35">
        <f t="shared" si="1"/>
        <v>0</v>
      </c>
      <c r="S82" s="243">
        <f t="shared" si="2"/>
        <v>0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>
        <f t="shared" si="19"/>
        <v>0</v>
      </c>
    </row>
    <row r="83" ht="12.75" customHeight="1">
      <c r="A83" s="238" t="s">
        <v>527</v>
      </c>
      <c r="B83" s="8" t="s">
        <v>89</v>
      </c>
      <c r="C83" s="241">
        <v>45718.0</v>
      </c>
      <c r="D83" s="241" t="s">
        <v>312</v>
      </c>
      <c r="E83" s="8" t="s">
        <v>526</v>
      </c>
      <c r="F83" s="259">
        <v>0.0</v>
      </c>
      <c r="G83" s="74">
        <v>0.0</v>
      </c>
      <c r="H83" s="74">
        <v>0.0</v>
      </c>
      <c r="I83" s="74">
        <v>0.0</v>
      </c>
      <c r="J83" s="74">
        <v>0.0</v>
      </c>
      <c r="K83" s="74">
        <v>0.0</v>
      </c>
      <c r="L83" s="74">
        <v>0.0</v>
      </c>
      <c r="M83" s="74">
        <v>0.0</v>
      </c>
      <c r="N83" s="74">
        <v>0.0</v>
      </c>
      <c r="O83" s="74">
        <v>0.0</v>
      </c>
      <c r="P83" s="74">
        <v>0.0</v>
      </c>
      <c r="Q83" s="74">
        <v>0.0</v>
      </c>
      <c r="R83" s="35">
        <f t="shared" si="1"/>
        <v>0</v>
      </c>
      <c r="S83" s="243">
        <f t="shared" si="2"/>
        <v>0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>
        <f t="shared" si="19"/>
        <v>0</v>
      </c>
    </row>
    <row r="84" ht="12.75" customHeight="1">
      <c r="A84" s="238" t="s">
        <v>528</v>
      </c>
      <c r="B84" s="8" t="s">
        <v>176</v>
      </c>
      <c r="C84" s="241">
        <v>45718.0</v>
      </c>
      <c r="D84" s="241" t="s">
        <v>312</v>
      </c>
      <c r="E84" s="8" t="s">
        <v>526</v>
      </c>
      <c r="F84" s="259">
        <v>0.0</v>
      </c>
      <c r="G84" s="74">
        <v>0.0</v>
      </c>
      <c r="H84" s="74">
        <v>0.0</v>
      </c>
      <c r="I84" s="74">
        <v>0.0</v>
      </c>
      <c r="J84" s="74">
        <v>0.0</v>
      </c>
      <c r="K84" s="74">
        <v>0.0</v>
      </c>
      <c r="L84" s="74">
        <v>0.0</v>
      </c>
      <c r="M84" s="74">
        <v>0.0</v>
      </c>
      <c r="N84" s="74">
        <v>0.0</v>
      </c>
      <c r="O84" s="74">
        <v>0.0</v>
      </c>
      <c r="P84" s="74">
        <v>0.0</v>
      </c>
      <c r="Q84" s="74">
        <v>0.0</v>
      </c>
      <c r="R84" s="35">
        <f t="shared" si="1"/>
        <v>0</v>
      </c>
      <c r="S84" s="243">
        <f t="shared" si="2"/>
        <v>0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>
        <f t="shared" si="19"/>
        <v>0</v>
      </c>
    </row>
    <row r="85" ht="12.75" customHeight="1">
      <c r="A85" s="238" t="s">
        <v>529</v>
      </c>
      <c r="B85" s="8" t="s">
        <v>332</v>
      </c>
      <c r="C85" s="241">
        <v>45718.0</v>
      </c>
      <c r="D85" s="241" t="s">
        <v>333</v>
      </c>
      <c r="E85" s="8" t="s">
        <v>526</v>
      </c>
      <c r="F85" s="246">
        <f t="shared" ref="F85:Q85" si="20">23979/12</f>
        <v>1998.25</v>
      </c>
      <c r="G85" s="35">
        <f t="shared" si="20"/>
        <v>1998.25</v>
      </c>
      <c r="H85" s="35">
        <f t="shared" si="20"/>
        <v>1998.25</v>
      </c>
      <c r="I85" s="35">
        <f t="shared" si="20"/>
        <v>1998.25</v>
      </c>
      <c r="J85" s="35">
        <f t="shared" si="20"/>
        <v>1998.25</v>
      </c>
      <c r="K85" s="35">
        <f t="shared" si="20"/>
        <v>1998.25</v>
      </c>
      <c r="L85" s="35">
        <f t="shared" si="20"/>
        <v>1998.25</v>
      </c>
      <c r="M85" s="35">
        <f t="shared" si="20"/>
        <v>1998.25</v>
      </c>
      <c r="N85" s="35">
        <f t="shared" si="20"/>
        <v>1998.25</v>
      </c>
      <c r="O85" s="35">
        <f t="shared" si="20"/>
        <v>1998.25</v>
      </c>
      <c r="P85" s="35">
        <f t="shared" si="20"/>
        <v>1998.25</v>
      </c>
      <c r="Q85" s="35">
        <f t="shared" si="20"/>
        <v>1998.25</v>
      </c>
      <c r="R85" s="242">
        <f t="shared" si="1"/>
        <v>23979</v>
      </c>
      <c r="S85" s="243">
        <f t="shared" si="2"/>
        <v>5994.75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>
        <f t="shared" si="19"/>
        <v>0</v>
      </c>
    </row>
    <row r="86" ht="12.75" customHeight="1">
      <c r="A86" s="238" t="s">
        <v>532</v>
      </c>
      <c r="B86" s="8" t="s">
        <v>332</v>
      </c>
      <c r="C86" s="241">
        <v>45723.0</v>
      </c>
      <c r="D86" s="241" t="s">
        <v>333</v>
      </c>
      <c r="E86" s="8" t="s">
        <v>147</v>
      </c>
      <c r="F86" s="246">
        <f t="shared" ref="F86:Q86" si="21">6842/12</f>
        <v>570.1666667</v>
      </c>
      <c r="G86" s="35">
        <f t="shared" si="21"/>
        <v>570.1666667</v>
      </c>
      <c r="H86" s="35">
        <f t="shared" si="21"/>
        <v>570.1666667</v>
      </c>
      <c r="I86" s="35">
        <f t="shared" si="21"/>
        <v>570.1666667</v>
      </c>
      <c r="J86" s="35">
        <f t="shared" si="21"/>
        <v>570.1666667</v>
      </c>
      <c r="K86" s="35">
        <f t="shared" si="21"/>
        <v>570.1666667</v>
      </c>
      <c r="L86" s="35">
        <f t="shared" si="21"/>
        <v>570.1666667</v>
      </c>
      <c r="M86" s="35">
        <f t="shared" si="21"/>
        <v>570.1666667</v>
      </c>
      <c r="N86" s="35">
        <f t="shared" si="21"/>
        <v>570.1666667</v>
      </c>
      <c r="O86" s="35">
        <f t="shared" si="21"/>
        <v>570.1666667</v>
      </c>
      <c r="P86" s="35">
        <f t="shared" si="21"/>
        <v>570.1666667</v>
      </c>
      <c r="Q86" s="35">
        <f t="shared" si="21"/>
        <v>570.1666667</v>
      </c>
      <c r="R86" s="35">
        <f t="shared" si="1"/>
        <v>6842</v>
      </c>
      <c r="S86" s="243">
        <f t="shared" si="2"/>
        <v>1710.5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>
        <f t="shared" si="19"/>
        <v>0</v>
      </c>
    </row>
    <row r="87" ht="12.75" customHeight="1">
      <c r="A87" s="238" t="s">
        <v>533</v>
      </c>
      <c r="B87" s="8" t="s">
        <v>339</v>
      </c>
      <c r="C87" s="241">
        <v>45723.0</v>
      </c>
      <c r="D87" s="241" t="s">
        <v>333</v>
      </c>
      <c r="E87" s="8" t="s">
        <v>147</v>
      </c>
      <c r="F87" s="246">
        <f t="shared" ref="F87:Q87" si="22">1000/12</f>
        <v>83.33333333</v>
      </c>
      <c r="G87" s="35">
        <f t="shared" si="22"/>
        <v>83.33333333</v>
      </c>
      <c r="H87" s="35">
        <f t="shared" si="22"/>
        <v>83.33333333</v>
      </c>
      <c r="I87" s="35">
        <f t="shared" si="22"/>
        <v>83.33333333</v>
      </c>
      <c r="J87" s="35">
        <f t="shared" si="22"/>
        <v>83.33333333</v>
      </c>
      <c r="K87" s="35">
        <f t="shared" si="22"/>
        <v>83.33333333</v>
      </c>
      <c r="L87" s="35">
        <f t="shared" si="22"/>
        <v>83.33333333</v>
      </c>
      <c r="M87" s="35">
        <f t="shared" si="22"/>
        <v>83.33333333</v>
      </c>
      <c r="N87" s="35">
        <f t="shared" si="22"/>
        <v>83.33333333</v>
      </c>
      <c r="O87" s="35">
        <f t="shared" si="22"/>
        <v>83.33333333</v>
      </c>
      <c r="P87" s="35">
        <f t="shared" si="22"/>
        <v>83.33333333</v>
      </c>
      <c r="Q87" s="35">
        <f t="shared" si="22"/>
        <v>83.33333333</v>
      </c>
      <c r="R87" s="35">
        <f t="shared" si="1"/>
        <v>1000</v>
      </c>
      <c r="S87" s="243">
        <f t="shared" si="2"/>
        <v>250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>
        <f t="shared" si="19"/>
        <v>0</v>
      </c>
    </row>
    <row r="88" ht="12.75" customHeight="1">
      <c r="A88" s="238" t="s">
        <v>534</v>
      </c>
      <c r="B88" s="8" t="s">
        <v>108</v>
      </c>
      <c r="C88" s="241">
        <v>45723.0</v>
      </c>
      <c r="D88" s="241" t="s">
        <v>312</v>
      </c>
      <c r="E88" s="8" t="s">
        <v>147</v>
      </c>
      <c r="F88" s="151">
        <v>43.333333333333336</v>
      </c>
      <c r="G88" s="74">
        <v>43.333333333333336</v>
      </c>
      <c r="H88" s="74">
        <v>43.333333333333336</v>
      </c>
      <c r="I88" s="74">
        <v>43.333333333333336</v>
      </c>
      <c r="J88" s="74">
        <v>43.333333333333336</v>
      </c>
      <c r="K88" s="74">
        <v>43.333333333333336</v>
      </c>
      <c r="L88" s="74">
        <v>43.333333333333336</v>
      </c>
      <c r="M88" s="74">
        <v>43.333333333333336</v>
      </c>
      <c r="N88" s="74">
        <v>43.333333333333336</v>
      </c>
      <c r="O88" s="74">
        <v>43.333333333333336</v>
      </c>
      <c r="P88" s="74">
        <v>43.333333333333336</v>
      </c>
      <c r="Q88" s="74">
        <v>43.333333333333336</v>
      </c>
      <c r="R88" s="35">
        <f t="shared" si="1"/>
        <v>520</v>
      </c>
      <c r="S88" s="243">
        <f t="shared" si="2"/>
        <v>130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>
        <f t="shared" si="19"/>
        <v>0</v>
      </c>
    </row>
    <row r="89" ht="12.75" customHeight="1">
      <c r="A89" s="238" t="s">
        <v>535</v>
      </c>
      <c r="B89" s="8" t="s">
        <v>89</v>
      </c>
      <c r="C89" s="241">
        <v>45723.0</v>
      </c>
      <c r="D89" s="241" t="s">
        <v>312</v>
      </c>
      <c r="E89" s="8" t="s">
        <v>147</v>
      </c>
      <c r="F89" s="151">
        <v>40.0</v>
      </c>
      <c r="G89" s="74">
        <v>40.0</v>
      </c>
      <c r="H89" s="74">
        <v>40.0</v>
      </c>
      <c r="I89" s="74">
        <v>40.0</v>
      </c>
      <c r="J89" s="74">
        <v>40.0</v>
      </c>
      <c r="K89" s="74">
        <v>40.0</v>
      </c>
      <c r="L89" s="74">
        <v>40.0</v>
      </c>
      <c r="M89" s="74">
        <v>40.0</v>
      </c>
      <c r="N89" s="74">
        <v>40.0</v>
      </c>
      <c r="O89" s="74">
        <v>40.0</v>
      </c>
      <c r="P89" s="74">
        <v>40.0</v>
      </c>
      <c r="Q89" s="74">
        <v>40.0</v>
      </c>
      <c r="R89" s="35">
        <f t="shared" si="1"/>
        <v>480</v>
      </c>
      <c r="S89" s="243">
        <f t="shared" si="2"/>
        <v>120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>
        <f t="shared" si="19"/>
        <v>0</v>
      </c>
    </row>
    <row r="90" ht="12.75" customHeight="1">
      <c r="A90" s="238" t="s">
        <v>532</v>
      </c>
      <c r="B90" s="8" t="s">
        <v>332</v>
      </c>
      <c r="C90" s="241">
        <v>45723.0</v>
      </c>
      <c r="D90" s="241" t="s">
        <v>333</v>
      </c>
      <c r="E90" s="8" t="s">
        <v>147</v>
      </c>
      <c r="F90" s="246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242">
        <f t="shared" si="1"/>
        <v>0</v>
      </c>
      <c r="S90" s="243">
        <f t="shared" si="2"/>
        <v>0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>
        <f t="shared" si="19"/>
        <v>0</v>
      </c>
    </row>
    <row r="91" ht="12.75" customHeight="1">
      <c r="A91" s="238" t="s">
        <v>537</v>
      </c>
      <c r="B91" s="8" t="s">
        <v>343</v>
      </c>
      <c r="C91" s="241">
        <v>45723.0</v>
      </c>
      <c r="D91" s="241" t="s">
        <v>333</v>
      </c>
      <c r="E91" s="8" t="s">
        <v>147</v>
      </c>
      <c r="F91" s="246">
        <f t="shared" ref="F91:Q91" si="23">1000/12</f>
        <v>83.33333333</v>
      </c>
      <c r="G91" s="35">
        <f t="shared" si="23"/>
        <v>83.33333333</v>
      </c>
      <c r="H91" s="35">
        <f t="shared" si="23"/>
        <v>83.33333333</v>
      </c>
      <c r="I91" s="35">
        <f t="shared" si="23"/>
        <v>83.33333333</v>
      </c>
      <c r="J91" s="35">
        <f t="shared" si="23"/>
        <v>83.33333333</v>
      </c>
      <c r="K91" s="35">
        <f t="shared" si="23"/>
        <v>83.33333333</v>
      </c>
      <c r="L91" s="35">
        <f t="shared" si="23"/>
        <v>83.33333333</v>
      </c>
      <c r="M91" s="35">
        <f t="shared" si="23"/>
        <v>83.33333333</v>
      </c>
      <c r="N91" s="35">
        <f t="shared" si="23"/>
        <v>83.33333333</v>
      </c>
      <c r="O91" s="35">
        <f t="shared" si="23"/>
        <v>83.33333333</v>
      </c>
      <c r="P91" s="35">
        <f t="shared" si="23"/>
        <v>83.33333333</v>
      </c>
      <c r="Q91" s="35">
        <f t="shared" si="23"/>
        <v>83.33333333</v>
      </c>
      <c r="R91" s="35">
        <f t="shared" si="1"/>
        <v>1000</v>
      </c>
      <c r="S91" s="243">
        <f t="shared" si="2"/>
        <v>250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>
        <f t="shared" si="19"/>
        <v>0</v>
      </c>
    </row>
    <row r="92" ht="12.75" customHeight="1">
      <c r="A92" s="238" t="s">
        <v>538</v>
      </c>
      <c r="B92" s="8" t="s">
        <v>345</v>
      </c>
      <c r="C92" s="241">
        <v>45723.0</v>
      </c>
      <c r="D92" s="241" t="s">
        <v>333</v>
      </c>
      <c r="E92" s="8" t="s">
        <v>147</v>
      </c>
      <c r="F92" s="246">
        <f t="shared" ref="F92:Q92" si="24">1000/12</f>
        <v>83.33333333</v>
      </c>
      <c r="G92" s="35">
        <f t="shared" si="24"/>
        <v>83.33333333</v>
      </c>
      <c r="H92" s="35">
        <f t="shared" si="24"/>
        <v>83.33333333</v>
      </c>
      <c r="I92" s="35">
        <f t="shared" si="24"/>
        <v>83.33333333</v>
      </c>
      <c r="J92" s="35">
        <f t="shared" si="24"/>
        <v>83.33333333</v>
      </c>
      <c r="K92" s="35">
        <f t="shared" si="24"/>
        <v>83.33333333</v>
      </c>
      <c r="L92" s="35">
        <f t="shared" si="24"/>
        <v>83.33333333</v>
      </c>
      <c r="M92" s="35">
        <f t="shared" si="24"/>
        <v>83.33333333</v>
      </c>
      <c r="N92" s="35">
        <f t="shared" si="24"/>
        <v>83.33333333</v>
      </c>
      <c r="O92" s="35">
        <f t="shared" si="24"/>
        <v>83.33333333</v>
      </c>
      <c r="P92" s="35">
        <f t="shared" si="24"/>
        <v>83.33333333</v>
      </c>
      <c r="Q92" s="35">
        <f t="shared" si="24"/>
        <v>83.33333333</v>
      </c>
      <c r="R92" s="35">
        <f t="shared" si="1"/>
        <v>1000</v>
      </c>
      <c r="S92" s="243">
        <f t="shared" si="2"/>
        <v>250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>
        <f t="shared" si="19"/>
        <v>0</v>
      </c>
    </row>
    <row r="93" ht="12.75" customHeight="1">
      <c r="A93" s="238" t="s">
        <v>539</v>
      </c>
      <c r="B93" s="8" t="s">
        <v>349</v>
      </c>
      <c r="C93" s="241">
        <v>45723.0</v>
      </c>
      <c r="D93" s="241" t="s">
        <v>333</v>
      </c>
      <c r="E93" s="8" t="s">
        <v>147</v>
      </c>
      <c r="F93" s="246">
        <f t="shared" ref="F93:Q93" si="25">1000/12</f>
        <v>83.33333333</v>
      </c>
      <c r="G93" s="35">
        <f t="shared" si="25"/>
        <v>83.33333333</v>
      </c>
      <c r="H93" s="35">
        <f t="shared" si="25"/>
        <v>83.33333333</v>
      </c>
      <c r="I93" s="35">
        <f t="shared" si="25"/>
        <v>83.33333333</v>
      </c>
      <c r="J93" s="35">
        <f t="shared" si="25"/>
        <v>83.33333333</v>
      </c>
      <c r="K93" s="35">
        <f t="shared" si="25"/>
        <v>83.33333333</v>
      </c>
      <c r="L93" s="35">
        <f t="shared" si="25"/>
        <v>83.33333333</v>
      </c>
      <c r="M93" s="35">
        <f t="shared" si="25"/>
        <v>83.33333333</v>
      </c>
      <c r="N93" s="35">
        <f t="shared" si="25"/>
        <v>83.33333333</v>
      </c>
      <c r="O93" s="35">
        <f t="shared" si="25"/>
        <v>83.33333333</v>
      </c>
      <c r="P93" s="35">
        <f t="shared" si="25"/>
        <v>83.33333333</v>
      </c>
      <c r="Q93" s="35">
        <f t="shared" si="25"/>
        <v>83.33333333</v>
      </c>
      <c r="R93" s="35">
        <f t="shared" si="1"/>
        <v>1000</v>
      </c>
      <c r="S93" s="243">
        <f t="shared" si="2"/>
        <v>250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>
        <f t="shared" si="19"/>
        <v>0</v>
      </c>
    </row>
    <row r="94" ht="12.75" customHeight="1">
      <c r="A94" s="238" t="s">
        <v>540</v>
      </c>
      <c r="B94" s="8" t="s">
        <v>332</v>
      </c>
      <c r="C94" s="241">
        <v>45800.0</v>
      </c>
      <c r="D94" s="241" t="s">
        <v>333</v>
      </c>
      <c r="E94" s="8" t="s">
        <v>167</v>
      </c>
      <c r="F94" s="246">
        <v>0.0</v>
      </c>
      <c r="G94" s="35">
        <v>0.0</v>
      </c>
      <c r="H94" s="35">
        <v>0.0</v>
      </c>
      <c r="I94" s="35">
        <v>0.0</v>
      </c>
      <c r="J94" s="35">
        <v>0.0</v>
      </c>
      <c r="K94" s="35">
        <v>0.0</v>
      </c>
      <c r="L94" s="35">
        <v>0.0</v>
      </c>
      <c r="M94" s="35">
        <v>0.0</v>
      </c>
      <c r="N94" s="35">
        <v>0.0</v>
      </c>
      <c r="O94" s="35">
        <v>0.0</v>
      </c>
      <c r="P94" s="35">
        <v>0.0</v>
      </c>
      <c r="Q94" s="35">
        <v>0.0</v>
      </c>
      <c r="R94" s="35">
        <f t="shared" si="1"/>
        <v>0</v>
      </c>
      <c r="S94" s="243">
        <f t="shared" si="2"/>
        <v>0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>
        <f t="shared" si="19"/>
        <v>0</v>
      </c>
    </row>
    <row r="95" ht="12.75" customHeight="1">
      <c r="A95" s="238" t="s">
        <v>541</v>
      </c>
      <c r="B95" s="8" t="s">
        <v>339</v>
      </c>
      <c r="C95" s="241">
        <v>45800.0</v>
      </c>
      <c r="D95" s="241" t="s">
        <v>333</v>
      </c>
      <c r="E95" s="8" t="s">
        <v>167</v>
      </c>
      <c r="F95" s="246">
        <v>0.0</v>
      </c>
      <c r="G95" s="35">
        <v>0.0</v>
      </c>
      <c r="H95" s="35">
        <v>0.0</v>
      </c>
      <c r="I95" s="35">
        <v>0.0</v>
      </c>
      <c r="J95" s="35">
        <v>0.0</v>
      </c>
      <c r="K95" s="35">
        <v>0.0</v>
      </c>
      <c r="L95" s="35">
        <v>0.0</v>
      </c>
      <c r="M95" s="35">
        <v>0.0</v>
      </c>
      <c r="N95" s="35">
        <v>0.0</v>
      </c>
      <c r="O95" s="35">
        <v>0.0</v>
      </c>
      <c r="P95" s="35">
        <v>0.0</v>
      </c>
      <c r="Q95" s="35">
        <v>0.0</v>
      </c>
      <c r="R95" s="35">
        <f t="shared" si="1"/>
        <v>0</v>
      </c>
      <c r="S95" s="243">
        <f t="shared" si="2"/>
        <v>0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>
        <f t="shared" si="19"/>
        <v>0</v>
      </c>
    </row>
    <row r="96" ht="12.75" customHeight="1">
      <c r="A96" s="238" t="s">
        <v>542</v>
      </c>
      <c r="B96" s="8" t="s">
        <v>108</v>
      </c>
      <c r="C96" s="241">
        <v>45800.0</v>
      </c>
      <c r="D96" s="241" t="s">
        <v>312</v>
      </c>
      <c r="E96" s="8" t="s">
        <v>167</v>
      </c>
      <c r="F96" s="259">
        <v>0.0</v>
      </c>
      <c r="G96" s="74">
        <v>0.0</v>
      </c>
      <c r="H96" s="74">
        <v>0.0</v>
      </c>
      <c r="I96" s="74">
        <v>0.0</v>
      </c>
      <c r="J96" s="74">
        <v>0.0</v>
      </c>
      <c r="K96" s="74">
        <v>0.0</v>
      </c>
      <c r="L96" s="74">
        <v>0.0</v>
      </c>
      <c r="M96" s="74">
        <v>0.0</v>
      </c>
      <c r="N96" s="74">
        <v>0.0</v>
      </c>
      <c r="O96" s="74">
        <v>0.0</v>
      </c>
      <c r="P96" s="74">
        <v>0.0</v>
      </c>
      <c r="Q96" s="74">
        <v>0.0</v>
      </c>
      <c r="R96" s="35">
        <f t="shared" si="1"/>
        <v>0</v>
      </c>
      <c r="S96" s="243">
        <f t="shared" si="2"/>
        <v>0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>
        <f t="shared" si="19"/>
        <v>0</v>
      </c>
    </row>
    <row r="97" ht="12.75" customHeight="1">
      <c r="A97" s="238" t="s">
        <v>543</v>
      </c>
      <c r="B97" s="8" t="s">
        <v>89</v>
      </c>
      <c r="C97" s="241">
        <v>45800.0</v>
      </c>
      <c r="D97" s="241" t="s">
        <v>312</v>
      </c>
      <c r="E97" s="8" t="s">
        <v>167</v>
      </c>
      <c r="F97" s="259">
        <v>0.0</v>
      </c>
      <c r="G97" s="74">
        <v>0.0</v>
      </c>
      <c r="H97" s="74">
        <v>0.0</v>
      </c>
      <c r="I97" s="74">
        <v>0.0</v>
      </c>
      <c r="J97" s="74">
        <v>0.0</v>
      </c>
      <c r="K97" s="74">
        <v>0.0</v>
      </c>
      <c r="L97" s="74">
        <v>0.0</v>
      </c>
      <c r="M97" s="74">
        <v>0.0</v>
      </c>
      <c r="N97" s="74">
        <v>0.0</v>
      </c>
      <c r="O97" s="74">
        <v>0.0</v>
      </c>
      <c r="P97" s="74">
        <v>0.0</v>
      </c>
      <c r="Q97" s="74">
        <v>0.0</v>
      </c>
      <c r="R97" s="35">
        <f t="shared" si="1"/>
        <v>0</v>
      </c>
      <c r="S97" s="243">
        <f t="shared" si="2"/>
        <v>0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>
        <f t="shared" si="19"/>
        <v>0</v>
      </c>
    </row>
    <row r="98" ht="12.75" customHeight="1">
      <c r="A98" s="238" t="s">
        <v>540</v>
      </c>
      <c r="B98" s="8" t="s">
        <v>332</v>
      </c>
      <c r="C98" s="241">
        <v>45800.0</v>
      </c>
      <c r="D98" s="241" t="s">
        <v>333</v>
      </c>
      <c r="E98" s="8" t="s">
        <v>167</v>
      </c>
      <c r="F98" s="246">
        <v>0.0</v>
      </c>
      <c r="G98" s="74">
        <v>0.0</v>
      </c>
      <c r="H98" s="74">
        <v>0.0</v>
      </c>
      <c r="I98" s="74">
        <v>0.0</v>
      </c>
      <c r="J98" s="74">
        <v>0.0</v>
      </c>
      <c r="K98" s="74">
        <v>0.0</v>
      </c>
      <c r="L98" s="74">
        <v>0.0</v>
      </c>
      <c r="M98" s="74">
        <v>0.0</v>
      </c>
      <c r="N98" s="74">
        <v>0.0</v>
      </c>
      <c r="O98" s="74">
        <v>0.0</v>
      </c>
      <c r="P98" s="74">
        <v>0.0</v>
      </c>
      <c r="Q98" s="74">
        <v>0.0</v>
      </c>
      <c r="R98" s="242">
        <f t="shared" si="1"/>
        <v>0</v>
      </c>
      <c r="S98" s="243">
        <f t="shared" si="2"/>
        <v>0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>
        <f t="shared" si="19"/>
        <v>0</v>
      </c>
    </row>
    <row r="99" ht="12.75" customHeight="1">
      <c r="A99" s="238" t="s">
        <v>544</v>
      </c>
      <c r="B99" s="8" t="s">
        <v>343</v>
      </c>
      <c r="C99" s="241">
        <v>45800.0</v>
      </c>
      <c r="D99" s="241" t="s">
        <v>333</v>
      </c>
      <c r="E99" s="8" t="s">
        <v>167</v>
      </c>
      <c r="F99" s="246">
        <f t="shared" ref="F99:Q99" si="26">63637/12</f>
        <v>5303.083333</v>
      </c>
      <c r="G99" s="35">
        <f t="shared" si="26"/>
        <v>5303.083333</v>
      </c>
      <c r="H99" s="35">
        <f t="shared" si="26"/>
        <v>5303.083333</v>
      </c>
      <c r="I99" s="35">
        <f t="shared" si="26"/>
        <v>5303.083333</v>
      </c>
      <c r="J99" s="35">
        <f t="shared" si="26"/>
        <v>5303.083333</v>
      </c>
      <c r="K99" s="35">
        <f t="shared" si="26"/>
        <v>5303.083333</v>
      </c>
      <c r="L99" s="35">
        <f t="shared" si="26"/>
        <v>5303.083333</v>
      </c>
      <c r="M99" s="35">
        <f t="shared" si="26"/>
        <v>5303.083333</v>
      </c>
      <c r="N99" s="35">
        <f t="shared" si="26"/>
        <v>5303.083333</v>
      </c>
      <c r="O99" s="35">
        <f t="shared" si="26"/>
        <v>5303.083333</v>
      </c>
      <c r="P99" s="35">
        <f t="shared" si="26"/>
        <v>5303.083333</v>
      </c>
      <c r="Q99" s="35">
        <f t="shared" si="26"/>
        <v>5303.083333</v>
      </c>
      <c r="R99" s="35">
        <f t="shared" si="1"/>
        <v>63637</v>
      </c>
      <c r="S99" s="243">
        <f t="shared" si="2"/>
        <v>15909.25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>
        <f t="shared" si="19"/>
        <v>0</v>
      </c>
    </row>
    <row r="100" ht="12.75" customHeight="1">
      <c r="A100" s="238" t="s">
        <v>545</v>
      </c>
      <c r="B100" s="8" t="s">
        <v>345</v>
      </c>
      <c r="C100" s="241">
        <v>45800.0</v>
      </c>
      <c r="D100" s="241" t="s">
        <v>333</v>
      </c>
      <c r="E100" s="8" t="s">
        <v>167</v>
      </c>
      <c r="F100" s="246">
        <v>0.0</v>
      </c>
      <c r="G100" s="35">
        <v>0.0</v>
      </c>
      <c r="H100" s="35">
        <v>0.0</v>
      </c>
      <c r="I100" s="35">
        <v>0.0</v>
      </c>
      <c r="J100" s="35">
        <v>0.0</v>
      </c>
      <c r="K100" s="35">
        <v>0.0</v>
      </c>
      <c r="L100" s="35">
        <v>0.0</v>
      </c>
      <c r="M100" s="35">
        <v>0.0</v>
      </c>
      <c r="N100" s="35">
        <v>0.0</v>
      </c>
      <c r="O100" s="35">
        <v>0.0</v>
      </c>
      <c r="P100" s="35">
        <v>0.0</v>
      </c>
      <c r="Q100" s="35">
        <v>0.0</v>
      </c>
      <c r="R100" s="35">
        <f t="shared" si="1"/>
        <v>0</v>
      </c>
      <c r="S100" s="243">
        <f t="shared" si="2"/>
        <v>0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>
        <f t="shared" si="19"/>
        <v>0</v>
      </c>
    </row>
    <row r="101" ht="12.75" customHeight="1">
      <c r="A101" s="238" t="s">
        <v>546</v>
      </c>
      <c r="B101" s="8" t="s">
        <v>349</v>
      </c>
      <c r="C101" s="241">
        <v>45800.0</v>
      </c>
      <c r="D101" s="241" t="s">
        <v>333</v>
      </c>
      <c r="E101" s="8" t="s">
        <v>167</v>
      </c>
      <c r="F101" s="246">
        <v>0.0</v>
      </c>
      <c r="G101" s="35">
        <v>0.0</v>
      </c>
      <c r="H101" s="35">
        <v>0.0</v>
      </c>
      <c r="I101" s="35">
        <v>0.0</v>
      </c>
      <c r="J101" s="35">
        <v>0.0</v>
      </c>
      <c r="K101" s="35">
        <v>0.0</v>
      </c>
      <c r="L101" s="35">
        <v>0.0</v>
      </c>
      <c r="M101" s="35">
        <v>0.0</v>
      </c>
      <c r="N101" s="35">
        <v>0.0</v>
      </c>
      <c r="O101" s="35">
        <v>0.0</v>
      </c>
      <c r="P101" s="35">
        <v>0.0</v>
      </c>
      <c r="Q101" s="35">
        <v>0.0</v>
      </c>
      <c r="R101" s="35">
        <f t="shared" si="1"/>
        <v>0</v>
      </c>
      <c r="S101" s="243">
        <f t="shared" si="2"/>
        <v>0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>
        <f t="shared" si="19"/>
        <v>0</v>
      </c>
    </row>
    <row r="102" ht="12.75" customHeight="1">
      <c r="A102" s="8" t="s">
        <v>547</v>
      </c>
      <c r="B102" s="8" t="s">
        <v>332</v>
      </c>
      <c r="C102" s="241">
        <v>46200.0</v>
      </c>
      <c r="D102" s="241" t="s">
        <v>333</v>
      </c>
      <c r="E102" s="8" t="s">
        <v>126</v>
      </c>
      <c r="F102" s="246">
        <v>0.0</v>
      </c>
      <c r="G102" s="35">
        <v>0.0</v>
      </c>
      <c r="H102" s="35">
        <v>0.0</v>
      </c>
      <c r="I102" s="242">
        <v>0.0</v>
      </c>
      <c r="J102" s="35">
        <v>0.0</v>
      </c>
      <c r="K102" s="35">
        <v>0.0</v>
      </c>
      <c r="L102" s="35">
        <v>0.0</v>
      </c>
      <c r="M102" s="35">
        <v>0.0</v>
      </c>
      <c r="N102" s="35">
        <v>0.0</v>
      </c>
      <c r="O102" s="35">
        <v>0.0</v>
      </c>
      <c r="P102" s="35">
        <v>0.0</v>
      </c>
      <c r="Q102" s="35">
        <v>0.0</v>
      </c>
      <c r="R102" s="242">
        <f t="shared" si="1"/>
        <v>0</v>
      </c>
      <c r="S102" s="243">
        <f t="shared" si="2"/>
        <v>0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>
        <f t="shared" si="19"/>
        <v>0</v>
      </c>
    </row>
    <row r="103" ht="12.75" customHeight="1">
      <c r="A103" s="238" t="s">
        <v>548</v>
      </c>
      <c r="B103" s="8" t="s">
        <v>332</v>
      </c>
      <c r="C103" s="241">
        <v>46201.0</v>
      </c>
      <c r="D103" s="241" t="s">
        <v>333</v>
      </c>
      <c r="E103" s="8" t="s">
        <v>118</v>
      </c>
      <c r="F103" s="246">
        <v>0.0</v>
      </c>
      <c r="G103" s="35">
        <v>0.0</v>
      </c>
      <c r="H103" s="35">
        <v>0.0</v>
      </c>
      <c r="I103" s="242">
        <v>0.0</v>
      </c>
      <c r="J103" s="35">
        <v>0.0</v>
      </c>
      <c r="K103" s="35">
        <v>0.0</v>
      </c>
      <c r="L103" s="35">
        <v>0.0</v>
      </c>
      <c r="M103" s="35">
        <v>0.0</v>
      </c>
      <c r="N103" s="35">
        <v>0.0</v>
      </c>
      <c r="O103" s="35">
        <v>0.0</v>
      </c>
      <c r="P103" s="35">
        <v>0.0</v>
      </c>
      <c r="Q103" s="35">
        <v>0.0</v>
      </c>
      <c r="R103" s="242">
        <f t="shared" si="1"/>
        <v>0</v>
      </c>
      <c r="S103" s="243">
        <f t="shared" si="2"/>
        <v>0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>
        <f t="shared" si="19"/>
        <v>0</v>
      </c>
    </row>
    <row r="104" ht="12.75" customHeight="1">
      <c r="A104" s="238" t="s">
        <v>549</v>
      </c>
      <c r="B104" s="8" t="s">
        <v>332</v>
      </c>
      <c r="C104" s="241">
        <v>46202.0</v>
      </c>
      <c r="D104" s="241" t="s">
        <v>333</v>
      </c>
      <c r="E104" s="8" t="s">
        <v>115</v>
      </c>
      <c r="F104" s="246">
        <f t="shared" ref="F104:Q104" si="27">7560/12</f>
        <v>630</v>
      </c>
      <c r="G104" s="35">
        <f t="shared" si="27"/>
        <v>630</v>
      </c>
      <c r="H104" s="35">
        <f t="shared" si="27"/>
        <v>630</v>
      </c>
      <c r="I104" s="35">
        <f t="shared" si="27"/>
        <v>630</v>
      </c>
      <c r="J104" s="35">
        <f t="shared" si="27"/>
        <v>630</v>
      </c>
      <c r="K104" s="35">
        <f t="shared" si="27"/>
        <v>630</v>
      </c>
      <c r="L104" s="35">
        <f t="shared" si="27"/>
        <v>630</v>
      </c>
      <c r="M104" s="35">
        <f t="shared" si="27"/>
        <v>630</v>
      </c>
      <c r="N104" s="35">
        <f t="shared" si="27"/>
        <v>630</v>
      </c>
      <c r="O104" s="35">
        <f t="shared" si="27"/>
        <v>630</v>
      </c>
      <c r="P104" s="35">
        <f t="shared" si="27"/>
        <v>630</v>
      </c>
      <c r="Q104" s="35">
        <f t="shared" si="27"/>
        <v>630</v>
      </c>
      <c r="R104" s="242">
        <f t="shared" si="1"/>
        <v>7560</v>
      </c>
      <c r="S104" s="243">
        <f t="shared" si="2"/>
        <v>1890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>
        <f t="shared" si="19"/>
        <v>0</v>
      </c>
    </row>
    <row r="105" ht="12.75" customHeight="1">
      <c r="A105" s="238" t="s">
        <v>550</v>
      </c>
      <c r="B105" s="8" t="s">
        <v>332</v>
      </c>
      <c r="C105" s="241">
        <v>47304.0</v>
      </c>
      <c r="D105" s="241" t="s">
        <v>333</v>
      </c>
      <c r="E105" s="8" t="s">
        <v>155</v>
      </c>
      <c r="F105" s="246">
        <f t="shared" ref="F105:Q105" si="28">1436496/12</f>
        <v>119708</v>
      </c>
      <c r="G105" s="35">
        <f t="shared" si="28"/>
        <v>119708</v>
      </c>
      <c r="H105" s="35">
        <f t="shared" si="28"/>
        <v>119708</v>
      </c>
      <c r="I105" s="35">
        <f t="shared" si="28"/>
        <v>119708</v>
      </c>
      <c r="J105" s="35">
        <f t="shared" si="28"/>
        <v>119708</v>
      </c>
      <c r="K105" s="35">
        <f t="shared" si="28"/>
        <v>119708</v>
      </c>
      <c r="L105" s="35">
        <f t="shared" si="28"/>
        <v>119708</v>
      </c>
      <c r="M105" s="35">
        <f t="shared" si="28"/>
        <v>119708</v>
      </c>
      <c r="N105" s="35">
        <f t="shared" si="28"/>
        <v>119708</v>
      </c>
      <c r="O105" s="35">
        <f t="shared" si="28"/>
        <v>119708</v>
      </c>
      <c r="P105" s="35">
        <f t="shared" si="28"/>
        <v>119708</v>
      </c>
      <c r="Q105" s="35">
        <f t="shared" si="28"/>
        <v>119708</v>
      </c>
      <c r="R105" s="35">
        <f t="shared" si="1"/>
        <v>1436496</v>
      </c>
      <c r="S105" s="243">
        <f t="shared" si="2"/>
        <v>359124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>
        <f t="shared" si="19"/>
        <v>0</v>
      </c>
    </row>
    <row r="106" ht="12.75" customHeight="1">
      <c r="A106" s="238" t="s">
        <v>551</v>
      </c>
      <c r="B106" s="8" t="s">
        <v>339</v>
      </c>
      <c r="C106" s="241">
        <v>47304.0</v>
      </c>
      <c r="D106" s="241" t="s">
        <v>333</v>
      </c>
      <c r="E106" s="8" t="s">
        <v>155</v>
      </c>
      <c r="F106" s="246">
        <v>0.0</v>
      </c>
      <c r="G106" s="35">
        <v>0.0</v>
      </c>
      <c r="H106" s="35">
        <v>0.0</v>
      </c>
      <c r="I106" s="35">
        <v>0.0</v>
      </c>
      <c r="J106" s="35">
        <v>0.0</v>
      </c>
      <c r="K106" s="35">
        <v>0.0</v>
      </c>
      <c r="L106" s="35">
        <v>0.0</v>
      </c>
      <c r="M106" s="35">
        <v>0.0</v>
      </c>
      <c r="N106" s="35">
        <v>0.0</v>
      </c>
      <c r="O106" s="35">
        <v>0.0</v>
      </c>
      <c r="P106" s="35">
        <v>0.0</v>
      </c>
      <c r="Q106" s="35">
        <v>0.0</v>
      </c>
      <c r="R106" s="35">
        <f t="shared" si="1"/>
        <v>0</v>
      </c>
      <c r="S106" s="243">
        <f t="shared" si="2"/>
        <v>0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>
        <f t="shared" si="19"/>
        <v>0</v>
      </c>
    </row>
    <row r="107" ht="12.75" customHeight="1">
      <c r="A107" s="238" t="s">
        <v>552</v>
      </c>
      <c r="B107" s="8" t="s">
        <v>108</v>
      </c>
      <c r="C107" s="241">
        <v>47304.0</v>
      </c>
      <c r="D107" s="241" t="s">
        <v>312</v>
      </c>
      <c r="E107" s="8" t="s">
        <v>155</v>
      </c>
      <c r="F107" s="151">
        <f t="shared" ref="F107:Q107" si="29">410518/12</f>
        <v>34209.83333</v>
      </c>
      <c r="G107" s="74">
        <f t="shared" si="29"/>
        <v>34209.83333</v>
      </c>
      <c r="H107" s="74">
        <f t="shared" si="29"/>
        <v>34209.83333</v>
      </c>
      <c r="I107" s="74">
        <f t="shared" si="29"/>
        <v>34209.83333</v>
      </c>
      <c r="J107" s="74">
        <f t="shared" si="29"/>
        <v>34209.83333</v>
      </c>
      <c r="K107" s="74">
        <f t="shared" si="29"/>
        <v>34209.83333</v>
      </c>
      <c r="L107" s="74">
        <f t="shared" si="29"/>
        <v>34209.83333</v>
      </c>
      <c r="M107" s="74">
        <f t="shared" si="29"/>
        <v>34209.83333</v>
      </c>
      <c r="N107" s="74">
        <f t="shared" si="29"/>
        <v>34209.83333</v>
      </c>
      <c r="O107" s="74">
        <f t="shared" si="29"/>
        <v>34209.83333</v>
      </c>
      <c r="P107" s="74">
        <f t="shared" si="29"/>
        <v>34209.83333</v>
      </c>
      <c r="Q107" s="74">
        <f t="shared" si="29"/>
        <v>34209.83333</v>
      </c>
      <c r="R107" s="35">
        <f t="shared" si="1"/>
        <v>410518</v>
      </c>
      <c r="S107" s="243">
        <f t="shared" si="2"/>
        <v>102629.5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>
        <f t="shared" si="19"/>
        <v>0</v>
      </c>
    </row>
    <row r="108" ht="12.75" customHeight="1">
      <c r="A108" s="238" t="s">
        <v>553</v>
      </c>
      <c r="B108" s="8" t="s">
        <v>89</v>
      </c>
      <c r="C108" s="241">
        <v>47304.0</v>
      </c>
      <c r="D108" s="241" t="s">
        <v>312</v>
      </c>
      <c r="E108" s="8" t="s">
        <v>155</v>
      </c>
      <c r="F108" s="151">
        <f t="shared" ref="F108:Q108" si="30">374446/12</f>
        <v>31203.83333</v>
      </c>
      <c r="G108" s="74">
        <f t="shared" si="30"/>
        <v>31203.83333</v>
      </c>
      <c r="H108" s="74">
        <f t="shared" si="30"/>
        <v>31203.83333</v>
      </c>
      <c r="I108" s="74">
        <f t="shared" si="30"/>
        <v>31203.83333</v>
      </c>
      <c r="J108" s="74">
        <f t="shared" si="30"/>
        <v>31203.83333</v>
      </c>
      <c r="K108" s="74">
        <f t="shared" si="30"/>
        <v>31203.83333</v>
      </c>
      <c r="L108" s="74">
        <f t="shared" si="30"/>
        <v>31203.83333</v>
      </c>
      <c r="M108" s="74">
        <f t="shared" si="30"/>
        <v>31203.83333</v>
      </c>
      <c r="N108" s="74">
        <f t="shared" si="30"/>
        <v>31203.83333</v>
      </c>
      <c r="O108" s="74">
        <f t="shared" si="30"/>
        <v>31203.83333</v>
      </c>
      <c r="P108" s="74">
        <f t="shared" si="30"/>
        <v>31203.83333</v>
      </c>
      <c r="Q108" s="74">
        <f t="shared" si="30"/>
        <v>31203.83333</v>
      </c>
      <c r="R108" s="35">
        <f t="shared" si="1"/>
        <v>374446</v>
      </c>
      <c r="S108" s="243">
        <f t="shared" si="2"/>
        <v>93611.5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>
        <f t="shared" si="19"/>
        <v>0</v>
      </c>
    </row>
    <row r="109" ht="12.75" customHeight="1">
      <c r="A109" s="238" t="s">
        <v>550</v>
      </c>
      <c r="B109" s="8" t="s">
        <v>332</v>
      </c>
      <c r="C109" s="241">
        <v>47304.0</v>
      </c>
      <c r="D109" s="241" t="s">
        <v>333</v>
      </c>
      <c r="E109" s="8" t="s">
        <v>155</v>
      </c>
      <c r="F109" s="246">
        <f t="shared" ref="F109:Q109" si="31">110000/12</f>
        <v>9166.666667</v>
      </c>
      <c r="G109" s="35">
        <f t="shared" si="31"/>
        <v>9166.666667</v>
      </c>
      <c r="H109" s="35">
        <f t="shared" si="31"/>
        <v>9166.666667</v>
      </c>
      <c r="I109" s="35">
        <f t="shared" si="31"/>
        <v>9166.666667</v>
      </c>
      <c r="J109" s="35">
        <f t="shared" si="31"/>
        <v>9166.666667</v>
      </c>
      <c r="K109" s="35">
        <f t="shared" si="31"/>
        <v>9166.666667</v>
      </c>
      <c r="L109" s="35">
        <f t="shared" si="31"/>
        <v>9166.666667</v>
      </c>
      <c r="M109" s="35">
        <f t="shared" si="31"/>
        <v>9166.666667</v>
      </c>
      <c r="N109" s="35">
        <f t="shared" si="31"/>
        <v>9166.666667</v>
      </c>
      <c r="O109" s="35">
        <f t="shared" si="31"/>
        <v>9166.666667</v>
      </c>
      <c r="P109" s="35">
        <f t="shared" si="31"/>
        <v>9166.666667</v>
      </c>
      <c r="Q109" s="35">
        <f t="shared" si="31"/>
        <v>9166.666667</v>
      </c>
      <c r="R109" s="242">
        <f t="shared" si="1"/>
        <v>110000</v>
      </c>
      <c r="S109" s="243">
        <f t="shared" si="2"/>
        <v>27500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>
        <f t="shared" si="19"/>
        <v>0</v>
      </c>
    </row>
    <row r="110" ht="12.75" customHeight="1">
      <c r="A110" s="238" t="s">
        <v>554</v>
      </c>
      <c r="B110" s="8" t="s">
        <v>343</v>
      </c>
      <c r="C110" s="241">
        <v>47304.0</v>
      </c>
      <c r="D110" s="241" t="s">
        <v>333</v>
      </c>
      <c r="E110" s="8" t="s">
        <v>155</v>
      </c>
      <c r="F110" s="246">
        <f t="shared" ref="F110:Q110" si="32">722646/12</f>
        <v>60220.5</v>
      </c>
      <c r="G110" s="35">
        <f t="shared" si="32"/>
        <v>60220.5</v>
      </c>
      <c r="H110" s="35">
        <f t="shared" si="32"/>
        <v>60220.5</v>
      </c>
      <c r="I110" s="35">
        <f t="shared" si="32"/>
        <v>60220.5</v>
      </c>
      <c r="J110" s="35">
        <f t="shared" si="32"/>
        <v>60220.5</v>
      </c>
      <c r="K110" s="35">
        <f t="shared" si="32"/>
        <v>60220.5</v>
      </c>
      <c r="L110" s="35">
        <f t="shared" si="32"/>
        <v>60220.5</v>
      </c>
      <c r="M110" s="35">
        <f t="shared" si="32"/>
        <v>60220.5</v>
      </c>
      <c r="N110" s="35">
        <f t="shared" si="32"/>
        <v>60220.5</v>
      </c>
      <c r="O110" s="35">
        <f t="shared" si="32"/>
        <v>60220.5</v>
      </c>
      <c r="P110" s="35">
        <f t="shared" si="32"/>
        <v>60220.5</v>
      </c>
      <c r="Q110" s="35">
        <f t="shared" si="32"/>
        <v>60220.5</v>
      </c>
      <c r="R110" s="35">
        <f t="shared" si="1"/>
        <v>722646</v>
      </c>
      <c r="S110" s="243">
        <f t="shared" si="2"/>
        <v>180661.5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>
        <f t="shared" si="19"/>
        <v>0</v>
      </c>
    </row>
    <row r="111" ht="12.75" customHeight="1">
      <c r="A111" s="238" t="s">
        <v>555</v>
      </c>
      <c r="B111" s="8" t="s">
        <v>345</v>
      </c>
      <c r="C111" s="241">
        <v>47304.0</v>
      </c>
      <c r="D111" s="241" t="s">
        <v>333</v>
      </c>
      <c r="E111" s="8" t="s">
        <v>155</v>
      </c>
      <c r="F111" s="246">
        <f t="shared" ref="F111:Q111" si="33">430600/12</f>
        <v>35883.33333</v>
      </c>
      <c r="G111" s="35">
        <f t="shared" si="33"/>
        <v>35883.33333</v>
      </c>
      <c r="H111" s="35">
        <f t="shared" si="33"/>
        <v>35883.33333</v>
      </c>
      <c r="I111" s="35">
        <f t="shared" si="33"/>
        <v>35883.33333</v>
      </c>
      <c r="J111" s="35">
        <f t="shared" si="33"/>
        <v>35883.33333</v>
      </c>
      <c r="K111" s="35">
        <f t="shared" si="33"/>
        <v>35883.33333</v>
      </c>
      <c r="L111" s="35">
        <f t="shared" si="33"/>
        <v>35883.33333</v>
      </c>
      <c r="M111" s="35">
        <f t="shared" si="33"/>
        <v>35883.33333</v>
      </c>
      <c r="N111" s="35">
        <f t="shared" si="33"/>
        <v>35883.33333</v>
      </c>
      <c r="O111" s="35">
        <f t="shared" si="33"/>
        <v>35883.33333</v>
      </c>
      <c r="P111" s="35">
        <f t="shared" si="33"/>
        <v>35883.33333</v>
      </c>
      <c r="Q111" s="35">
        <f t="shared" si="33"/>
        <v>35883.33333</v>
      </c>
      <c r="R111" s="35">
        <f t="shared" si="1"/>
        <v>430600</v>
      </c>
      <c r="S111" s="243">
        <f t="shared" si="2"/>
        <v>107650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>
        <f t="shared" si="19"/>
        <v>0</v>
      </c>
    </row>
    <row r="112" ht="12.75" customHeight="1">
      <c r="A112" s="238" t="s">
        <v>556</v>
      </c>
      <c r="B112" s="8" t="s">
        <v>349</v>
      </c>
      <c r="C112" s="241">
        <v>47304.0</v>
      </c>
      <c r="D112" s="241" t="s">
        <v>333</v>
      </c>
      <c r="E112" s="8" t="s">
        <v>155</v>
      </c>
      <c r="F112" s="246">
        <f t="shared" ref="F112:Q112" si="34">541942/12</f>
        <v>45161.83333</v>
      </c>
      <c r="G112" s="35">
        <f t="shared" si="34"/>
        <v>45161.83333</v>
      </c>
      <c r="H112" s="35">
        <f t="shared" si="34"/>
        <v>45161.83333</v>
      </c>
      <c r="I112" s="35">
        <f t="shared" si="34"/>
        <v>45161.83333</v>
      </c>
      <c r="J112" s="35">
        <f t="shared" si="34"/>
        <v>45161.83333</v>
      </c>
      <c r="K112" s="35">
        <f t="shared" si="34"/>
        <v>45161.83333</v>
      </c>
      <c r="L112" s="35">
        <f t="shared" si="34"/>
        <v>45161.83333</v>
      </c>
      <c r="M112" s="35">
        <f t="shared" si="34"/>
        <v>45161.83333</v>
      </c>
      <c r="N112" s="35">
        <f t="shared" si="34"/>
        <v>45161.83333</v>
      </c>
      <c r="O112" s="35">
        <f t="shared" si="34"/>
        <v>45161.83333</v>
      </c>
      <c r="P112" s="35">
        <f t="shared" si="34"/>
        <v>45161.83333</v>
      </c>
      <c r="Q112" s="35">
        <f t="shared" si="34"/>
        <v>45161.83333</v>
      </c>
      <c r="R112" s="35">
        <f t="shared" si="1"/>
        <v>541942</v>
      </c>
      <c r="S112" s="243">
        <f t="shared" si="2"/>
        <v>135485.5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>
        <f t="shared" si="19"/>
        <v>0</v>
      </c>
    </row>
    <row r="113" ht="12.75" customHeight="1">
      <c r="A113" s="238" t="s">
        <v>557</v>
      </c>
      <c r="B113" s="8" t="s">
        <v>332</v>
      </c>
      <c r="C113" s="241">
        <v>47305.0</v>
      </c>
      <c r="D113" s="241" t="s">
        <v>333</v>
      </c>
      <c r="E113" s="8" t="s">
        <v>156</v>
      </c>
      <c r="F113" s="246">
        <v>0.0</v>
      </c>
      <c r="G113" s="35">
        <v>0.0</v>
      </c>
      <c r="H113" s="35">
        <v>0.0</v>
      </c>
      <c r="I113" s="35">
        <v>0.0</v>
      </c>
      <c r="J113" s="35">
        <v>0.0</v>
      </c>
      <c r="K113" s="35">
        <v>0.0</v>
      </c>
      <c r="L113" s="35">
        <v>0.0</v>
      </c>
      <c r="M113" s="35">
        <v>0.0</v>
      </c>
      <c r="N113" s="35">
        <v>0.0</v>
      </c>
      <c r="O113" s="35">
        <v>0.0</v>
      </c>
      <c r="P113" s="35">
        <v>0.0</v>
      </c>
      <c r="Q113" s="35">
        <v>0.0</v>
      </c>
      <c r="R113" s="35">
        <f t="shared" si="1"/>
        <v>0</v>
      </c>
      <c r="S113" s="243">
        <f t="shared" si="2"/>
        <v>0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>
        <f t="shared" si="19"/>
        <v>0</v>
      </c>
    </row>
    <row r="114" ht="12.75" customHeight="1">
      <c r="A114" s="238" t="s">
        <v>558</v>
      </c>
      <c r="B114" s="8" t="s">
        <v>339</v>
      </c>
      <c r="C114" s="241">
        <v>47305.0</v>
      </c>
      <c r="D114" s="241" t="s">
        <v>333</v>
      </c>
      <c r="E114" s="8" t="s">
        <v>156</v>
      </c>
      <c r="F114" s="246">
        <v>0.0</v>
      </c>
      <c r="G114" s="35">
        <v>0.0</v>
      </c>
      <c r="H114" s="35">
        <v>0.0</v>
      </c>
      <c r="I114" s="35">
        <v>0.0</v>
      </c>
      <c r="J114" s="35">
        <v>0.0</v>
      </c>
      <c r="K114" s="35">
        <v>0.0</v>
      </c>
      <c r="L114" s="35">
        <v>0.0</v>
      </c>
      <c r="M114" s="35">
        <v>0.0</v>
      </c>
      <c r="N114" s="35">
        <v>0.0</v>
      </c>
      <c r="O114" s="35">
        <v>0.0</v>
      </c>
      <c r="P114" s="35">
        <v>0.0</v>
      </c>
      <c r="Q114" s="35">
        <v>0.0</v>
      </c>
      <c r="R114" s="35">
        <f t="shared" si="1"/>
        <v>0</v>
      </c>
      <c r="S114" s="243">
        <f t="shared" si="2"/>
        <v>0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>
        <f t="shared" si="19"/>
        <v>0</v>
      </c>
    </row>
    <row r="115" ht="12.75" customHeight="1">
      <c r="A115" s="238" t="s">
        <v>559</v>
      </c>
      <c r="B115" s="8" t="s">
        <v>108</v>
      </c>
      <c r="C115" s="241">
        <v>47305.0</v>
      </c>
      <c r="D115" s="241" t="s">
        <v>312</v>
      </c>
      <c r="E115" s="8" t="s">
        <v>156</v>
      </c>
      <c r="F115" s="151">
        <v>271.5833333333333</v>
      </c>
      <c r="G115" s="74">
        <v>271.5833333333333</v>
      </c>
      <c r="H115" s="74">
        <v>271.5833333333333</v>
      </c>
      <c r="I115" s="74">
        <v>271.5833333333333</v>
      </c>
      <c r="J115" s="74">
        <v>271.5833333333333</v>
      </c>
      <c r="K115" s="74">
        <v>271.5833333333333</v>
      </c>
      <c r="L115" s="74">
        <v>271.5833333333333</v>
      </c>
      <c r="M115" s="74">
        <v>271.5833333333333</v>
      </c>
      <c r="N115" s="74">
        <v>271.5833333333333</v>
      </c>
      <c r="O115" s="74">
        <v>271.5833333333333</v>
      </c>
      <c r="P115" s="74">
        <v>271.5833333333333</v>
      </c>
      <c r="Q115" s="74">
        <v>271.5833333333333</v>
      </c>
      <c r="R115" s="35">
        <f t="shared" si="1"/>
        <v>3259</v>
      </c>
      <c r="S115" s="243">
        <f t="shared" si="2"/>
        <v>814.75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>
        <f t="shared" si="19"/>
        <v>0</v>
      </c>
    </row>
    <row r="116" ht="12.75" customHeight="1">
      <c r="A116" s="238" t="s">
        <v>560</v>
      </c>
      <c r="B116" s="8" t="s">
        <v>89</v>
      </c>
      <c r="C116" s="241">
        <v>47305.0</v>
      </c>
      <c r="D116" s="241" t="s">
        <v>312</v>
      </c>
      <c r="E116" s="8" t="s">
        <v>156</v>
      </c>
      <c r="F116" s="259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35">
        <f t="shared" si="1"/>
        <v>0</v>
      </c>
      <c r="S116" s="243">
        <f t="shared" si="2"/>
        <v>0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>
        <f t="shared" si="19"/>
        <v>0</v>
      </c>
    </row>
    <row r="117" ht="12.75" customHeight="1">
      <c r="A117" s="238" t="s">
        <v>557</v>
      </c>
      <c r="B117" s="8" t="s">
        <v>332</v>
      </c>
      <c r="C117" s="241">
        <v>47305.0</v>
      </c>
      <c r="D117" s="241" t="s">
        <v>333</v>
      </c>
      <c r="E117" s="8" t="s">
        <v>156</v>
      </c>
      <c r="F117" s="246">
        <v>0.0</v>
      </c>
      <c r="G117" s="35">
        <v>0.0</v>
      </c>
      <c r="H117" s="35">
        <v>0.0</v>
      </c>
      <c r="I117" s="242">
        <v>0.0</v>
      </c>
      <c r="J117" s="35">
        <v>0.0</v>
      </c>
      <c r="K117" s="35">
        <v>0.0</v>
      </c>
      <c r="L117" s="35">
        <v>0.0</v>
      </c>
      <c r="M117" s="35">
        <v>0.0</v>
      </c>
      <c r="N117" s="35">
        <v>0.0</v>
      </c>
      <c r="O117" s="35">
        <v>0.0</v>
      </c>
      <c r="P117" s="35">
        <v>0.0</v>
      </c>
      <c r="Q117" s="35">
        <v>0.0</v>
      </c>
      <c r="R117" s="242">
        <f t="shared" si="1"/>
        <v>0</v>
      </c>
      <c r="S117" s="243">
        <f t="shared" si="2"/>
        <v>0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>
        <f t="shared" si="19"/>
        <v>0</v>
      </c>
    </row>
    <row r="118" ht="12.75" customHeight="1">
      <c r="A118" s="238" t="s">
        <v>561</v>
      </c>
      <c r="B118" s="8" t="s">
        <v>343</v>
      </c>
      <c r="C118" s="241">
        <v>47305.0</v>
      </c>
      <c r="D118" s="241" t="s">
        <v>333</v>
      </c>
      <c r="E118" s="8" t="s">
        <v>156</v>
      </c>
      <c r="F118" s="246">
        <v>0.0</v>
      </c>
      <c r="G118" s="35">
        <v>0.0</v>
      </c>
      <c r="H118" s="35">
        <v>0.0</v>
      </c>
      <c r="I118" s="35">
        <v>0.0</v>
      </c>
      <c r="J118" s="35">
        <v>0.0</v>
      </c>
      <c r="K118" s="35">
        <v>0.0</v>
      </c>
      <c r="L118" s="35">
        <v>0.0</v>
      </c>
      <c r="M118" s="35">
        <v>0.0</v>
      </c>
      <c r="N118" s="35">
        <v>0.0</v>
      </c>
      <c r="O118" s="35">
        <v>0.0</v>
      </c>
      <c r="P118" s="35">
        <v>0.0</v>
      </c>
      <c r="Q118" s="35">
        <v>0.0</v>
      </c>
      <c r="R118" s="35">
        <f t="shared" si="1"/>
        <v>0</v>
      </c>
      <c r="S118" s="243">
        <f t="shared" si="2"/>
        <v>0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>
        <f t="shared" si="19"/>
        <v>0</v>
      </c>
    </row>
    <row r="119" ht="12.75" customHeight="1">
      <c r="A119" s="238" t="s">
        <v>562</v>
      </c>
      <c r="B119" s="8" t="s">
        <v>345</v>
      </c>
      <c r="C119" s="241">
        <v>47305.0</v>
      </c>
      <c r="D119" s="241" t="s">
        <v>333</v>
      </c>
      <c r="E119" s="8" t="s">
        <v>156</v>
      </c>
      <c r="F119" s="246">
        <v>0.0</v>
      </c>
      <c r="G119" s="35">
        <v>0.0</v>
      </c>
      <c r="H119" s="35">
        <v>0.0</v>
      </c>
      <c r="I119" s="35">
        <v>0.0</v>
      </c>
      <c r="J119" s="35">
        <v>0.0</v>
      </c>
      <c r="K119" s="35">
        <v>0.0</v>
      </c>
      <c r="L119" s="35">
        <v>0.0</v>
      </c>
      <c r="M119" s="35">
        <v>0.0</v>
      </c>
      <c r="N119" s="35">
        <v>0.0</v>
      </c>
      <c r="O119" s="35">
        <v>0.0</v>
      </c>
      <c r="P119" s="35">
        <v>0.0</v>
      </c>
      <c r="Q119" s="35">
        <v>0.0</v>
      </c>
      <c r="R119" s="35">
        <f t="shared" si="1"/>
        <v>0</v>
      </c>
      <c r="S119" s="243">
        <f t="shared" si="2"/>
        <v>0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>
        <f t="shared" si="19"/>
        <v>0</v>
      </c>
    </row>
    <row r="120" ht="12.75" customHeight="1">
      <c r="A120" s="238" t="s">
        <v>563</v>
      </c>
      <c r="B120" s="8" t="s">
        <v>349</v>
      </c>
      <c r="C120" s="241">
        <v>47305.0</v>
      </c>
      <c r="D120" s="241" t="s">
        <v>333</v>
      </c>
      <c r="E120" s="8" t="s">
        <v>156</v>
      </c>
      <c r="F120" s="246">
        <v>0.0</v>
      </c>
      <c r="G120" s="35">
        <v>0.0</v>
      </c>
      <c r="H120" s="35">
        <v>0.0</v>
      </c>
      <c r="I120" s="35">
        <v>0.0</v>
      </c>
      <c r="J120" s="35">
        <v>0.0</v>
      </c>
      <c r="K120" s="35">
        <v>0.0</v>
      </c>
      <c r="L120" s="35">
        <v>0.0</v>
      </c>
      <c r="M120" s="35">
        <v>0.0</v>
      </c>
      <c r="N120" s="35">
        <v>0.0</v>
      </c>
      <c r="O120" s="35">
        <v>0.0</v>
      </c>
      <c r="P120" s="35">
        <v>0.0</v>
      </c>
      <c r="Q120" s="35">
        <v>0.0</v>
      </c>
      <c r="R120" s="35">
        <f t="shared" si="1"/>
        <v>0</v>
      </c>
      <c r="S120" s="243">
        <f t="shared" si="2"/>
        <v>0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>
        <f t="shared" si="19"/>
        <v>0</v>
      </c>
    </row>
    <row r="121" ht="12.75" customHeight="1">
      <c r="A121" s="238" t="s">
        <v>564</v>
      </c>
      <c r="B121" s="8" t="s">
        <v>332</v>
      </c>
      <c r="C121" s="241">
        <v>47306.0</v>
      </c>
      <c r="D121" s="241" t="s">
        <v>333</v>
      </c>
      <c r="E121" s="8" t="s">
        <v>157</v>
      </c>
      <c r="F121" s="246">
        <f t="shared" ref="F121:Q121" si="35">165396/12</f>
        <v>13783</v>
      </c>
      <c r="G121" s="35">
        <f t="shared" si="35"/>
        <v>13783</v>
      </c>
      <c r="H121" s="35">
        <f t="shared" si="35"/>
        <v>13783</v>
      </c>
      <c r="I121" s="35">
        <f t="shared" si="35"/>
        <v>13783</v>
      </c>
      <c r="J121" s="35">
        <f t="shared" si="35"/>
        <v>13783</v>
      </c>
      <c r="K121" s="35">
        <f t="shared" si="35"/>
        <v>13783</v>
      </c>
      <c r="L121" s="35">
        <f t="shared" si="35"/>
        <v>13783</v>
      </c>
      <c r="M121" s="35">
        <f t="shared" si="35"/>
        <v>13783</v>
      </c>
      <c r="N121" s="35">
        <f t="shared" si="35"/>
        <v>13783</v>
      </c>
      <c r="O121" s="35">
        <f t="shared" si="35"/>
        <v>13783</v>
      </c>
      <c r="P121" s="35">
        <f t="shared" si="35"/>
        <v>13783</v>
      </c>
      <c r="Q121" s="35">
        <f t="shared" si="35"/>
        <v>13783</v>
      </c>
      <c r="R121" s="35">
        <f t="shared" si="1"/>
        <v>165396</v>
      </c>
      <c r="S121" s="243">
        <f t="shared" si="2"/>
        <v>41349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>
        <f t="shared" si="19"/>
        <v>0</v>
      </c>
    </row>
    <row r="122" ht="12.75" customHeight="1">
      <c r="A122" s="238" t="s">
        <v>565</v>
      </c>
      <c r="B122" s="8" t="s">
        <v>339</v>
      </c>
      <c r="C122" s="241">
        <v>47306.0</v>
      </c>
      <c r="D122" s="241" t="s">
        <v>333</v>
      </c>
      <c r="E122" s="8" t="s">
        <v>157</v>
      </c>
      <c r="F122" s="246">
        <v>0.0</v>
      </c>
      <c r="G122" s="35">
        <v>0.0</v>
      </c>
      <c r="H122" s="35">
        <v>0.0</v>
      </c>
      <c r="I122" s="35">
        <v>0.0</v>
      </c>
      <c r="J122" s="35">
        <v>0.0</v>
      </c>
      <c r="K122" s="35">
        <v>0.0</v>
      </c>
      <c r="L122" s="35">
        <v>0.0</v>
      </c>
      <c r="M122" s="35">
        <v>0.0</v>
      </c>
      <c r="N122" s="35">
        <v>0.0</v>
      </c>
      <c r="O122" s="35">
        <v>0.0</v>
      </c>
      <c r="P122" s="35">
        <v>0.0</v>
      </c>
      <c r="Q122" s="35">
        <v>0.0</v>
      </c>
      <c r="R122" s="35">
        <f t="shared" si="1"/>
        <v>0</v>
      </c>
      <c r="S122" s="243">
        <f t="shared" si="2"/>
        <v>0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>
        <f t="shared" si="19"/>
        <v>0</v>
      </c>
    </row>
    <row r="123" ht="12.75" customHeight="1">
      <c r="A123" s="238" t="s">
        <v>566</v>
      </c>
      <c r="B123" s="8" t="s">
        <v>108</v>
      </c>
      <c r="C123" s="241">
        <v>47306.0</v>
      </c>
      <c r="D123" s="241" t="s">
        <v>312</v>
      </c>
      <c r="E123" s="8" t="s">
        <v>157</v>
      </c>
      <c r="F123" s="151">
        <f t="shared" ref="F123:Q123" si="36">38883/12</f>
        <v>3240.25</v>
      </c>
      <c r="G123" s="74">
        <f t="shared" si="36"/>
        <v>3240.25</v>
      </c>
      <c r="H123" s="74">
        <f t="shared" si="36"/>
        <v>3240.25</v>
      </c>
      <c r="I123" s="74">
        <f t="shared" si="36"/>
        <v>3240.25</v>
      </c>
      <c r="J123" s="74">
        <f t="shared" si="36"/>
        <v>3240.25</v>
      </c>
      <c r="K123" s="74">
        <f t="shared" si="36"/>
        <v>3240.25</v>
      </c>
      <c r="L123" s="74">
        <f t="shared" si="36"/>
        <v>3240.25</v>
      </c>
      <c r="M123" s="74">
        <f t="shared" si="36"/>
        <v>3240.25</v>
      </c>
      <c r="N123" s="74">
        <f t="shared" si="36"/>
        <v>3240.25</v>
      </c>
      <c r="O123" s="74">
        <f t="shared" si="36"/>
        <v>3240.25</v>
      </c>
      <c r="P123" s="74">
        <f t="shared" si="36"/>
        <v>3240.25</v>
      </c>
      <c r="Q123" s="74">
        <f t="shared" si="36"/>
        <v>3240.25</v>
      </c>
      <c r="R123" s="35">
        <f t="shared" si="1"/>
        <v>38883</v>
      </c>
      <c r="S123" s="243">
        <f t="shared" si="2"/>
        <v>9720.75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>
        <f t="shared" si="19"/>
        <v>0</v>
      </c>
    </row>
    <row r="124" ht="12.75" customHeight="1">
      <c r="A124" s="238" t="s">
        <v>567</v>
      </c>
      <c r="B124" s="8" t="s">
        <v>89</v>
      </c>
      <c r="C124" s="241">
        <v>47306.0</v>
      </c>
      <c r="D124" s="241" t="s">
        <v>312</v>
      </c>
      <c r="E124" s="8" t="s">
        <v>157</v>
      </c>
      <c r="F124" s="151">
        <f t="shared" ref="F124:Q124" si="37">39433/12</f>
        <v>3286.083333</v>
      </c>
      <c r="G124" s="74">
        <f t="shared" si="37"/>
        <v>3286.083333</v>
      </c>
      <c r="H124" s="74">
        <f t="shared" si="37"/>
        <v>3286.083333</v>
      </c>
      <c r="I124" s="74">
        <f t="shared" si="37"/>
        <v>3286.083333</v>
      </c>
      <c r="J124" s="74">
        <f t="shared" si="37"/>
        <v>3286.083333</v>
      </c>
      <c r="K124" s="74">
        <f t="shared" si="37"/>
        <v>3286.083333</v>
      </c>
      <c r="L124" s="74">
        <f t="shared" si="37"/>
        <v>3286.083333</v>
      </c>
      <c r="M124" s="74">
        <f t="shared" si="37"/>
        <v>3286.083333</v>
      </c>
      <c r="N124" s="74">
        <f t="shared" si="37"/>
        <v>3286.083333</v>
      </c>
      <c r="O124" s="74">
        <f t="shared" si="37"/>
        <v>3286.083333</v>
      </c>
      <c r="P124" s="74">
        <f t="shared" si="37"/>
        <v>3286.083333</v>
      </c>
      <c r="Q124" s="74">
        <f t="shared" si="37"/>
        <v>3286.083333</v>
      </c>
      <c r="R124" s="35">
        <f t="shared" si="1"/>
        <v>39433</v>
      </c>
      <c r="S124" s="243">
        <f t="shared" si="2"/>
        <v>9858.25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>
        <f t="shared" si="19"/>
        <v>0</v>
      </c>
    </row>
    <row r="125" ht="12.75" customHeight="1">
      <c r="A125" s="238" t="s">
        <v>564</v>
      </c>
      <c r="B125" s="8" t="s">
        <v>332</v>
      </c>
      <c r="C125" s="241">
        <v>47306.0</v>
      </c>
      <c r="D125" s="241" t="s">
        <v>333</v>
      </c>
      <c r="E125" s="8" t="s">
        <v>157</v>
      </c>
      <c r="F125" s="246">
        <f t="shared" ref="F125:Q125" si="38">9900/12</f>
        <v>825</v>
      </c>
      <c r="G125" s="35">
        <f t="shared" si="38"/>
        <v>825</v>
      </c>
      <c r="H125" s="35">
        <f t="shared" si="38"/>
        <v>825</v>
      </c>
      <c r="I125" s="35">
        <f t="shared" si="38"/>
        <v>825</v>
      </c>
      <c r="J125" s="35">
        <f t="shared" si="38"/>
        <v>825</v>
      </c>
      <c r="K125" s="35">
        <f t="shared" si="38"/>
        <v>825</v>
      </c>
      <c r="L125" s="35">
        <f t="shared" si="38"/>
        <v>825</v>
      </c>
      <c r="M125" s="35">
        <f t="shared" si="38"/>
        <v>825</v>
      </c>
      <c r="N125" s="35">
        <f t="shared" si="38"/>
        <v>825</v>
      </c>
      <c r="O125" s="35">
        <f t="shared" si="38"/>
        <v>825</v>
      </c>
      <c r="P125" s="35">
        <f t="shared" si="38"/>
        <v>825</v>
      </c>
      <c r="Q125" s="35">
        <f t="shared" si="38"/>
        <v>825</v>
      </c>
      <c r="R125" s="242">
        <f t="shared" si="1"/>
        <v>9900</v>
      </c>
      <c r="S125" s="243">
        <f t="shared" si="2"/>
        <v>2475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>
        <f t="shared" si="19"/>
        <v>0</v>
      </c>
    </row>
    <row r="126" ht="12.75" customHeight="1">
      <c r="A126" s="238" t="s">
        <v>568</v>
      </c>
      <c r="B126" s="8" t="s">
        <v>343</v>
      </c>
      <c r="C126" s="241">
        <v>47306.0</v>
      </c>
      <c r="D126" s="241" t="s">
        <v>333</v>
      </c>
      <c r="E126" s="8" t="s">
        <v>157</v>
      </c>
      <c r="F126" s="246">
        <f t="shared" ref="F126:Q126" si="39">65038/12</f>
        <v>5419.833333</v>
      </c>
      <c r="G126" s="35">
        <f t="shared" si="39"/>
        <v>5419.833333</v>
      </c>
      <c r="H126" s="35">
        <f t="shared" si="39"/>
        <v>5419.833333</v>
      </c>
      <c r="I126" s="35">
        <f t="shared" si="39"/>
        <v>5419.833333</v>
      </c>
      <c r="J126" s="35">
        <f t="shared" si="39"/>
        <v>5419.833333</v>
      </c>
      <c r="K126" s="35">
        <f t="shared" si="39"/>
        <v>5419.833333</v>
      </c>
      <c r="L126" s="35">
        <f t="shared" si="39"/>
        <v>5419.833333</v>
      </c>
      <c r="M126" s="35">
        <f t="shared" si="39"/>
        <v>5419.833333</v>
      </c>
      <c r="N126" s="35">
        <f t="shared" si="39"/>
        <v>5419.833333</v>
      </c>
      <c r="O126" s="35">
        <f t="shared" si="39"/>
        <v>5419.833333</v>
      </c>
      <c r="P126" s="35">
        <f t="shared" si="39"/>
        <v>5419.833333</v>
      </c>
      <c r="Q126" s="35">
        <f t="shared" si="39"/>
        <v>5419.833333</v>
      </c>
      <c r="R126" s="35">
        <f t="shared" si="1"/>
        <v>65038</v>
      </c>
      <c r="S126" s="243">
        <f t="shared" si="2"/>
        <v>16259.5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>
        <f t="shared" si="19"/>
        <v>0</v>
      </c>
    </row>
    <row r="127" ht="12.75" customHeight="1">
      <c r="A127" s="238" t="s">
        <v>569</v>
      </c>
      <c r="B127" s="8" t="s">
        <v>345</v>
      </c>
      <c r="C127" s="241">
        <v>47306.0</v>
      </c>
      <c r="D127" s="241" t="s">
        <v>333</v>
      </c>
      <c r="E127" s="8" t="s">
        <v>157</v>
      </c>
      <c r="F127" s="246">
        <f t="shared" ref="F127:Q127" si="40">38754/12</f>
        <v>3229.5</v>
      </c>
      <c r="G127" s="35">
        <f t="shared" si="40"/>
        <v>3229.5</v>
      </c>
      <c r="H127" s="35">
        <f t="shared" si="40"/>
        <v>3229.5</v>
      </c>
      <c r="I127" s="35">
        <f t="shared" si="40"/>
        <v>3229.5</v>
      </c>
      <c r="J127" s="35">
        <f t="shared" si="40"/>
        <v>3229.5</v>
      </c>
      <c r="K127" s="35">
        <f t="shared" si="40"/>
        <v>3229.5</v>
      </c>
      <c r="L127" s="35">
        <f t="shared" si="40"/>
        <v>3229.5</v>
      </c>
      <c r="M127" s="35">
        <f t="shared" si="40"/>
        <v>3229.5</v>
      </c>
      <c r="N127" s="35">
        <f t="shared" si="40"/>
        <v>3229.5</v>
      </c>
      <c r="O127" s="35">
        <f t="shared" si="40"/>
        <v>3229.5</v>
      </c>
      <c r="P127" s="35">
        <f t="shared" si="40"/>
        <v>3229.5</v>
      </c>
      <c r="Q127" s="35">
        <f t="shared" si="40"/>
        <v>3229.5</v>
      </c>
      <c r="R127" s="35">
        <f t="shared" si="1"/>
        <v>38754</v>
      </c>
      <c r="S127" s="243">
        <f t="shared" si="2"/>
        <v>9688.5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>
        <f t="shared" si="19"/>
        <v>0</v>
      </c>
    </row>
    <row r="128" ht="12.75" customHeight="1">
      <c r="A128" s="238" t="s">
        <v>570</v>
      </c>
      <c r="B128" s="8" t="s">
        <v>349</v>
      </c>
      <c r="C128" s="241">
        <v>47306.0</v>
      </c>
      <c r="D128" s="241" t="s">
        <v>333</v>
      </c>
      <c r="E128" s="8" t="s">
        <v>157</v>
      </c>
      <c r="F128" s="246">
        <f t="shared" ref="F128:Q128" si="41">48775/12</f>
        <v>4064.583333</v>
      </c>
      <c r="G128" s="35">
        <f t="shared" si="41"/>
        <v>4064.583333</v>
      </c>
      <c r="H128" s="35">
        <f t="shared" si="41"/>
        <v>4064.583333</v>
      </c>
      <c r="I128" s="35">
        <f t="shared" si="41"/>
        <v>4064.583333</v>
      </c>
      <c r="J128" s="35">
        <f t="shared" si="41"/>
        <v>4064.583333</v>
      </c>
      <c r="K128" s="35">
        <f t="shared" si="41"/>
        <v>4064.583333</v>
      </c>
      <c r="L128" s="35">
        <f t="shared" si="41"/>
        <v>4064.583333</v>
      </c>
      <c r="M128" s="35">
        <f t="shared" si="41"/>
        <v>4064.583333</v>
      </c>
      <c r="N128" s="35">
        <f t="shared" si="41"/>
        <v>4064.583333</v>
      </c>
      <c r="O128" s="35">
        <f t="shared" si="41"/>
        <v>4064.583333</v>
      </c>
      <c r="P128" s="35">
        <f t="shared" si="41"/>
        <v>4064.583333</v>
      </c>
      <c r="Q128" s="35">
        <f t="shared" si="41"/>
        <v>4064.583333</v>
      </c>
      <c r="R128" s="35">
        <f t="shared" si="1"/>
        <v>48775</v>
      </c>
      <c r="S128" s="243">
        <f t="shared" si="2"/>
        <v>12193.75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>
        <f t="shared" si="19"/>
        <v>0</v>
      </c>
    </row>
    <row r="129" ht="12.75" customHeight="1">
      <c r="A129" s="238" t="s">
        <v>571</v>
      </c>
      <c r="B129" s="8" t="s">
        <v>332</v>
      </c>
      <c r="C129" s="241">
        <v>47307.0</v>
      </c>
      <c r="D129" s="241" t="s">
        <v>333</v>
      </c>
      <c r="E129" s="8" t="s">
        <v>158</v>
      </c>
      <c r="F129" s="246">
        <f t="shared" ref="F129:Q129" si="42">57316/12</f>
        <v>4776.333333</v>
      </c>
      <c r="G129" s="35">
        <f t="shared" si="42"/>
        <v>4776.333333</v>
      </c>
      <c r="H129" s="35">
        <f t="shared" si="42"/>
        <v>4776.333333</v>
      </c>
      <c r="I129" s="35">
        <f t="shared" si="42"/>
        <v>4776.333333</v>
      </c>
      <c r="J129" s="35">
        <f t="shared" si="42"/>
        <v>4776.333333</v>
      </c>
      <c r="K129" s="35">
        <f t="shared" si="42"/>
        <v>4776.333333</v>
      </c>
      <c r="L129" s="35">
        <f t="shared" si="42"/>
        <v>4776.333333</v>
      </c>
      <c r="M129" s="35">
        <f t="shared" si="42"/>
        <v>4776.333333</v>
      </c>
      <c r="N129" s="35">
        <f t="shared" si="42"/>
        <v>4776.333333</v>
      </c>
      <c r="O129" s="35">
        <f t="shared" si="42"/>
        <v>4776.333333</v>
      </c>
      <c r="P129" s="35">
        <f t="shared" si="42"/>
        <v>4776.333333</v>
      </c>
      <c r="Q129" s="35">
        <f t="shared" si="42"/>
        <v>4776.333333</v>
      </c>
      <c r="R129" s="35">
        <f t="shared" si="1"/>
        <v>57316</v>
      </c>
      <c r="S129" s="243">
        <f t="shared" si="2"/>
        <v>14329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>
        <f t="shared" si="19"/>
        <v>0</v>
      </c>
    </row>
    <row r="130" ht="12.75" customHeight="1">
      <c r="A130" s="238" t="s">
        <v>572</v>
      </c>
      <c r="B130" s="8" t="s">
        <v>339</v>
      </c>
      <c r="C130" s="241">
        <v>47307.0</v>
      </c>
      <c r="D130" s="241" t="s">
        <v>333</v>
      </c>
      <c r="E130" s="8" t="s">
        <v>158</v>
      </c>
      <c r="F130" s="246">
        <v>0.0</v>
      </c>
      <c r="G130" s="35">
        <v>0.0</v>
      </c>
      <c r="H130" s="35">
        <v>0.0</v>
      </c>
      <c r="I130" s="35">
        <v>0.0</v>
      </c>
      <c r="J130" s="35">
        <v>0.0</v>
      </c>
      <c r="K130" s="35">
        <v>0.0</v>
      </c>
      <c r="L130" s="35">
        <v>0.0</v>
      </c>
      <c r="M130" s="35">
        <v>0.0</v>
      </c>
      <c r="N130" s="35">
        <v>0.0</v>
      </c>
      <c r="O130" s="35">
        <v>0.0</v>
      </c>
      <c r="P130" s="35">
        <v>0.0</v>
      </c>
      <c r="Q130" s="35">
        <v>0.0</v>
      </c>
      <c r="R130" s="35">
        <f t="shared" si="1"/>
        <v>0</v>
      </c>
      <c r="S130" s="243">
        <f t="shared" si="2"/>
        <v>0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>
        <f t="shared" si="19"/>
        <v>0</v>
      </c>
    </row>
    <row r="131" ht="12.75" customHeight="1">
      <c r="A131" s="238" t="s">
        <v>573</v>
      </c>
      <c r="B131" s="8" t="s">
        <v>108</v>
      </c>
      <c r="C131" s="241">
        <v>47307.0</v>
      </c>
      <c r="D131" s="241" t="s">
        <v>312</v>
      </c>
      <c r="E131" s="8" t="s">
        <v>158</v>
      </c>
      <c r="F131" s="151">
        <v>1080.0833333333333</v>
      </c>
      <c r="G131" s="74">
        <v>1080.0833333333333</v>
      </c>
      <c r="H131" s="74">
        <v>1080.0833333333333</v>
      </c>
      <c r="I131" s="74">
        <v>1080.0833333333333</v>
      </c>
      <c r="J131" s="74">
        <v>1080.0833333333333</v>
      </c>
      <c r="K131" s="74">
        <v>1080.0833333333333</v>
      </c>
      <c r="L131" s="74">
        <v>1080.0833333333333</v>
      </c>
      <c r="M131" s="74">
        <v>1080.0833333333333</v>
      </c>
      <c r="N131" s="74">
        <v>1080.0833333333333</v>
      </c>
      <c r="O131" s="74">
        <v>1080.0833333333333</v>
      </c>
      <c r="P131" s="74">
        <v>1080.0833333333333</v>
      </c>
      <c r="Q131" s="74">
        <v>1080.0833333333333</v>
      </c>
      <c r="R131" s="35">
        <f t="shared" si="1"/>
        <v>12961</v>
      </c>
      <c r="S131" s="243">
        <f t="shared" si="2"/>
        <v>3240.25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>
        <f t="shared" si="19"/>
        <v>0</v>
      </c>
    </row>
    <row r="132" ht="12.75" customHeight="1">
      <c r="A132" s="238" t="s">
        <v>574</v>
      </c>
      <c r="B132" s="8" t="s">
        <v>89</v>
      </c>
      <c r="C132" s="241">
        <v>47307.0</v>
      </c>
      <c r="D132" s="241" t="s">
        <v>312</v>
      </c>
      <c r="E132" s="8" t="s">
        <v>158</v>
      </c>
      <c r="F132" s="151">
        <v>1095.3333333333333</v>
      </c>
      <c r="G132" s="74">
        <v>1095.3333333333333</v>
      </c>
      <c r="H132" s="74">
        <v>1095.3333333333333</v>
      </c>
      <c r="I132" s="74">
        <v>1095.3333333333333</v>
      </c>
      <c r="J132" s="74">
        <v>1095.3333333333333</v>
      </c>
      <c r="K132" s="74">
        <v>1095.3333333333333</v>
      </c>
      <c r="L132" s="74">
        <v>1095.3333333333333</v>
      </c>
      <c r="M132" s="74">
        <v>1095.3333333333333</v>
      </c>
      <c r="N132" s="74">
        <v>1095.3333333333333</v>
      </c>
      <c r="O132" s="74">
        <v>1095.3333333333333</v>
      </c>
      <c r="P132" s="74">
        <v>1095.3333333333333</v>
      </c>
      <c r="Q132" s="74">
        <v>1095.3333333333333</v>
      </c>
      <c r="R132" s="35">
        <f t="shared" si="1"/>
        <v>13144</v>
      </c>
      <c r="S132" s="243">
        <f t="shared" si="2"/>
        <v>3286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>
        <f t="shared" si="19"/>
        <v>0</v>
      </c>
    </row>
    <row r="133" ht="12.75" customHeight="1">
      <c r="A133" s="238" t="s">
        <v>571</v>
      </c>
      <c r="B133" s="8" t="s">
        <v>332</v>
      </c>
      <c r="C133" s="241">
        <v>47307.0</v>
      </c>
      <c r="D133" s="241" t="s">
        <v>333</v>
      </c>
      <c r="E133" s="8" t="s">
        <v>158</v>
      </c>
      <c r="F133" s="246">
        <f t="shared" ref="F133:Q133" si="43">1961/12</f>
        <v>163.4166667</v>
      </c>
      <c r="G133" s="35">
        <f t="shared" si="43"/>
        <v>163.4166667</v>
      </c>
      <c r="H133" s="35">
        <f t="shared" si="43"/>
        <v>163.4166667</v>
      </c>
      <c r="I133" s="35">
        <f t="shared" si="43"/>
        <v>163.4166667</v>
      </c>
      <c r="J133" s="35">
        <f t="shared" si="43"/>
        <v>163.4166667</v>
      </c>
      <c r="K133" s="35">
        <f t="shared" si="43"/>
        <v>163.4166667</v>
      </c>
      <c r="L133" s="35">
        <f t="shared" si="43"/>
        <v>163.4166667</v>
      </c>
      <c r="M133" s="35">
        <f t="shared" si="43"/>
        <v>163.4166667</v>
      </c>
      <c r="N133" s="35">
        <f t="shared" si="43"/>
        <v>163.4166667</v>
      </c>
      <c r="O133" s="35">
        <f t="shared" si="43"/>
        <v>163.4166667</v>
      </c>
      <c r="P133" s="35">
        <f t="shared" si="43"/>
        <v>163.4166667</v>
      </c>
      <c r="Q133" s="35">
        <f t="shared" si="43"/>
        <v>163.4166667</v>
      </c>
      <c r="R133" s="242">
        <f t="shared" si="1"/>
        <v>1961</v>
      </c>
      <c r="S133" s="243">
        <f t="shared" si="2"/>
        <v>490.25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>
        <f t="shared" si="19"/>
        <v>0</v>
      </c>
    </row>
    <row r="134" ht="12.75" customHeight="1">
      <c r="A134" s="238" t="s">
        <v>575</v>
      </c>
      <c r="B134" s="8" t="s">
        <v>343</v>
      </c>
      <c r="C134" s="241">
        <v>47307.0</v>
      </c>
      <c r="D134" s="241" t="s">
        <v>333</v>
      </c>
      <c r="E134" s="8" t="s">
        <v>158</v>
      </c>
      <c r="F134" s="246">
        <f t="shared" ref="F134:Q134" si="44">15540/12</f>
        <v>1295</v>
      </c>
      <c r="G134" s="35">
        <f t="shared" si="44"/>
        <v>1295</v>
      </c>
      <c r="H134" s="35">
        <f t="shared" si="44"/>
        <v>1295</v>
      </c>
      <c r="I134" s="35">
        <f t="shared" si="44"/>
        <v>1295</v>
      </c>
      <c r="J134" s="35">
        <f t="shared" si="44"/>
        <v>1295</v>
      </c>
      <c r="K134" s="35">
        <f t="shared" si="44"/>
        <v>1295</v>
      </c>
      <c r="L134" s="35">
        <f t="shared" si="44"/>
        <v>1295</v>
      </c>
      <c r="M134" s="35">
        <f t="shared" si="44"/>
        <v>1295</v>
      </c>
      <c r="N134" s="35">
        <f t="shared" si="44"/>
        <v>1295</v>
      </c>
      <c r="O134" s="35">
        <f t="shared" si="44"/>
        <v>1295</v>
      </c>
      <c r="P134" s="35">
        <f t="shared" si="44"/>
        <v>1295</v>
      </c>
      <c r="Q134" s="35">
        <f t="shared" si="44"/>
        <v>1295</v>
      </c>
      <c r="R134" s="35">
        <f t="shared" si="1"/>
        <v>15540</v>
      </c>
      <c r="S134" s="243">
        <f t="shared" si="2"/>
        <v>3885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>
        <f t="shared" si="19"/>
        <v>0</v>
      </c>
    </row>
    <row r="135" ht="12.75" customHeight="1">
      <c r="A135" s="238" t="s">
        <v>576</v>
      </c>
      <c r="B135" s="8" t="s">
        <v>345</v>
      </c>
      <c r="C135" s="241">
        <v>47307.0</v>
      </c>
      <c r="D135" s="241" t="s">
        <v>333</v>
      </c>
      <c r="E135" s="8" t="s">
        <v>158</v>
      </c>
      <c r="F135" s="246">
        <f t="shared" ref="F135:Q135" si="45">9430/12</f>
        <v>785.8333333</v>
      </c>
      <c r="G135" s="35">
        <f t="shared" si="45"/>
        <v>785.8333333</v>
      </c>
      <c r="H135" s="35">
        <f t="shared" si="45"/>
        <v>785.8333333</v>
      </c>
      <c r="I135" s="35">
        <f t="shared" si="45"/>
        <v>785.8333333</v>
      </c>
      <c r="J135" s="35">
        <f t="shared" si="45"/>
        <v>785.8333333</v>
      </c>
      <c r="K135" s="35">
        <f t="shared" si="45"/>
        <v>785.8333333</v>
      </c>
      <c r="L135" s="35">
        <f t="shared" si="45"/>
        <v>785.8333333</v>
      </c>
      <c r="M135" s="35">
        <f t="shared" si="45"/>
        <v>785.8333333</v>
      </c>
      <c r="N135" s="35">
        <f t="shared" si="45"/>
        <v>785.8333333</v>
      </c>
      <c r="O135" s="35">
        <f t="shared" si="45"/>
        <v>785.8333333</v>
      </c>
      <c r="P135" s="35">
        <f t="shared" si="45"/>
        <v>785.8333333</v>
      </c>
      <c r="Q135" s="35">
        <f t="shared" si="45"/>
        <v>785.8333333</v>
      </c>
      <c r="R135" s="35">
        <f t="shared" si="1"/>
        <v>9430</v>
      </c>
      <c r="S135" s="243">
        <f t="shared" si="2"/>
        <v>2357.5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>
        <f t="shared" si="19"/>
        <v>0</v>
      </c>
    </row>
    <row r="136" ht="12.75" customHeight="1">
      <c r="A136" s="238" t="s">
        <v>577</v>
      </c>
      <c r="B136" s="8" t="s">
        <v>349</v>
      </c>
      <c r="C136" s="241">
        <v>47307.0</v>
      </c>
      <c r="D136" s="241" t="s">
        <v>333</v>
      </c>
      <c r="E136" s="8" t="s">
        <v>158</v>
      </c>
      <c r="F136" s="246">
        <f t="shared" ref="F136:Q136" si="46">10123/12</f>
        <v>843.5833333</v>
      </c>
      <c r="G136" s="35">
        <f t="shared" si="46"/>
        <v>843.5833333</v>
      </c>
      <c r="H136" s="35">
        <f t="shared" si="46"/>
        <v>843.5833333</v>
      </c>
      <c r="I136" s="35">
        <f t="shared" si="46"/>
        <v>843.5833333</v>
      </c>
      <c r="J136" s="35">
        <f t="shared" si="46"/>
        <v>843.5833333</v>
      </c>
      <c r="K136" s="35">
        <f t="shared" si="46"/>
        <v>843.5833333</v>
      </c>
      <c r="L136" s="35">
        <f t="shared" si="46"/>
        <v>843.5833333</v>
      </c>
      <c r="M136" s="35">
        <f t="shared" si="46"/>
        <v>843.5833333</v>
      </c>
      <c r="N136" s="35">
        <f t="shared" si="46"/>
        <v>843.5833333</v>
      </c>
      <c r="O136" s="35">
        <f t="shared" si="46"/>
        <v>843.5833333</v>
      </c>
      <c r="P136" s="35">
        <f t="shared" si="46"/>
        <v>843.5833333</v>
      </c>
      <c r="Q136" s="35">
        <f t="shared" si="46"/>
        <v>843.5833333</v>
      </c>
      <c r="R136" s="35">
        <f t="shared" si="1"/>
        <v>10123</v>
      </c>
      <c r="S136" s="243">
        <f t="shared" si="2"/>
        <v>2530.75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>
        <f t="shared" si="19"/>
        <v>0</v>
      </c>
    </row>
    <row r="137" ht="12.75" customHeight="1">
      <c r="A137" s="238" t="s">
        <v>578</v>
      </c>
      <c r="B137" s="8" t="s">
        <v>332</v>
      </c>
      <c r="C137" s="241">
        <v>47314.0</v>
      </c>
      <c r="D137" s="241" t="s">
        <v>333</v>
      </c>
      <c r="E137" s="8" t="s">
        <v>136</v>
      </c>
      <c r="F137" s="246">
        <f t="shared" ref="F137:Q137" si="47">110809/12</f>
        <v>9234.083333</v>
      </c>
      <c r="G137" s="35">
        <f t="shared" si="47"/>
        <v>9234.083333</v>
      </c>
      <c r="H137" s="35">
        <f t="shared" si="47"/>
        <v>9234.083333</v>
      </c>
      <c r="I137" s="35">
        <f t="shared" si="47"/>
        <v>9234.083333</v>
      </c>
      <c r="J137" s="35">
        <f t="shared" si="47"/>
        <v>9234.083333</v>
      </c>
      <c r="K137" s="35">
        <f t="shared" si="47"/>
        <v>9234.083333</v>
      </c>
      <c r="L137" s="35">
        <f t="shared" si="47"/>
        <v>9234.083333</v>
      </c>
      <c r="M137" s="35">
        <f t="shared" si="47"/>
        <v>9234.083333</v>
      </c>
      <c r="N137" s="35">
        <f t="shared" si="47"/>
        <v>9234.083333</v>
      </c>
      <c r="O137" s="35">
        <f t="shared" si="47"/>
        <v>9234.083333</v>
      </c>
      <c r="P137" s="35">
        <f t="shared" si="47"/>
        <v>9234.083333</v>
      </c>
      <c r="Q137" s="35">
        <f t="shared" si="47"/>
        <v>9234.083333</v>
      </c>
      <c r="R137" s="35">
        <f t="shared" si="1"/>
        <v>110809</v>
      </c>
      <c r="S137" s="243">
        <f t="shared" si="2"/>
        <v>27702.25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>
        <f t="shared" si="19"/>
        <v>0</v>
      </c>
    </row>
    <row r="138" ht="12.75" customHeight="1">
      <c r="A138" s="238" t="s">
        <v>579</v>
      </c>
      <c r="B138" s="8" t="s">
        <v>339</v>
      </c>
      <c r="C138" s="241">
        <v>47314.0</v>
      </c>
      <c r="D138" s="241" t="s">
        <v>333</v>
      </c>
      <c r="E138" s="8" t="s">
        <v>136</v>
      </c>
      <c r="F138" s="246">
        <v>0.0</v>
      </c>
      <c r="G138" s="35">
        <v>0.0</v>
      </c>
      <c r="H138" s="35">
        <v>0.0</v>
      </c>
      <c r="I138" s="35">
        <v>0.0</v>
      </c>
      <c r="J138" s="35">
        <v>0.0</v>
      </c>
      <c r="K138" s="35">
        <v>0.0</v>
      </c>
      <c r="L138" s="35">
        <v>0.0</v>
      </c>
      <c r="M138" s="35">
        <v>0.0</v>
      </c>
      <c r="N138" s="35">
        <v>0.0</v>
      </c>
      <c r="O138" s="35">
        <v>0.0</v>
      </c>
      <c r="P138" s="35">
        <v>0.0</v>
      </c>
      <c r="Q138" s="35">
        <v>0.0</v>
      </c>
      <c r="R138" s="35">
        <f t="shared" si="1"/>
        <v>0</v>
      </c>
      <c r="S138" s="243">
        <f t="shared" si="2"/>
        <v>0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>
        <f t="shared" si="19"/>
        <v>0</v>
      </c>
    </row>
    <row r="139" ht="12.75" customHeight="1">
      <c r="A139" s="238" t="s">
        <v>578</v>
      </c>
      <c r="B139" s="8" t="s">
        <v>332</v>
      </c>
      <c r="C139" s="241">
        <v>47314.0</v>
      </c>
      <c r="D139" s="241" t="s">
        <v>333</v>
      </c>
      <c r="E139" s="8" t="s">
        <v>136</v>
      </c>
      <c r="F139" s="246">
        <f t="shared" ref="F139:Q139" si="48">40000/12</f>
        <v>3333.333333</v>
      </c>
      <c r="G139" s="35">
        <f t="shared" si="48"/>
        <v>3333.333333</v>
      </c>
      <c r="H139" s="35">
        <f t="shared" si="48"/>
        <v>3333.333333</v>
      </c>
      <c r="I139" s="35">
        <f t="shared" si="48"/>
        <v>3333.333333</v>
      </c>
      <c r="J139" s="35">
        <f t="shared" si="48"/>
        <v>3333.333333</v>
      </c>
      <c r="K139" s="35">
        <f t="shared" si="48"/>
        <v>3333.333333</v>
      </c>
      <c r="L139" s="35">
        <f t="shared" si="48"/>
        <v>3333.333333</v>
      </c>
      <c r="M139" s="35">
        <f t="shared" si="48"/>
        <v>3333.333333</v>
      </c>
      <c r="N139" s="35">
        <f t="shared" si="48"/>
        <v>3333.333333</v>
      </c>
      <c r="O139" s="35">
        <f t="shared" si="48"/>
        <v>3333.333333</v>
      </c>
      <c r="P139" s="35">
        <f t="shared" si="48"/>
        <v>3333.333333</v>
      </c>
      <c r="Q139" s="35">
        <f t="shared" si="48"/>
        <v>3333.333333</v>
      </c>
      <c r="R139" s="242">
        <f t="shared" si="1"/>
        <v>40000</v>
      </c>
      <c r="S139" s="243">
        <f t="shared" si="2"/>
        <v>10000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>
        <f t="shared" si="19"/>
        <v>0</v>
      </c>
    </row>
    <row r="140" ht="12.75" customHeight="1">
      <c r="A140" s="238" t="s">
        <v>580</v>
      </c>
      <c r="B140" s="8" t="s">
        <v>343</v>
      </c>
      <c r="C140" s="241">
        <v>47314.0</v>
      </c>
      <c r="D140" s="241" t="s">
        <v>333</v>
      </c>
      <c r="E140" s="8" t="s">
        <v>136</v>
      </c>
      <c r="F140" s="246">
        <f t="shared" ref="F140:Q140" si="49">124900/12</f>
        <v>10408.33333</v>
      </c>
      <c r="G140" s="35">
        <f t="shared" si="49"/>
        <v>10408.33333</v>
      </c>
      <c r="H140" s="35">
        <f t="shared" si="49"/>
        <v>10408.33333</v>
      </c>
      <c r="I140" s="35">
        <f t="shared" si="49"/>
        <v>10408.33333</v>
      </c>
      <c r="J140" s="35">
        <f t="shared" si="49"/>
        <v>10408.33333</v>
      </c>
      <c r="K140" s="35">
        <f t="shared" si="49"/>
        <v>10408.33333</v>
      </c>
      <c r="L140" s="35">
        <f t="shared" si="49"/>
        <v>10408.33333</v>
      </c>
      <c r="M140" s="35">
        <f t="shared" si="49"/>
        <v>10408.33333</v>
      </c>
      <c r="N140" s="35">
        <f t="shared" si="49"/>
        <v>10408.33333</v>
      </c>
      <c r="O140" s="35">
        <f t="shared" si="49"/>
        <v>10408.33333</v>
      </c>
      <c r="P140" s="35">
        <f t="shared" si="49"/>
        <v>10408.33333</v>
      </c>
      <c r="Q140" s="35">
        <f t="shared" si="49"/>
        <v>10408.33333</v>
      </c>
      <c r="R140" s="35">
        <f t="shared" si="1"/>
        <v>124900</v>
      </c>
      <c r="S140" s="243">
        <f t="shared" si="2"/>
        <v>31225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>
        <f t="shared" si="19"/>
        <v>0</v>
      </c>
    </row>
    <row r="141" ht="12.75" customHeight="1">
      <c r="A141" s="238" t="s">
        <v>581</v>
      </c>
      <c r="B141" s="8" t="s">
        <v>345</v>
      </c>
      <c r="C141" s="241">
        <v>47314.0</v>
      </c>
      <c r="D141" s="241" t="s">
        <v>333</v>
      </c>
      <c r="E141" s="8" t="s">
        <v>136</v>
      </c>
      <c r="F141" s="246">
        <f t="shared" ref="F141:Q141" si="50">63130/12</f>
        <v>5260.833333</v>
      </c>
      <c r="G141" s="35">
        <f t="shared" si="50"/>
        <v>5260.833333</v>
      </c>
      <c r="H141" s="35">
        <f t="shared" si="50"/>
        <v>5260.833333</v>
      </c>
      <c r="I141" s="35">
        <f t="shared" si="50"/>
        <v>5260.833333</v>
      </c>
      <c r="J141" s="35">
        <f t="shared" si="50"/>
        <v>5260.833333</v>
      </c>
      <c r="K141" s="35">
        <f t="shared" si="50"/>
        <v>5260.833333</v>
      </c>
      <c r="L141" s="35">
        <f t="shared" si="50"/>
        <v>5260.833333</v>
      </c>
      <c r="M141" s="35">
        <f t="shared" si="50"/>
        <v>5260.833333</v>
      </c>
      <c r="N141" s="35">
        <f t="shared" si="50"/>
        <v>5260.833333</v>
      </c>
      <c r="O141" s="35">
        <f t="shared" si="50"/>
        <v>5260.833333</v>
      </c>
      <c r="P141" s="35">
        <f t="shared" si="50"/>
        <v>5260.833333</v>
      </c>
      <c r="Q141" s="35">
        <f t="shared" si="50"/>
        <v>5260.833333</v>
      </c>
      <c r="R141" s="35">
        <f t="shared" si="1"/>
        <v>63130</v>
      </c>
      <c r="S141" s="243">
        <f t="shared" si="2"/>
        <v>15782.5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>
        <f t="shared" si="19"/>
        <v>0</v>
      </c>
    </row>
    <row r="142" ht="12.75" customHeight="1">
      <c r="A142" s="238" t="s">
        <v>582</v>
      </c>
      <c r="B142" s="8" t="s">
        <v>349</v>
      </c>
      <c r="C142" s="241">
        <v>47314.0</v>
      </c>
      <c r="D142" s="241" t="s">
        <v>333</v>
      </c>
      <c r="E142" s="8" t="s">
        <v>136</v>
      </c>
      <c r="F142" s="246">
        <f t="shared" ref="F142:Q142" si="51">23900/12</f>
        <v>1991.666667</v>
      </c>
      <c r="G142" s="35">
        <f t="shared" si="51"/>
        <v>1991.666667</v>
      </c>
      <c r="H142" s="35">
        <f t="shared" si="51"/>
        <v>1991.666667</v>
      </c>
      <c r="I142" s="35">
        <f t="shared" si="51"/>
        <v>1991.666667</v>
      </c>
      <c r="J142" s="35">
        <f t="shared" si="51"/>
        <v>1991.666667</v>
      </c>
      <c r="K142" s="35">
        <f t="shared" si="51"/>
        <v>1991.666667</v>
      </c>
      <c r="L142" s="35">
        <f t="shared" si="51"/>
        <v>1991.666667</v>
      </c>
      <c r="M142" s="35">
        <f t="shared" si="51"/>
        <v>1991.666667</v>
      </c>
      <c r="N142" s="35">
        <f t="shared" si="51"/>
        <v>1991.666667</v>
      </c>
      <c r="O142" s="35">
        <f t="shared" si="51"/>
        <v>1991.666667</v>
      </c>
      <c r="P142" s="35">
        <f t="shared" si="51"/>
        <v>1991.666667</v>
      </c>
      <c r="Q142" s="35">
        <f t="shared" si="51"/>
        <v>1991.666667</v>
      </c>
      <c r="R142" s="35">
        <f t="shared" si="1"/>
        <v>23900</v>
      </c>
      <c r="S142" s="243">
        <f t="shared" si="2"/>
        <v>5975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>
        <f t="shared" si="19"/>
        <v>0</v>
      </c>
    </row>
    <row r="143" ht="12.75" customHeight="1">
      <c r="A143" s="238" t="s">
        <v>583</v>
      </c>
      <c r="B143" s="8" t="s">
        <v>332</v>
      </c>
      <c r="C143" s="241">
        <v>47315.0</v>
      </c>
      <c r="D143" s="241" t="s">
        <v>333</v>
      </c>
      <c r="E143" s="8" t="s">
        <v>160</v>
      </c>
      <c r="F143" s="246">
        <v>0.0</v>
      </c>
      <c r="G143" s="35">
        <v>0.0</v>
      </c>
      <c r="H143" s="35">
        <v>0.0</v>
      </c>
      <c r="I143" s="242">
        <v>0.0</v>
      </c>
      <c r="J143" s="35">
        <v>0.0</v>
      </c>
      <c r="K143" s="35">
        <v>0.0</v>
      </c>
      <c r="L143" s="35">
        <v>0.0</v>
      </c>
      <c r="M143" s="35">
        <v>0.0</v>
      </c>
      <c r="N143" s="35">
        <v>0.0</v>
      </c>
      <c r="O143" s="35">
        <v>0.0</v>
      </c>
      <c r="P143" s="35">
        <v>0.0</v>
      </c>
      <c r="Q143" s="35">
        <v>0.0</v>
      </c>
      <c r="R143" s="242">
        <f t="shared" si="1"/>
        <v>0</v>
      </c>
      <c r="S143" s="243">
        <f t="shared" si="2"/>
        <v>0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>
        <f t="shared" si="19"/>
        <v>0</v>
      </c>
    </row>
    <row r="144" ht="12.75" customHeight="1">
      <c r="A144" s="238" t="s">
        <v>584</v>
      </c>
      <c r="B144" s="8" t="s">
        <v>332</v>
      </c>
      <c r="C144" s="241">
        <v>47316.0</v>
      </c>
      <c r="D144" s="241" t="s">
        <v>333</v>
      </c>
      <c r="E144" s="8" t="s">
        <v>585</v>
      </c>
      <c r="F144" s="246">
        <f t="shared" ref="F144:Q144" si="52">100104/12</f>
        <v>8342</v>
      </c>
      <c r="G144" s="35">
        <f t="shared" si="52"/>
        <v>8342</v>
      </c>
      <c r="H144" s="35">
        <f t="shared" si="52"/>
        <v>8342</v>
      </c>
      <c r="I144" s="35">
        <f t="shared" si="52"/>
        <v>8342</v>
      </c>
      <c r="J144" s="35">
        <f t="shared" si="52"/>
        <v>8342</v>
      </c>
      <c r="K144" s="35">
        <f t="shared" si="52"/>
        <v>8342</v>
      </c>
      <c r="L144" s="35">
        <f t="shared" si="52"/>
        <v>8342</v>
      </c>
      <c r="M144" s="35">
        <f t="shared" si="52"/>
        <v>8342</v>
      </c>
      <c r="N144" s="35">
        <f t="shared" si="52"/>
        <v>8342</v>
      </c>
      <c r="O144" s="35">
        <f t="shared" si="52"/>
        <v>8342</v>
      </c>
      <c r="P144" s="35">
        <f t="shared" si="52"/>
        <v>8342</v>
      </c>
      <c r="Q144" s="35">
        <f t="shared" si="52"/>
        <v>8342</v>
      </c>
      <c r="R144" s="35">
        <f t="shared" si="1"/>
        <v>100104</v>
      </c>
      <c r="S144" s="243">
        <f t="shared" si="2"/>
        <v>25026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>
        <f t="shared" si="19"/>
        <v>0</v>
      </c>
    </row>
    <row r="145" ht="12.75" customHeight="1">
      <c r="A145" s="238" t="s">
        <v>586</v>
      </c>
      <c r="B145" s="8" t="s">
        <v>339</v>
      </c>
      <c r="C145" s="241">
        <v>47316.0</v>
      </c>
      <c r="D145" s="241" t="s">
        <v>333</v>
      </c>
      <c r="E145" s="8" t="s">
        <v>585</v>
      </c>
      <c r="F145" s="246">
        <v>0.0</v>
      </c>
      <c r="G145" s="35">
        <v>0.0</v>
      </c>
      <c r="H145" s="35">
        <v>0.0</v>
      </c>
      <c r="I145" s="35">
        <v>0.0</v>
      </c>
      <c r="J145" s="35">
        <v>0.0</v>
      </c>
      <c r="K145" s="35">
        <v>0.0</v>
      </c>
      <c r="L145" s="35">
        <v>0.0</v>
      </c>
      <c r="M145" s="35">
        <v>0.0</v>
      </c>
      <c r="N145" s="35">
        <v>0.0</v>
      </c>
      <c r="O145" s="35">
        <v>0.0</v>
      </c>
      <c r="P145" s="35">
        <v>0.0</v>
      </c>
      <c r="Q145" s="35">
        <v>0.0</v>
      </c>
      <c r="R145" s="35">
        <f t="shared" si="1"/>
        <v>0</v>
      </c>
      <c r="S145" s="243">
        <f t="shared" si="2"/>
        <v>0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>
        <f t="shared" si="19"/>
        <v>0</v>
      </c>
    </row>
    <row r="146" ht="12.75" customHeight="1">
      <c r="A146" s="238" t="s">
        <v>587</v>
      </c>
      <c r="B146" s="8" t="s">
        <v>108</v>
      </c>
      <c r="C146" s="241">
        <v>47316.0</v>
      </c>
      <c r="D146" s="241" t="s">
        <v>312</v>
      </c>
      <c r="E146" s="8" t="s">
        <v>161</v>
      </c>
      <c r="F146" s="151">
        <f t="shared" ref="F146:Q146" si="53">1811/12</f>
        <v>150.9166667</v>
      </c>
      <c r="G146" s="74">
        <f t="shared" si="53"/>
        <v>150.9166667</v>
      </c>
      <c r="H146" s="74">
        <f t="shared" si="53"/>
        <v>150.9166667</v>
      </c>
      <c r="I146" s="74">
        <f t="shared" si="53"/>
        <v>150.9166667</v>
      </c>
      <c r="J146" s="74">
        <f t="shared" si="53"/>
        <v>150.9166667</v>
      </c>
      <c r="K146" s="74">
        <f t="shared" si="53"/>
        <v>150.9166667</v>
      </c>
      <c r="L146" s="74">
        <f t="shared" si="53"/>
        <v>150.9166667</v>
      </c>
      <c r="M146" s="74">
        <f t="shared" si="53"/>
        <v>150.9166667</v>
      </c>
      <c r="N146" s="74">
        <f t="shared" si="53"/>
        <v>150.9166667</v>
      </c>
      <c r="O146" s="74">
        <f t="shared" si="53"/>
        <v>150.9166667</v>
      </c>
      <c r="P146" s="74">
        <f t="shared" si="53"/>
        <v>150.9166667</v>
      </c>
      <c r="Q146" s="74">
        <f t="shared" si="53"/>
        <v>150.9166667</v>
      </c>
      <c r="R146" s="35">
        <f t="shared" si="1"/>
        <v>1811</v>
      </c>
      <c r="S146" s="243">
        <f t="shared" si="2"/>
        <v>452.75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>
        <f t="shared" si="19"/>
        <v>0</v>
      </c>
    </row>
    <row r="147" ht="12.75" customHeight="1">
      <c r="A147" s="238" t="s">
        <v>588</v>
      </c>
      <c r="B147" s="8" t="s">
        <v>89</v>
      </c>
      <c r="C147" s="241">
        <v>47316.0</v>
      </c>
      <c r="D147" s="241" t="s">
        <v>312</v>
      </c>
      <c r="E147" s="8" t="s">
        <v>161</v>
      </c>
      <c r="F147" s="151">
        <f t="shared" ref="F147:Q147" si="54">1510/12</f>
        <v>125.8333333</v>
      </c>
      <c r="G147" s="74">
        <f t="shared" si="54"/>
        <v>125.8333333</v>
      </c>
      <c r="H147" s="74">
        <f t="shared" si="54"/>
        <v>125.8333333</v>
      </c>
      <c r="I147" s="74">
        <f t="shared" si="54"/>
        <v>125.8333333</v>
      </c>
      <c r="J147" s="74">
        <f t="shared" si="54"/>
        <v>125.8333333</v>
      </c>
      <c r="K147" s="74">
        <f t="shared" si="54"/>
        <v>125.8333333</v>
      </c>
      <c r="L147" s="74">
        <f t="shared" si="54"/>
        <v>125.8333333</v>
      </c>
      <c r="M147" s="74">
        <f t="shared" si="54"/>
        <v>125.8333333</v>
      </c>
      <c r="N147" s="74">
        <f t="shared" si="54"/>
        <v>125.8333333</v>
      </c>
      <c r="O147" s="74">
        <f t="shared" si="54"/>
        <v>125.8333333</v>
      </c>
      <c r="P147" s="74">
        <f t="shared" si="54"/>
        <v>125.8333333</v>
      </c>
      <c r="Q147" s="74">
        <f t="shared" si="54"/>
        <v>125.8333333</v>
      </c>
      <c r="R147" s="35">
        <f t="shared" si="1"/>
        <v>1510</v>
      </c>
      <c r="S147" s="243">
        <f t="shared" si="2"/>
        <v>377.5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>
        <f t="shared" si="19"/>
        <v>0</v>
      </c>
    </row>
    <row r="148" ht="12.75" customHeight="1">
      <c r="A148" s="238" t="s">
        <v>584</v>
      </c>
      <c r="B148" s="8" t="s">
        <v>332</v>
      </c>
      <c r="C148" s="241">
        <v>47316.0</v>
      </c>
      <c r="D148" s="241" t="s">
        <v>333</v>
      </c>
      <c r="E148" s="8" t="s">
        <v>585</v>
      </c>
      <c r="F148" s="246">
        <f t="shared" ref="F148:Q148" si="55">235/12</f>
        <v>19.58333333</v>
      </c>
      <c r="G148" s="35">
        <f t="shared" si="55"/>
        <v>19.58333333</v>
      </c>
      <c r="H148" s="35">
        <f t="shared" si="55"/>
        <v>19.58333333</v>
      </c>
      <c r="I148" s="35">
        <f t="shared" si="55"/>
        <v>19.58333333</v>
      </c>
      <c r="J148" s="35">
        <f t="shared" si="55"/>
        <v>19.58333333</v>
      </c>
      <c r="K148" s="35">
        <f t="shared" si="55"/>
        <v>19.58333333</v>
      </c>
      <c r="L148" s="35">
        <f t="shared" si="55"/>
        <v>19.58333333</v>
      </c>
      <c r="M148" s="35">
        <f t="shared" si="55"/>
        <v>19.58333333</v>
      </c>
      <c r="N148" s="35">
        <f t="shared" si="55"/>
        <v>19.58333333</v>
      </c>
      <c r="O148" s="35">
        <f t="shared" si="55"/>
        <v>19.58333333</v>
      </c>
      <c r="P148" s="35">
        <f t="shared" si="55"/>
        <v>19.58333333</v>
      </c>
      <c r="Q148" s="35">
        <f t="shared" si="55"/>
        <v>19.58333333</v>
      </c>
      <c r="R148" s="242">
        <f t="shared" si="1"/>
        <v>235</v>
      </c>
      <c r="S148" s="243">
        <f t="shared" si="2"/>
        <v>58.75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>
        <f t="shared" si="19"/>
        <v>0</v>
      </c>
    </row>
    <row r="149" ht="12.75" customHeight="1">
      <c r="A149" s="238" t="s">
        <v>589</v>
      </c>
      <c r="B149" s="8" t="s">
        <v>343</v>
      </c>
      <c r="C149" s="241">
        <v>47316.0</v>
      </c>
      <c r="D149" s="241" t="s">
        <v>333</v>
      </c>
      <c r="E149" s="8" t="s">
        <v>585</v>
      </c>
      <c r="F149" s="246">
        <f t="shared" ref="F149:Q149" si="56">476/12</f>
        <v>39.66666667</v>
      </c>
      <c r="G149" s="35">
        <f t="shared" si="56"/>
        <v>39.66666667</v>
      </c>
      <c r="H149" s="35">
        <f t="shared" si="56"/>
        <v>39.66666667</v>
      </c>
      <c r="I149" s="35">
        <f t="shared" si="56"/>
        <v>39.66666667</v>
      </c>
      <c r="J149" s="35">
        <f t="shared" si="56"/>
        <v>39.66666667</v>
      </c>
      <c r="K149" s="35">
        <f t="shared" si="56"/>
        <v>39.66666667</v>
      </c>
      <c r="L149" s="35">
        <f t="shared" si="56"/>
        <v>39.66666667</v>
      </c>
      <c r="M149" s="35">
        <f t="shared" si="56"/>
        <v>39.66666667</v>
      </c>
      <c r="N149" s="35">
        <f t="shared" si="56"/>
        <v>39.66666667</v>
      </c>
      <c r="O149" s="35">
        <f t="shared" si="56"/>
        <v>39.66666667</v>
      </c>
      <c r="P149" s="35">
        <f t="shared" si="56"/>
        <v>39.66666667</v>
      </c>
      <c r="Q149" s="35">
        <f t="shared" si="56"/>
        <v>39.66666667</v>
      </c>
      <c r="R149" s="35">
        <f t="shared" si="1"/>
        <v>476</v>
      </c>
      <c r="S149" s="243">
        <f t="shared" si="2"/>
        <v>119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>
        <f t="shared" si="19"/>
        <v>0</v>
      </c>
    </row>
    <row r="150" ht="12.75" customHeight="1">
      <c r="A150" s="238" t="s">
        <v>590</v>
      </c>
      <c r="B150" s="8" t="s">
        <v>345</v>
      </c>
      <c r="C150" s="241">
        <v>47316.0</v>
      </c>
      <c r="D150" s="241" t="s">
        <v>333</v>
      </c>
      <c r="E150" s="8" t="s">
        <v>585</v>
      </c>
      <c r="F150" s="246">
        <f t="shared" ref="F150:Q150" si="57">510/12</f>
        <v>42.5</v>
      </c>
      <c r="G150" s="35">
        <f t="shared" si="57"/>
        <v>42.5</v>
      </c>
      <c r="H150" s="35">
        <f t="shared" si="57"/>
        <v>42.5</v>
      </c>
      <c r="I150" s="35">
        <f t="shared" si="57"/>
        <v>42.5</v>
      </c>
      <c r="J150" s="35">
        <f t="shared" si="57"/>
        <v>42.5</v>
      </c>
      <c r="K150" s="35">
        <f t="shared" si="57"/>
        <v>42.5</v>
      </c>
      <c r="L150" s="35">
        <f t="shared" si="57"/>
        <v>42.5</v>
      </c>
      <c r="M150" s="35">
        <f t="shared" si="57"/>
        <v>42.5</v>
      </c>
      <c r="N150" s="35">
        <f t="shared" si="57"/>
        <v>42.5</v>
      </c>
      <c r="O150" s="35">
        <f t="shared" si="57"/>
        <v>42.5</v>
      </c>
      <c r="P150" s="35">
        <f t="shared" si="57"/>
        <v>42.5</v>
      </c>
      <c r="Q150" s="35">
        <f t="shared" si="57"/>
        <v>42.5</v>
      </c>
      <c r="R150" s="35">
        <f t="shared" si="1"/>
        <v>510</v>
      </c>
      <c r="S150" s="243">
        <f t="shared" si="2"/>
        <v>127.5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>
        <f t="shared" si="19"/>
        <v>0</v>
      </c>
    </row>
    <row r="151" ht="12.75" customHeight="1">
      <c r="A151" s="238" t="s">
        <v>591</v>
      </c>
      <c r="B151" s="8" t="s">
        <v>349</v>
      </c>
      <c r="C151" s="241">
        <v>47316.0</v>
      </c>
      <c r="D151" s="241" t="s">
        <v>333</v>
      </c>
      <c r="E151" s="8" t="s">
        <v>585</v>
      </c>
      <c r="F151" s="246">
        <f t="shared" ref="F151:Q151" si="58">904/12</f>
        <v>75.33333333</v>
      </c>
      <c r="G151" s="35">
        <f t="shared" si="58"/>
        <v>75.33333333</v>
      </c>
      <c r="H151" s="35">
        <f t="shared" si="58"/>
        <v>75.33333333</v>
      </c>
      <c r="I151" s="35">
        <f t="shared" si="58"/>
        <v>75.33333333</v>
      </c>
      <c r="J151" s="35">
        <f t="shared" si="58"/>
        <v>75.33333333</v>
      </c>
      <c r="K151" s="35">
        <f t="shared" si="58"/>
        <v>75.33333333</v>
      </c>
      <c r="L151" s="35">
        <f t="shared" si="58"/>
        <v>75.33333333</v>
      </c>
      <c r="M151" s="35">
        <f t="shared" si="58"/>
        <v>75.33333333</v>
      </c>
      <c r="N151" s="35">
        <f t="shared" si="58"/>
        <v>75.33333333</v>
      </c>
      <c r="O151" s="35">
        <f t="shared" si="58"/>
        <v>75.33333333</v>
      </c>
      <c r="P151" s="35">
        <f t="shared" si="58"/>
        <v>75.33333333</v>
      </c>
      <c r="Q151" s="35">
        <f t="shared" si="58"/>
        <v>75.33333333</v>
      </c>
      <c r="R151" s="35">
        <f t="shared" si="1"/>
        <v>904</v>
      </c>
      <c r="S151" s="243">
        <f t="shared" si="2"/>
        <v>226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>
        <f t="shared" si="19"/>
        <v>0</v>
      </c>
    </row>
    <row r="152" ht="12.75" customHeight="1">
      <c r="A152" s="238" t="s">
        <v>592</v>
      </c>
      <c r="B152" s="8" t="s">
        <v>332</v>
      </c>
      <c r="C152" s="241">
        <v>47354.0</v>
      </c>
      <c r="D152" s="241" t="s">
        <v>333</v>
      </c>
      <c r="E152" s="8" t="s">
        <v>162</v>
      </c>
      <c r="F152" s="246">
        <f t="shared" ref="F152:Q152" si="59">48114/12</f>
        <v>4009.5</v>
      </c>
      <c r="G152" s="35">
        <f t="shared" si="59"/>
        <v>4009.5</v>
      </c>
      <c r="H152" s="35">
        <f t="shared" si="59"/>
        <v>4009.5</v>
      </c>
      <c r="I152" s="35">
        <f t="shared" si="59"/>
        <v>4009.5</v>
      </c>
      <c r="J152" s="35">
        <f t="shared" si="59"/>
        <v>4009.5</v>
      </c>
      <c r="K152" s="35">
        <f t="shared" si="59"/>
        <v>4009.5</v>
      </c>
      <c r="L152" s="35">
        <f t="shared" si="59"/>
        <v>4009.5</v>
      </c>
      <c r="M152" s="35">
        <f t="shared" si="59"/>
        <v>4009.5</v>
      </c>
      <c r="N152" s="35">
        <f t="shared" si="59"/>
        <v>4009.5</v>
      </c>
      <c r="O152" s="35">
        <f t="shared" si="59"/>
        <v>4009.5</v>
      </c>
      <c r="P152" s="35">
        <f t="shared" si="59"/>
        <v>4009.5</v>
      </c>
      <c r="Q152" s="35">
        <f t="shared" si="59"/>
        <v>4009.5</v>
      </c>
      <c r="R152" s="35">
        <f t="shared" si="1"/>
        <v>48114</v>
      </c>
      <c r="S152" s="243">
        <f t="shared" si="2"/>
        <v>12028.5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>
        <f t="shared" si="19"/>
        <v>0</v>
      </c>
    </row>
    <row r="153" ht="12.75" customHeight="1">
      <c r="A153" s="238" t="s">
        <v>593</v>
      </c>
      <c r="B153" s="8" t="s">
        <v>339</v>
      </c>
      <c r="C153" s="241">
        <v>47354.0</v>
      </c>
      <c r="D153" s="241" t="s">
        <v>333</v>
      </c>
      <c r="E153" s="8" t="s">
        <v>162</v>
      </c>
      <c r="F153" s="246">
        <v>0.0</v>
      </c>
      <c r="G153" s="35">
        <v>0.0</v>
      </c>
      <c r="H153" s="35">
        <v>0.0</v>
      </c>
      <c r="I153" s="35">
        <v>0.0</v>
      </c>
      <c r="J153" s="35">
        <v>0.0</v>
      </c>
      <c r="K153" s="35">
        <v>0.0</v>
      </c>
      <c r="L153" s="35">
        <v>0.0</v>
      </c>
      <c r="M153" s="35">
        <v>0.0</v>
      </c>
      <c r="N153" s="35">
        <v>0.0</v>
      </c>
      <c r="O153" s="35">
        <v>0.0</v>
      </c>
      <c r="P153" s="35">
        <v>0.0</v>
      </c>
      <c r="Q153" s="35">
        <v>0.0</v>
      </c>
      <c r="R153" s="35">
        <f t="shared" si="1"/>
        <v>0</v>
      </c>
      <c r="S153" s="243">
        <f t="shared" si="2"/>
        <v>0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>
        <f t="shared" si="19"/>
        <v>0</v>
      </c>
    </row>
    <row r="154" ht="12.75" customHeight="1">
      <c r="A154" s="238" t="s">
        <v>594</v>
      </c>
      <c r="B154" s="8" t="s">
        <v>108</v>
      </c>
      <c r="C154" s="241">
        <v>47354.0</v>
      </c>
      <c r="D154" s="241" t="s">
        <v>312</v>
      </c>
      <c r="E154" s="8" t="s">
        <v>162</v>
      </c>
      <c r="F154" s="259">
        <v>0.0</v>
      </c>
      <c r="G154" s="74">
        <v>0.0</v>
      </c>
      <c r="H154" s="74">
        <v>0.0</v>
      </c>
      <c r="I154" s="74">
        <v>0.0</v>
      </c>
      <c r="J154" s="74">
        <v>0.0</v>
      </c>
      <c r="K154" s="74">
        <v>0.0</v>
      </c>
      <c r="L154" s="74">
        <v>0.0</v>
      </c>
      <c r="M154" s="74">
        <v>0.0</v>
      </c>
      <c r="N154" s="74">
        <v>0.0</v>
      </c>
      <c r="O154" s="74">
        <v>0.0</v>
      </c>
      <c r="P154" s="74">
        <v>0.0</v>
      </c>
      <c r="Q154" s="74">
        <v>0.0</v>
      </c>
      <c r="R154" s="35">
        <f t="shared" si="1"/>
        <v>0</v>
      </c>
      <c r="S154" s="243">
        <f t="shared" si="2"/>
        <v>0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>
        <f t="shared" si="19"/>
        <v>0</v>
      </c>
    </row>
    <row r="155" ht="12.75" customHeight="1">
      <c r="A155" s="238" t="s">
        <v>595</v>
      </c>
      <c r="B155" s="8" t="s">
        <v>89</v>
      </c>
      <c r="C155" s="241">
        <v>47354.0</v>
      </c>
      <c r="D155" s="241" t="s">
        <v>312</v>
      </c>
      <c r="E155" s="8" t="s">
        <v>162</v>
      </c>
      <c r="F155" s="259">
        <v>0.0</v>
      </c>
      <c r="G155" s="74">
        <v>0.0</v>
      </c>
      <c r="H155" s="74">
        <v>0.0</v>
      </c>
      <c r="I155" s="74">
        <v>0.0</v>
      </c>
      <c r="J155" s="74">
        <v>0.0</v>
      </c>
      <c r="K155" s="74">
        <v>0.0</v>
      </c>
      <c r="L155" s="74">
        <v>0.0</v>
      </c>
      <c r="M155" s="74">
        <v>0.0</v>
      </c>
      <c r="N155" s="74">
        <v>0.0</v>
      </c>
      <c r="O155" s="74">
        <v>0.0</v>
      </c>
      <c r="P155" s="74">
        <v>0.0</v>
      </c>
      <c r="Q155" s="74">
        <v>0.0</v>
      </c>
      <c r="R155" s="35">
        <f t="shared" si="1"/>
        <v>0</v>
      </c>
      <c r="S155" s="243">
        <f t="shared" si="2"/>
        <v>0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>
        <f t="shared" si="19"/>
        <v>0</v>
      </c>
    </row>
    <row r="156" ht="12.75" customHeight="1">
      <c r="A156" s="238" t="s">
        <v>592</v>
      </c>
      <c r="B156" s="8" t="s">
        <v>332</v>
      </c>
      <c r="C156" s="241">
        <v>47354.0</v>
      </c>
      <c r="D156" s="241" t="s">
        <v>333</v>
      </c>
      <c r="E156" s="8" t="s">
        <v>162</v>
      </c>
      <c r="F156" s="246">
        <v>0.0</v>
      </c>
      <c r="G156" s="35">
        <v>0.0</v>
      </c>
      <c r="H156" s="35">
        <v>0.0</v>
      </c>
      <c r="I156" s="242">
        <v>0.0</v>
      </c>
      <c r="J156" s="35">
        <v>0.0</v>
      </c>
      <c r="K156" s="35">
        <v>0.0</v>
      </c>
      <c r="L156" s="35">
        <v>0.0</v>
      </c>
      <c r="M156" s="35">
        <v>0.0</v>
      </c>
      <c r="N156" s="35">
        <v>0.0</v>
      </c>
      <c r="O156" s="35">
        <v>0.0</v>
      </c>
      <c r="P156" s="35">
        <v>0.0</v>
      </c>
      <c r="Q156" s="35">
        <v>0.0</v>
      </c>
      <c r="R156" s="242">
        <f t="shared" si="1"/>
        <v>0</v>
      </c>
      <c r="S156" s="243">
        <f t="shared" si="2"/>
        <v>0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>
        <f t="shared" si="19"/>
        <v>0</v>
      </c>
    </row>
    <row r="157" ht="12.75" customHeight="1">
      <c r="A157" s="238" t="s">
        <v>596</v>
      </c>
      <c r="B157" s="8" t="s">
        <v>343</v>
      </c>
      <c r="C157" s="241">
        <v>47354.0</v>
      </c>
      <c r="D157" s="241" t="s">
        <v>333</v>
      </c>
      <c r="E157" s="8" t="s">
        <v>162</v>
      </c>
      <c r="F157" s="246">
        <v>0.0</v>
      </c>
      <c r="G157" s="35">
        <v>0.0</v>
      </c>
      <c r="H157" s="35">
        <v>0.0</v>
      </c>
      <c r="I157" s="35">
        <v>0.0</v>
      </c>
      <c r="J157" s="35">
        <v>0.0</v>
      </c>
      <c r="K157" s="35">
        <v>0.0</v>
      </c>
      <c r="L157" s="35">
        <v>0.0</v>
      </c>
      <c r="M157" s="35">
        <v>0.0</v>
      </c>
      <c r="N157" s="35">
        <v>0.0</v>
      </c>
      <c r="O157" s="35">
        <v>0.0</v>
      </c>
      <c r="P157" s="35">
        <v>0.0</v>
      </c>
      <c r="Q157" s="35">
        <v>0.0</v>
      </c>
      <c r="R157" s="35">
        <f t="shared" si="1"/>
        <v>0</v>
      </c>
      <c r="S157" s="243">
        <f t="shared" si="2"/>
        <v>0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>
        <f t="shared" si="19"/>
        <v>0</v>
      </c>
    </row>
    <row r="158" ht="12.75" customHeight="1">
      <c r="A158" s="238" t="s">
        <v>597</v>
      </c>
      <c r="B158" s="8" t="s">
        <v>345</v>
      </c>
      <c r="C158" s="241">
        <v>47354.0</v>
      </c>
      <c r="D158" s="241" t="s">
        <v>333</v>
      </c>
      <c r="E158" s="8" t="s">
        <v>162</v>
      </c>
      <c r="F158" s="246">
        <f t="shared" ref="F158:Q158" si="60">2000/12</f>
        <v>166.6666667</v>
      </c>
      <c r="G158" s="35">
        <f t="shared" si="60"/>
        <v>166.6666667</v>
      </c>
      <c r="H158" s="35">
        <f t="shared" si="60"/>
        <v>166.6666667</v>
      </c>
      <c r="I158" s="35">
        <f t="shared" si="60"/>
        <v>166.6666667</v>
      </c>
      <c r="J158" s="35">
        <f t="shared" si="60"/>
        <v>166.6666667</v>
      </c>
      <c r="K158" s="35">
        <f t="shared" si="60"/>
        <v>166.6666667</v>
      </c>
      <c r="L158" s="35">
        <f t="shared" si="60"/>
        <v>166.6666667</v>
      </c>
      <c r="M158" s="35">
        <f t="shared" si="60"/>
        <v>166.6666667</v>
      </c>
      <c r="N158" s="35">
        <f t="shared" si="60"/>
        <v>166.6666667</v>
      </c>
      <c r="O158" s="35">
        <f t="shared" si="60"/>
        <v>166.6666667</v>
      </c>
      <c r="P158" s="35">
        <f t="shared" si="60"/>
        <v>166.6666667</v>
      </c>
      <c r="Q158" s="35">
        <f t="shared" si="60"/>
        <v>166.6666667</v>
      </c>
      <c r="R158" s="35">
        <f t="shared" si="1"/>
        <v>2000</v>
      </c>
      <c r="S158" s="243">
        <f t="shared" si="2"/>
        <v>500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>
        <f t="shared" si="19"/>
        <v>0</v>
      </c>
    </row>
    <row r="159" ht="12.75" customHeight="1">
      <c r="A159" s="238" t="s">
        <v>598</v>
      </c>
      <c r="B159" s="8" t="s">
        <v>349</v>
      </c>
      <c r="C159" s="241">
        <v>47354.0</v>
      </c>
      <c r="D159" s="241" t="s">
        <v>333</v>
      </c>
      <c r="E159" s="8" t="s">
        <v>162</v>
      </c>
      <c r="F159" s="246">
        <v>0.0</v>
      </c>
      <c r="G159" s="35">
        <v>0.0</v>
      </c>
      <c r="H159" s="35">
        <v>0.0</v>
      </c>
      <c r="I159" s="35">
        <v>0.0</v>
      </c>
      <c r="J159" s="35">
        <v>0.0</v>
      </c>
      <c r="K159" s="35">
        <v>0.0</v>
      </c>
      <c r="L159" s="35">
        <v>0.0</v>
      </c>
      <c r="M159" s="35">
        <v>0.0</v>
      </c>
      <c r="N159" s="35">
        <v>0.0</v>
      </c>
      <c r="O159" s="35">
        <v>0.0</v>
      </c>
      <c r="P159" s="35">
        <v>0.0</v>
      </c>
      <c r="Q159" s="35">
        <v>0.0</v>
      </c>
      <c r="R159" s="35">
        <f t="shared" si="1"/>
        <v>0</v>
      </c>
      <c r="S159" s="243">
        <f t="shared" si="2"/>
        <v>0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>
        <f t="shared" si="19"/>
        <v>0</v>
      </c>
    </row>
    <row r="160" ht="12.75" customHeight="1">
      <c r="A160" s="238" t="s">
        <v>599</v>
      </c>
      <c r="B160" s="8" t="s">
        <v>332</v>
      </c>
      <c r="C160" s="241">
        <v>47401.0</v>
      </c>
      <c r="D160" s="241" t="s">
        <v>333</v>
      </c>
      <c r="E160" s="8" t="s">
        <v>600</v>
      </c>
      <c r="F160" s="246">
        <f t="shared" ref="F160:Q160" si="61">7122/12</f>
        <v>593.5</v>
      </c>
      <c r="G160" s="35">
        <f t="shared" si="61"/>
        <v>593.5</v>
      </c>
      <c r="H160" s="35">
        <f t="shared" si="61"/>
        <v>593.5</v>
      </c>
      <c r="I160" s="35">
        <f t="shared" si="61"/>
        <v>593.5</v>
      </c>
      <c r="J160" s="35">
        <f t="shared" si="61"/>
        <v>593.5</v>
      </c>
      <c r="K160" s="35">
        <f t="shared" si="61"/>
        <v>593.5</v>
      </c>
      <c r="L160" s="35">
        <f t="shared" si="61"/>
        <v>593.5</v>
      </c>
      <c r="M160" s="35">
        <f t="shared" si="61"/>
        <v>593.5</v>
      </c>
      <c r="N160" s="35">
        <f t="shared" si="61"/>
        <v>593.5</v>
      </c>
      <c r="O160" s="35">
        <f t="shared" si="61"/>
        <v>593.5</v>
      </c>
      <c r="P160" s="35">
        <f t="shared" si="61"/>
        <v>593.5</v>
      </c>
      <c r="Q160" s="35">
        <f t="shared" si="61"/>
        <v>593.5</v>
      </c>
      <c r="R160" s="35">
        <f t="shared" si="1"/>
        <v>7122</v>
      </c>
      <c r="S160" s="243">
        <f t="shared" si="2"/>
        <v>1780.5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>
        <f t="shared" si="19"/>
        <v>0</v>
      </c>
    </row>
    <row r="161" ht="12.75" customHeight="1">
      <c r="A161" s="238" t="s">
        <v>601</v>
      </c>
      <c r="B161" s="8" t="s">
        <v>339</v>
      </c>
      <c r="C161" s="241">
        <v>47401.0</v>
      </c>
      <c r="D161" s="241" t="s">
        <v>333</v>
      </c>
      <c r="E161" s="8" t="s">
        <v>600</v>
      </c>
      <c r="F161" s="246">
        <v>0.0</v>
      </c>
      <c r="G161" s="35">
        <v>0.0</v>
      </c>
      <c r="H161" s="35">
        <v>0.0</v>
      </c>
      <c r="I161" s="35">
        <v>0.0</v>
      </c>
      <c r="J161" s="35">
        <v>0.0</v>
      </c>
      <c r="K161" s="35">
        <v>0.0</v>
      </c>
      <c r="L161" s="35">
        <v>0.0</v>
      </c>
      <c r="M161" s="35">
        <v>0.0</v>
      </c>
      <c r="N161" s="35">
        <v>0.0</v>
      </c>
      <c r="O161" s="35">
        <v>0.0</v>
      </c>
      <c r="P161" s="35">
        <v>0.0</v>
      </c>
      <c r="Q161" s="35">
        <v>0.0</v>
      </c>
      <c r="R161" s="35">
        <f t="shared" si="1"/>
        <v>0</v>
      </c>
      <c r="S161" s="243">
        <f t="shared" si="2"/>
        <v>0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>
        <f t="shared" si="19"/>
        <v>0</v>
      </c>
    </row>
    <row r="162" ht="12.75" customHeight="1">
      <c r="A162" s="238" t="s">
        <v>602</v>
      </c>
      <c r="B162" s="8" t="s">
        <v>108</v>
      </c>
      <c r="C162" s="241">
        <v>47401.0</v>
      </c>
      <c r="D162" s="241" t="s">
        <v>312</v>
      </c>
      <c r="E162" s="8" t="s">
        <v>603</v>
      </c>
      <c r="F162" s="151">
        <f t="shared" ref="F162:Q162" si="62">3568/12</f>
        <v>297.3333333</v>
      </c>
      <c r="G162" s="74">
        <f t="shared" si="62"/>
        <v>297.3333333</v>
      </c>
      <c r="H162" s="74">
        <f t="shared" si="62"/>
        <v>297.3333333</v>
      </c>
      <c r="I162" s="74">
        <f t="shared" si="62"/>
        <v>297.3333333</v>
      </c>
      <c r="J162" s="74">
        <f t="shared" si="62"/>
        <v>297.3333333</v>
      </c>
      <c r="K162" s="74">
        <f t="shared" si="62"/>
        <v>297.3333333</v>
      </c>
      <c r="L162" s="74">
        <f t="shared" si="62"/>
        <v>297.3333333</v>
      </c>
      <c r="M162" s="74">
        <f t="shared" si="62"/>
        <v>297.3333333</v>
      </c>
      <c r="N162" s="74">
        <f t="shared" si="62"/>
        <v>297.3333333</v>
      </c>
      <c r="O162" s="74">
        <f t="shared" si="62"/>
        <v>297.3333333</v>
      </c>
      <c r="P162" s="74">
        <f t="shared" si="62"/>
        <v>297.3333333</v>
      </c>
      <c r="Q162" s="74">
        <f t="shared" si="62"/>
        <v>297.3333333</v>
      </c>
      <c r="R162" s="35">
        <f t="shared" si="1"/>
        <v>3568</v>
      </c>
      <c r="S162" s="243">
        <f t="shared" si="2"/>
        <v>892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>
        <f t="shared" si="19"/>
        <v>0</v>
      </c>
    </row>
    <row r="163" ht="12.75" customHeight="1">
      <c r="A163" s="238" t="s">
        <v>604</v>
      </c>
      <c r="B163" s="8" t="s">
        <v>89</v>
      </c>
      <c r="C163" s="241">
        <v>47401.0</v>
      </c>
      <c r="D163" s="241" t="s">
        <v>312</v>
      </c>
      <c r="E163" s="8" t="s">
        <v>603</v>
      </c>
      <c r="F163" s="151">
        <f t="shared" ref="F163:Q163" si="63">3569/12</f>
        <v>297.4166667</v>
      </c>
      <c r="G163" s="74">
        <f t="shared" si="63"/>
        <v>297.4166667</v>
      </c>
      <c r="H163" s="74">
        <f t="shared" si="63"/>
        <v>297.4166667</v>
      </c>
      <c r="I163" s="74">
        <f t="shared" si="63"/>
        <v>297.4166667</v>
      </c>
      <c r="J163" s="74">
        <f t="shared" si="63"/>
        <v>297.4166667</v>
      </c>
      <c r="K163" s="74">
        <f t="shared" si="63"/>
        <v>297.4166667</v>
      </c>
      <c r="L163" s="74">
        <f t="shared" si="63"/>
        <v>297.4166667</v>
      </c>
      <c r="M163" s="74">
        <f t="shared" si="63"/>
        <v>297.4166667</v>
      </c>
      <c r="N163" s="74">
        <f t="shared" si="63"/>
        <v>297.4166667</v>
      </c>
      <c r="O163" s="74">
        <f t="shared" si="63"/>
        <v>297.4166667</v>
      </c>
      <c r="P163" s="74">
        <f t="shared" si="63"/>
        <v>297.4166667</v>
      </c>
      <c r="Q163" s="74">
        <f t="shared" si="63"/>
        <v>297.4166667</v>
      </c>
      <c r="R163" s="35">
        <f t="shared" si="1"/>
        <v>3569</v>
      </c>
      <c r="S163" s="243">
        <f t="shared" si="2"/>
        <v>892.25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>
        <f t="shared" si="19"/>
        <v>0</v>
      </c>
    </row>
    <row r="164" ht="12.75" customHeight="1">
      <c r="A164" s="238" t="s">
        <v>599</v>
      </c>
      <c r="B164" s="8" t="s">
        <v>332</v>
      </c>
      <c r="C164" s="241">
        <v>47401.0</v>
      </c>
      <c r="D164" s="241" t="s">
        <v>333</v>
      </c>
      <c r="E164" s="8" t="s">
        <v>600</v>
      </c>
      <c r="F164" s="246">
        <v>0.0</v>
      </c>
      <c r="G164" s="35">
        <v>0.0</v>
      </c>
      <c r="H164" s="35">
        <v>0.0</v>
      </c>
      <c r="I164" s="35">
        <v>0.0</v>
      </c>
      <c r="J164" s="35">
        <v>0.0</v>
      </c>
      <c r="K164" s="35">
        <v>0.0</v>
      </c>
      <c r="L164" s="35">
        <v>0.0</v>
      </c>
      <c r="M164" s="35">
        <v>0.0</v>
      </c>
      <c r="N164" s="35">
        <v>0.0</v>
      </c>
      <c r="O164" s="35">
        <v>0.0</v>
      </c>
      <c r="P164" s="35">
        <v>0.0</v>
      </c>
      <c r="Q164" s="35">
        <v>0.0</v>
      </c>
      <c r="R164" s="242">
        <f t="shared" si="1"/>
        <v>0</v>
      </c>
      <c r="S164" s="243">
        <f t="shared" si="2"/>
        <v>0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>
        <f t="shared" si="19"/>
        <v>0</v>
      </c>
    </row>
    <row r="165" ht="12.75" customHeight="1">
      <c r="A165" s="238" t="s">
        <v>605</v>
      </c>
      <c r="B165" s="8" t="s">
        <v>343</v>
      </c>
      <c r="C165" s="241">
        <v>47401.0</v>
      </c>
      <c r="D165" s="241" t="s">
        <v>333</v>
      </c>
      <c r="E165" s="8" t="s">
        <v>600</v>
      </c>
      <c r="F165" s="246">
        <v>0.0</v>
      </c>
      <c r="G165" s="35">
        <v>0.0</v>
      </c>
      <c r="H165" s="35">
        <v>0.0</v>
      </c>
      <c r="I165" s="35">
        <v>0.0</v>
      </c>
      <c r="J165" s="35">
        <v>0.0</v>
      </c>
      <c r="K165" s="35">
        <v>0.0</v>
      </c>
      <c r="L165" s="35">
        <v>0.0</v>
      </c>
      <c r="M165" s="35">
        <v>0.0</v>
      </c>
      <c r="N165" s="35">
        <v>0.0</v>
      </c>
      <c r="O165" s="35">
        <v>0.0</v>
      </c>
      <c r="P165" s="35">
        <v>0.0</v>
      </c>
      <c r="Q165" s="35">
        <v>0.0</v>
      </c>
      <c r="R165" s="35">
        <f t="shared" si="1"/>
        <v>0</v>
      </c>
      <c r="S165" s="243">
        <f t="shared" si="2"/>
        <v>0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>
        <f t="shared" si="19"/>
        <v>0</v>
      </c>
    </row>
    <row r="166" ht="12.75" customHeight="1">
      <c r="A166" s="238" t="s">
        <v>606</v>
      </c>
      <c r="B166" s="8" t="s">
        <v>345</v>
      </c>
      <c r="C166" s="241">
        <v>47401.0</v>
      </c>
      <c r="D166" s="241" t="s">
        <v>333</v>
      </c>
      <c r="E166" s="8" t="s">
        <v>600</v>
      </c>
      <c r="F166" s="246">
        <v>0.0</v>
      </c>
      <c r="G166" s="35">
        <v>0.0</v>
      </c>
      <c r="H166" s="35">
        <v>0.0</v>
      </c>
      <c r="I166" s="35">
        <v>0.0</v>
      </c>
      <c r="J166" s="35">
        <v>0.0</v>
      </c>
      <c r="K166" s="35">
        <v>0.0</v>
      </c>
      <c r="L166" s="35">
        <v>0.0</v>
      </c>
      <c r="M166" s="35">
        <v>0.0</v>
      </c>
      <c r="N166" s="35">
        <v>0.0</v>
      </c>
      <c r="O166" s="35">
        <v>0.0</v>
      </c>
      <c r="P166" s="35">
        <v>0.0</v>
      </c>
      <c r="Q166" s="35">
        <v>0.0</v>
      </c>
      <c r="R166" s="35">
        <f t="shared" si="1"/>
        <v>0</v>
      </c>
      <c r="S166" s="243">
        <f t="shared" si="2"/>
        <v>0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>
        <f t="shared" si="19"/>
        <v>0</v>
      </c>
    </row>
    <row r="167" ht="12.75" customHeight="1">
      <c r="A167" s="238" t="s">
        <v>607</v>
      </c>
      <c r="B167" s="8" t="s">
        <v>349</v>
      </c>
      <c r="C167" s="241">
        <v>47401.0</v>
      </c>
      <c r="D167" s="241" t="s">
        <v>333</v>
      </c>
      <c r="E167" s="8" t="s">
        <v>600</v>
      </c>
      <c r="F167" s="246">
        <v>0.0</v>
      </c>
      <c r="G167" s="35">
        <v>0.0</v>
      </c>
      <c r="H167" s="35">
        <v>0.0</v>
      </c>
      <c r="I167" s="35">
        <v>0.0</v>
      </c>
      <c r="J167" s="35">
        <v>0.0</v>
      </c>
      <c r="K167" s="35">
        <v>0.0</v>
      </c>
      <c r="L167" s="35">
        <v>0.0</v>
      </c>
      <c r="M167" s="35">
        <v>0.0</v>
      </c>
      <c r="N167" s="35">
        <v>0.0</v>
      </c>
      <c r="O167" s="35">
        <v>0.0</v>
      </c>
      <c r="P167" s="35">
        <v>0.0</v>
      </c>
      <c r="Q167" s="35">
        <v>0.0</v>
      </c>
      <c r="R167" s="35">
        <f t="shared" si="1"/>
        <v>0</v>
      </c>
      <c r="S167" s="243">
        <f t="shared" si="2"/>
        <v>0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>
        <f t="shared" si="19"/>
        <v>0</v>
      </c>
    </row>
    <row r="168" ht="12.75" customHeight="1">
      <c r="A168" s="238" t="s">
        <v>608</v>
      </c>
      <c r="B168" s="8" t="s">
        <v>332</v>
      </c>
      <c r="C168" s="241">
        <v>47403.0</v>
      </c>
      <c r="D168" s="241" t="s">
        <v>333</v>
      </c>
      <c r="E168" s="8" t="s">
        <v>609</v>
      </c>
      <c r="F168" s="246">
        <f t="shared" ref="F168:Q168" si="64">7122/12</f>
        <v>593.5</v>
      </c>
      <c r="G168" s="35">
        <f t="shared" si="64"/>
        <v>593.5</v>
      </c>
      <c r="H168" s="35">
        <f t="shared" si="64"/>
        <v>593.5</v>
      </c>
      <c r="I168" s="35">
        <f t="shared" si="64"/>
        <v>593.5</v>
      </c>
      <c r="J168" s="35">
        <f t="shared" si="64"/>
        <v>593.5</v>
      </c>
      <c r="K168" s="35">
        <f t="shared" si="64"/>
        <v>593.5</v>
      </c>
      <c r="L168" s="35">
        <f t="shared" si="64"/>
        <v>593.5</v>
      </c>
      <c r="M168" s="35">
        <f t="shared" si="64"/>
        <v>593.5</v>
      </c>
      <c r="N168" s="35">
        <f t="shared" si="64"/>
        <v>593.5</v>
      </c>
      <c r="O168" s="35">
        <f t="shared" si="64"/>
        <v>593.5</v>
      </c>
      <c r="P168" s="35">
        <f t="shared" si="64"/>
        <v>593.5</v>
      </c>
      <c r="Q168" s="35">
        <f t="shared" si="64"/>
        <v>593.5</v>
      </c>
      <c r="R168" s="35">
        <f t="shared" si="1"/>
        <v>7122</v>
      </c>
      <c r="S168" s="243">
        <f t="shared" si="2"/>
        <v>1780.5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>
        <f t="shared" si="19"/>
        <v>0</v>
      </c>
    </row>
    <row r="169" ht="12.75" customHeight="1">
      <c r="A169" s="238" t="s">
        <v>610</v>
      </c>
      <c r="B169" s="8" t="s">
        <v>339</v>
      </c>
      <c r="C169" s="241">
        <v>47403.0</v>
      </c>
      <c r="D169" s="241" t="s">
        <v>333</v>
      </c>
      <c r="E169" s="8" t="s">
        <v>609</v>
      </c>
      <c r="F169" s="246">
        <v>0.0</v>
      </c>
      <c r="G169" s="35">
        <v>0.0</v>
      </c>
      <c r="H169" s="35">
        <v>0.0</v>
      </c>
      <c r="I169" s="35">
        <v>0.0</v>
      </c>
      <c r="J169" s="35">
        <v>0.0</v>
      </c>
      <c r="K169" s="35">
        <v>0.0</v>
      </c>
      <c r="L169" s="35">
        <v>0.0</v>
      </c>
      <c r="M169" s="35">
        <v>0.0</v>
      </c>
      <c r="N169" s="35">
        <v>0.0</v>
      </c>
      <c r="O169" s="35">
        <v>0.0</v>
      </c>
      <c r="P169" s="35">
        <v>0.0</v>
      </c>
      <c r="Q169" s="35">
        <v>0.0</v>
      </c>
      <c r="R169" s="35">
        <f t="shared" si="1"/>
        <v>0</v>
      </c>
      <c r="S169" s="243">
        <f t="shared" si="2"/>
        <v>0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>
        <f t="shared" si="19"/>
        <v>0</v>
      </c>
    </row>
    <row r="170" ht="12.75" customHeight="1">
      <c r="A170" s="238" t="s">
        <v>611</v>
      </c>
      <c r="B170" s="8" t="s">
        <v>108</v>
      </c>
      <c r="C170" s="241">
        <v>47403.0</v>
      </c>
      <c r="D170" s="241" t="s">
        <v>312</v>
      </c>
      <c r="E170" s="8" t="s">
        <v>612</v>
      </c>
      <c r="F170" s="151">
        <f t="shared" ref="F170:Q170" si="65">3568/12</f>
        <v>297.3333333</v>
      </c>
      <c r="G170" s="74">
        <f t="shared" si="65"/>
        <v>297.3333333</v>
      </c>
      <c r="H170" s="74">
        <f t="shared" si="65"/>
        <v>297.3333333</v>
      </c>
      <c r="I170" s="74">
        <f t="shared" si="65"/>
        <v>297.3333333</v>
      </c>
      <c r="J170" s="74">
        <f t="shared" si="65"/>
        <v>297.3333333</v>
      </c>
      <c r="K170" s="74">
        <f t="shared" si="65"/>
        <v>297.3333333</v>
      </c>
      <c r="L170" s="74">
        <f t="shared" si="65"/>
        <v>297.3333333</v>
      </c>
      <c r="M170" s="74">
        <f t="shared" si="65"/>
        <v>297.3333333</v>
      </c>
      <c r="N170" s="74">
        <f t="shared" si="65"/>
        <v>297.3333333</v>
      </c>
      <c r="O170" s="74">
        <f t="shared" si="65"/>
        <v>297.3333333</v>
      </c>
      <c r="P170" s="74">
        <f t="shared" si="65"/>
        <v>297.3333333</v>
      </c>
      <c r="Q170" s="74">
        <f t="shared" si="65"/>
        <v>297.3333333</v>
      </c>
      <c r="R170" s="35">
        <f t="shared" si="1"/>
        <v>3568</v>
      </c>
      <c r="S170" s="243">
        <f t="shared" si="2"/>
        <v>892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>
        <f t="shared" si="19"/>
        <v>0</v>
      </c>
    </row>
    <row r="171" ht="12.75" customHeight="1">
      <c r="A171" s="238" t="s">
        <v>613</v>
      </c>
      <c r="B171" s="8" t="s">
        <v>89</v>
      </c>
      <c r="C171" s="241">
        <v>47403.0</v>
      </c>
      <c r="D171" s="241" t="s">
        <v>312</v>
      </c>
      <c r="E171" s="8" t="s">
        <v>612</v>
      </c>
      <c r="F171" s="151">
        <f t="shared" ref="F171:Q171" si="66">3569/12</f>
        <v>297.4166667</v>
      </c>
      <c r="G171" s="74">
        <f t="shared" si="66"/>
        <v>297.4166667</v>
      </c>
      <c r="H171" s="74">
        <f t="shared" si="66"/>
        <v>297.4166667</v>
      </c>
      <c r="I171" s="74">
        <f t="shared" si="66"/>
        <v>297.4166667</v>
      </c>
      <c r="J171" s="74">
        <f t="shared" si="66"/>
        <v>297.4166667</v>
      </c>
      <c r="K171" s="74">
        <f t="shared" si="66"/>
        <v>297.4166667</v>
      </c>
      <c r="L171" s="74">
        <f t="shared" si="66"/>
        <v>297.4166667</v>
      </c>
      <c r="M171" s="74">
        <f t="shared" si="66"/>
        <v>297.4166667</v>
      </c>
      <c r="N171" s="74">
        <f t="shared" si="66"/>
        <v>297.4166667</v>
      </c>
      <c r="O171" s="74">
        <f t="shared" si="66"/>
        <v>297.4166667</v>
      </c>
      <c r="P171" s="74">
        <f t="shared" si="66"/>
        <v>297.4166667</v>
      </c>
      <c r="Q171" s="74">
        <f t="shared" si="66"/>
        <v>297.4166667</v>
      </c>
      <c r="R171" s="35">
        <f t="shared" si="1"/>
        <v>3569</v>
      </c>
      <c r="S171" s="243">
        <f t="shared" si="2"/>
        <v>892.25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>
        <f t="shared" si="19"/>
        <v>0</v>
      </c>
    </row>
    <row r="172" ht="12.75" customHeight="1">
      <c r="A172" s="238" t="s">
        <v>608</v>
      </c>
      <c r="B172" s="8" t="s">
        <v>332</v>
      </c>
      <c r="C172" s="241">
        <v>47403.0</v>
      </c>
      <c r="D172" s="241" t="s">
        <v>333</v>
      </c>
      <c r="E172" s="8" t="s">
        <v>609</v>
      </c>
      <c r="F172" s="246">
        <v>0.0</v>
      </c>
      <c r="G172" s="35">
        <v>0.0</v>
      </c>
      <c r="H172" s="35">
        <v>0.0</v>
      </c>
      <c r="I172" s="35">
        <v>0.0</v>
      </c>
      <c r="J172" s="35">
        <v>0.0</v>
      </c>
      <c r="K172" s="35">
        <v>0.0</v>
      </c>
      <c r="L172" s="35">
        <v>0.0</v>
      </c>
      <c r="M172" s="35">
        <v>0.0</v>
      </c>
      <c r="N172" s="35">
        <v>0.0</v>
      </c>
      <c r="O172" s="35">
        <v>0.0</v>
      </c>
      <c r="P172" s="35">
        <v>0.0</v>
      </c>
      <c r="Q172" s="35">
        <v>0.0</v>
      </c>
      <c r="R172" s="242">
        <f t="shared" si="1"/>
        <v>0</v>
      </c>
      <c r="S172" s="243">
        <f t="shared" si="2"/>
        <v>0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>
        <f t="shared" si="19"/>
        <v>0</v>
      </c>
    </row>
    <row r="173" ht="12.75" customHeight="1">
      <c r="A173" s="238" t="s">
        <v>614</v>
      </c>
      <c r="B173" s="8" t="s">
        <v>343</v>
      </c>
      <c r="C173" s="241">
        <v>47403.0</v>
      </c>
      <c r="D173" s="241" t="s">
        <v>333</v>
      </c>
      <c r="E173" s="8" t="s">
        <v>609</v>
      </c>
      <c r="F173" s="246">
        <v>0.0</v>
      </c>
      <c r="G173" s="35">
        <v>0.0</v>
      </c>
      <c r="H173" s="35">
        <v>0.0</v>
      </c>
      <c r="I173" s="35">
        <v>0.0</v>
      </c>
      <c r="J173" s="35">
        <v>0.0</v>
      </c>
      <c r="K173" s="35">
        <v>0.0</v>
      </c>
      <c r="L173" s="35">
        <v>0.0</v>
      </c>
      <c r="M173" s="35">
        <v>0.0</v>
      </c>
      <c r="N173" s="35">
        <v>0.0</v>
      </c>
      <c r="O173" s="35">
        <v>0.0</v>
      </c>
      <c r="P173" s="35">
        <v>0.0</v>
      </c>
      <c r="Q173" s="35">
        <v>0.0</v>
      </c>
      <c r="R173" s="35">
        <f t="shared" si="1"/>
        <v>0</v>
      </c>
      <c r="S173" s="243">
        <f t="shared" si="2"/>
        <v>0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>
        <f t="shared" si="19"/>
        <v>0</v>
      </c>
    </row>
    <row r="174" ht="12.75" customHeight="1">
      <c r="A174" s="238" t="s">
        <v>615</v>
      </c>
      <c r="B174" s="8" t="s">
        <v>345</v>
      </c>
      <c r="C174" s="241">
        <v>47403.0</v>
      </c>
      <c r="D174" s="241" t="s">
        <v>333</v>
      </c>
      <c r="E174" s="8" t="s">
        <v>609</v>
      </c>
      <c r="F174" s="246">
        <v>0.0</v>
      </c>
      <c r="G174" s="35">
        <v>0.0</v>
      </c>
      <c r="H174" s="35">
        <v>0.0</v>
      </c>
      <c r="I174" s="35">
        <v>0.0</v>
      </c>
      <c r="J174" s="35">
        <v>0.0</v>
      </c>
      <c r="K174" s="35">
        <v>0.0</v>
      </c>
      <c r="L174" s="35">
        <v>0.0</v>
      </c>
      <c r="M174" s="35">
        <v>0.0</v>
      </c>
      <c r="N174" s="35">
        <v>0.0</v>
      </c>
      <c r="O174" s="35">
        <v>0.0</v>
      </c>
      <c r="P174" s="35">
        <v>0.0</v>
      </c>
      <c r="Q174" s="35">
        <v>0.0</v>
      </c>
      <c r="R174" s="35">
        <f t="shared" si="1"/>
        <v>0</v>
      </c>
      <c r="S174" s="243">
        <f t="shared" si="2"/>
        <v>0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>
        <f t="shared" si="19"/>
        <v>0</v>
      </c>
    </row>
    <row r="175" ht="12.75" customHeight="1">
      <c r="A175" s="238" t="s">
        <v>616</v>
      </c>
      <c r="B175" s="8" t="s">
        <v>349</v>
      </c>
      <c r="C175" s="241">
        <v>47403.0</v>
      </c>
      <c r="D175" s="241" t="s">
        <v>333</v>
      </c>
      <c r="E175" s="8" t="s">
        <v>609</v>
      </c>
      <c r="F175" s="246">
        <v>0.0</v>
      </c>
      <c r="G175" s="35">
        <v>0.0</v>
      </c>
      <c r="H175" s="35">
        <v>0.0</v>
      </c>
      <c r="I175" s="35">
        <v>0.0</v>
      </c>
      <c r="J175" s="35">
        <v>0.0</v>
      </c>
      <c r="K175" s="35">
        <v>0.0</v>
      </c>
      <c r="L175" s="35">
        <v>0.0</v>
      </c>
      <c r="M175" s="35">
        <v>0.0</v>
      </c>
      <c r="N175" s="35">
        <v>0.0</v>
      </c>
      <c r="O175" s="35">
        <v>0.0</v>
      </c>
      <c r="P175" s="35">
        <v>0.0</v>
      </c>
      <c r="Q175" s="35">
        <v>0.0</v>
      </c>
      <c r="R175" s="35">
        <f t="shared" si="1"/>
        <v>0</v>
      </c>
      <c r="S175" s="243">
        <f t="shared" si="2"/>
        <v>0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>
        <f t="shared" si="19"/>
        <v>0</v>
      </c>
    </row>
    <row r="176" ht="12.75" customHeight="1">
      <c r="A176" s="8" t="s">
        <v>617</v>
      </c>
      <c r="B176" s="8" t="s">
        <v>332</v>
      </c>
      <c r="C176" s="241">
        <v>47404.0</v>
      </c>
      <c r="D176" s="241" t="s">
        <v>333</v>
      </c>
      <c r="E176" s="8" t="s">
        <v>120</v>
      </c>
      <c r="F176" s="246">
        <v>8333.333333333334</v>
      </c>
      <c r="G176" s="35">
        <v>8333.333333333334</v>
      </c>
      <c r="H176" s="35">
        <v>8333.333333333334</v>
      </c>
      <c r="I176" s="35">
        <v>8333.333333333334</v>
      </c>
      <c r="J176" s="35">
        <v>8333.333333333334</v>
      </c>
      <c r="K176" s="35">
        <v>8333.333333333334</v>
      </c>
      <c r="L176" s="35">
        <v>8333.333333333334</v>
      </c>
      <c r="M176" s="35">
        <v>8333.333333333334</v>
      </c>
      <c r="N176" s="35">
        <v>8333.333333333334</v>
      </c>
      <c r="O176" s="35">
        <v>8333.333333333334</v>
      </c>
      <c r="P176" s="35">
        <v>8333.333333333334</v>
      </c>
      <c r="Q176" s="35">
        <v>8333.333333333334</v>
      </c>
      <c r="R176" s="35">
        <f t="shared" si="1"/>
        <v>100000</v>
      </c>
      <c r="S176" s="243">
        <f t="shared" si="2"/>
        <v>25000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>
        <f t="shared" si="19"/>
        <v>0</v>
      </c>
    </row>
    <row r="177" ht="12.75" customHeight="1">
      <c r="A177" s="8" t="s">
        <v>618</v>
      </c>
      <c r="B177" s="8" t="s">
        <v>339</v>
      </c>
      <c r="C177" s="241">
        <v>47404.0</v>
      </c>
      <c r="D177" s="241" t="s">
        <v>333</v>
      </c>
      <c r="E177" s="8" t="s">
        <v>120</v>
      </c>
      <c r="F177" s="246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>
        <f t="shared" si="1"/>
        <v>0</v>
      </c>
      <c r="S177" s="243">
        <f t="shared" si="2"/>
        <v>0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>
        <f t="shared" si="19"/>
        <v>0</v>
      </c>
    </row>
    <row r="178" ht="12.75" customHeight="1">
      <c r="A178" s="8" t="s">
        <v>619</v>
      </c>
      <c r="B178" s="8" t="s">
        <v>343</v>
      </c>
      <c r="C178" s="241">
        <v>47404.0</v>
      </c>
      <c r="D178" s="241" t="s">
        <v>333</v>
      </c>
      <c r="E178" s="8" t="s">
        <v>120</v>
      </c>
      <c r="F178" s="246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>
        <f t="shared" si="1"/>
        <v>0</v>
      </c>
      <c r="S178" s="243">
        <f t="shared" si="2"/>
        <v>0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>
        <f t="shared" si="19"/>
        <v>0</v>
      </c>
    </row>
    <row r="179" ht="12.75" customHeight="1">
      <c r="A179" s="8" t="s">
        <v>620</v>
      </c>
      <c r="B179" s="8" t="s">
        <v>345</v>
      </c>
      <c r="C179" s="241">
        <v>47404.0</v>
      </c>
      <c r="D179" s="241" t="s">
        <v>333</v>
      </c>
      <c r="E179" s="8" t="s">
        <v>120</v>
      </c>
      <c r="F179" s="246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>
        <f t="shared" si="1"/>
        <v>0</v>
      </c>
      <c r="S179" s="243">
        <f t="shared" si="2"/>
        <v>0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>
        <f t="shared" si="19"/>
        <v>0</v>
      </c>
    </row>
    <row r="180" ht="12.75" customHeight="1">
      <c r="A180" s="8" t="s">
        <v>621</v>
      </c>
      <c r="B180" s="8" t="s">
        <v>349</v>
      </c>
      <c r="C180" s="241">
        <v>47404.0</v>
      </c>
      <c r="D180" s="241" t="s">
        <v>333</v>
      </c>
      <c r="E180" s="8" t="s">
        <v>120</v>
      </c>
      <c r="F180" s="246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>
        <f t="shared" si="1"/>
        <v>0</v>
      </c>
      <c r="S180" s="243">
        <f t="shared" si="2"/>
        <v>0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>
        <f t="shared" si="19"/>
        <v>0</v>
      </c>
    </row>
    <row r="181" ht="12.75" customHeight="1">
      <c r="A181" s="8" t="s">
        <v>622</v>
      </c>
      <c r="B181" s="8" t="s">
        <v>332</v>
      </c>
      <c r="C181" s="241">
        <v>47405.0</v>
      </c>
      <c r="D181" s="241" t="s">
        <v>333</v>
      </c>
      <c r="E181" s="8" t="s">
        <v>623</v>
      </c>
      <c r="F181" s="246">
        <f t="shared" ref="F181:Q181" si="67">-121640/12</f>
        <v>-10136.66667</v>
      </c>
      <c r="G181" s="35">
        <f t="shared" si="67"/>
        <v>-10136.66667</v>
      </c>
      <c r="H181" s="35">
        <f t="shared" si="67"/>
        <v>-10136.66667</v>
      </c>
      <c r="I181" s="35">
        <f t="shared" si="67"/>
        <v>-10136.66667</v>
      </c>
      <c r="J181" s="35">
        <f t="shared" si="67"/>
        <v>-10136.66667</v>
      </c>
      <c r="K181" s="35">
        <f t="shared" si="67"/>
        <v>-10136.66667</v>
      </c>
      <c r="L181" s="35">
        <f t="shared" si="67"/>
        <v>-10136.66667</v>
      </c>
      <c r="M181" s="35">
        <f t="shared" si="67"/>
        <v>-10136.66667</v>
      </c>
      <c r="N181" s="35">
        <f t="shared" si="67"/>
        <v>-10136.66667</v>
      </c>
      <c r="O181" s="35">
        <f t="shared" si="67"/>
        <v>-10136.66667</v>
      </c>
      <c r="P181" s="35">
        <f t="shared" si="67"/>
        <v>-10136.66667</v>
      </c>
      <c r="Q181" s="35">
        <f t="shared" si="67"/>
        <v>-10136.66667</v>
      </c>
      <c r="R181" s="35">
        <f t="shared" si="1"/>
        <v>-121640</v>
      </c>
      <c r="S181" s="243">
        <f t="shared" si="2"/>
        <v>-30410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>
        <f t="shared" si="19"/>
        <v>0</v>
      </c>
    </row>
    <row r="182" ht="12.75" customHeight="1">
      <c r="A182" s="8" t="s">
        <v>624</v>
      </c>
      <c r="B182" s="8" t="s">
        <v>339</v>
      </c>
      <c r="C182" s="241">
        <v>47405.0</v>
      </c>
      <c r="D182" s="241" t="s">
        <v>333</v>
      </c>
      <c r="E182" s="8" t="s">
        <v>623</v>
      </c>
      <c r="F182" s="246">
        <v>0.0</v>
      </c>
      <c r="G182" s="35">
        <v>0.0</v>
      </c>
      <c r="H182" s="35">
        <v>0.0</v>
      </c>
      <c r="I182" s="35">
        <v>0.0</v>
      </c>
      <c r="J182" s="35">
        <v>0.0</v>
      </c>
      <c r="K182" s="35">
        <v>0.0</v>
      </c>
      <c r="L182" s="35">
        <v>0.0</v>
      </c>
      <c r="M182" s="35">
        <v>0.0</v>
      </c>
      <c r="N182" s="35">
        <v>0.0</v>
      </c>
      <c r="O182" s="35">
        <v>0.0</v>
      </c>
      <c r="P182" s="35">
        <v>0.0</v>
      </c>
      <c r="Q182" s="35">
        <v>0.0</v>
      </c>
      <c r="R182" s="35">
        <f t="shared" si="1"/>
        <v>0</v>
      </c>
      <c r="S182" s="243">
        <f t="shared" si="2"/>
        <v>0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>
        <f t="shared" si="19"/>
        <v>0</v>
      </c>
    </row>
    <row r="183" ht="12.75" customHeight="1">
      <c r="A183" s="8" t="s">
        <v>625</v>
      </c>
      <c r="B183" s="8" t="s">
        <v>108</v>
      </c>
      <c r="C183" s="241">
        <v>47405.0</v>
      </c>
      <c r="D183" s="241" t="s">
        <v>312</v>
      </c>
      <c r="E183" s="8" t="s">
        <v>626</v>
      </c>
      <c r="F183" s="259">
        <v>0.0</v>
      </c>
      <c r="G183" s="74">
        <v>0.0</v>
      </c>
      <c r="H183" s="74">
        <v>0.0</v>
      </c>
      <c r="I183" s="74">
        <v>0.0</v>
      </c>
      <c r="J183" s="74">
        <v>0.0</v>
      </c>
      <c r="K183" s="74">
        <v>0.0</v>
      </c>
      <c r="L183" s="74">
        <v>0.0</v>
      </c>
      <c r="M183" s="74">
        <v>0.0</v>
      </c>
      <c r="N183" s="74">
        <v>0.0</v>
      </c>
      <c r="O183" s="74">
        <v>0.0</v>
      </c>
      <c r="P183" s="74">
        <v>0.0</v>
      </c>
      <c r="Q183" s="74">
        <v>0.0</v>
      </c>
      <c r="R183" s="35">
        <f t="shared" si="1"/>
        <v>0</v>
      </c>
      <c r="S183" s="243">
        <f t="shared" si="2"/>
        <v>0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>
        <f t="shared" si="19"/>
        <v>0</v>
      </c>
    </row>
    <row r="184" ht="12.75" customHeight="1">
      <c r="A184" s="8" t="s">
        <v>627</v>
      </c>
      <c r="B184" s="8" t="s">
        <v>89</v>
      </c>
      <c r="C184" s="241">
        <v>47405.0</v>
      </c>
      <c r="D184" s="241" t="s">
        <v>312</v>
      </c>
      <c r="E184" s="8" t="s">
        <v>626</v>
      </c>
      <c r="F184" s="259">
        <v>0.0</v>
      </c>
      <c r="G184" s="74">
        <v>0.0</v>
      </c>
      <c r="H184" s="74">
        <v>0.0</v>
      </c>
      <c r="I184" s="74">
        <v>0.0</v>
      </c>
      <c r="J184" s="74">
        <v>0.0</v>
      </c>
      <c r="K184" s="74">
        <v>0.0</v>
      </c>
      <c r="L184" s="74">
        <v>0.0</v>
      </c>
      <c r="M184" s="74">
        <v>0.0</v>
      </c>
      <c r="N184" s="74">
        <v>0.0</v>
      </c>
      <c r="O184" s="74">
        <v>0.0</v>
      </c>
      <c r="P184" s="74">
        <v>0.0</v>
      </c>
      <c r="Q184" s="74">
        <v>0.0</v>
      </c>
      <c r="R184" s="35">
        <f t="shared" si="1"/>
        <v>0</v>
      </c>
      <c r="S184" s="243">
        <f t="shared" si="2"/>
        <v>0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>
        <f t="shared" si="19"/>
        <v>0</v>
      </c>
    </row>
    <row r="185" ht="12.75" customHeight="1">
      <c r="A185" s="8" t="s">
        <v>628</v>
      </c>
      <c r="B185" s="8" t="s">
        <v>343</v>
      </c>
      <c r="C185" s="241">
        <v>47405.0</v>
      </c>
      <c r="D185" s="241" t="s">
        <v>333</v>
      </c>
      <c r="E185" s="8" t="s">
        <v>623</v>
      </c>
      <c r="F185" s="246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>
        <f t="shared" si="1"/>
        <v>0</v>
      </c>
      <c r="S185" s="243">
        <f t="shared" si="2"/>
        <v>0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>
        <f t="shared" si="19"/>
        <v>0</v>
      </c>
    </row>
    <row r="186" ht="12.75" customHeight="1">
      <c r="A186" s="8" t="s">
        <v>629</v>
      </c>
      <c r="B186" s="8" t="s">
        <v>345</v>
      </c>
      <c r="C186" s="241">
        <v>47405.0</v>
      </c>
      <c r="D186" s="241" t="s">
        <v>333</v>
      </c>
      <c r="E186" s="8" t="s">
        <v>623</v>
      </c>
      <c r="F186" s="246">
        <v>0.0</v>
      </c>
      <c r="G186" s="35">
        <v>0.0</v>
      </c>
      <c r="H186" s="35">
        <v>0.0</v>
      </c>
      <c r="I186" s="35">
        <v>0.0</v>
      </c>
      <c r="J186" s="35">
        <v>0.0</v>
      </c>
      <c r="K186" s="35">
        <v>0.0</v>
      </c>
      <c r="L186" s="35">
        <v>0.0</v>
      </c>
      <c r="M186" s="35">
        <v>0.0</v>
      </c>
      <c r="N186" s="35">
        <v>0.0</v>
      </c>
      <c r="O186" s="35">
        <v>0.0</v>
      </c>
      <c r="P186" s="35">
        <v>0.0</v>
      </c>
      <c r="Q186" s="35">
        <v>0.0</v>
      </c>
      <c r="R186" s="35">
        <f t="shared" si="1"/>
        <v>0</v>
      </c>
      <c r="S186" s="243">
        <f t="shared" si="2"/>
        <v>0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>
        <f t="shared" si="19"/>
        <v>0</v>
      </c>
    </row>
    <row r="187" ht="12.75" customHeight="1">
      <c r="A187" s="8" t="s">
        <v>630</v>
      </c>
      <c r="B187" s="8" t="s">
        <v>349</v>
      </c>
      <c r="C187" s="241">
        <v>47405.0</v>
      </c>
      <c r="D187" s="241" t="s">
        <v>333</v>
      </c>
      <c r="E187" s="8" t="s">
        <v>623</v>
      </c>
      <c r="F187" s="246">
        <v>0.0</v>
      </c>
      <c r="G187" s="35">
        <v>0.0</v>
      </c>
      <c r="H187" s="35">
        <v>0.0</v>
      </c>
      <c r="I187" s="35">
        <v>0.0</v>
      </c>
      <c r="J187" s="35">
        <v>0.0</v>
      </c>
      <c r="K187" s="35">
        <v>0.0</v>
      </c>
      <c r="L187" s="35">
        <v>0.0</v>
      </c>
      <c r="M187" s="35">
        <v>0.0</v>
      </c>
      <c r="N187" s="35">
        <v>0.0</v>
      </c>
      <c r="O187" s="35">
        <v>0.0</v>
      </c>
      <c r="P187" s="35">
        <v>0.0</v>
      </c>
      <c r="Q187" s="35">
        <v>0.0</v>
      </c>
      <c r="R187" s="35">
        <f t="shared" si="1"/>
        <v>0</v>
      </c>
      <c r="S187" s="243">
        <f t="shared" si="2"/>
        <v>0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>
        <f t="shared" si="19"/>
        <v>0</v>
      </c>
    </row>
    <row r="188" ht="12.75" customHeight="1">
      <c r="A188" s="238" t="s">
        <v>631</v>
      </c>
      <c r="B188" s="8" t="s">
        <v>332</v>
      </c>
      <c r="C188" s="241">
        <v>47500.0</v>
      </c>
      <c r="D188" s="241" t="s">
        <v>333</v>
      </c>
      <c r="E188" s="8" t="s">
        <v>164</v>
      </c>
      <c r="F188" s="246">
        <f t="shared" ref="F188:Q188" si="68">16400/12</f>
        <v>1366.666667</v>
      </c>
      <c r="G188" s="35">
        <f t="shared" si="68"/>
        <v>1366.666667</v>
      </c>
      <c r="H188" s="35">
        <f t="shared" si="68"/>
        <v>1366.666667</v>
      </c>
      <c r="I188" s="35">
        <f t="shared" si="68"/>
        <v>1366.666667</v>
      </c>
      <c r="J188" s="35">
        <f t="shared" si="68"/>
        <v>1366.666667</v>
      </c>
      <c r="K188" s="35">
        <f t="shared" si="68"/>
        <v>1366.666667</v>
      </c>
      <c r="L188" s="35">
        <f t="shared" si="68"/>
        <v>1366.666667</v>
      </c>
      <c r="M188" s="35">
        <f t="shared" si="68"/>
        <v>1366.666667</v>
      </c>
      <c r="N188" s="35">
        <f t="shared" si="68"/>
        <v>1366.666667</v>
      </c>
      <c r="O188" s="35">
        <f t="shared" si="68"/>
        <v>1366.666667</v>
      </c>
      <c r="P188" s="35">
        <f t="shared" si="68"/>
        <v>1366.666667</v>
      </c>
      <c r="Q188" s="35">
        <f t="shared" si="68"/>
        <v>1366.666667</v>
      </c>
      <c r="R188" s="35">
        <f t="shared" si="1"/>
        <v>16400</v>
      </c>
      <c r="S188" s="243">
        <f t="shared" si="2"/>
        <v>4100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>
        <f t="shared" si="19"/>
        <v>0</v>
      </c>
    </row>
    <row r="189" ht="12.75" customHeight="1">
      <c r="A189" s="238" t="s">
        <v>632</v>
      </c>
      <c r="B189" s="8" t="s">
        <v>339</v>
      </c>
      <c r="C189" s="241">
        <v>47500.0</v>
      </c>
      <c r="D189" s="241" t="s">
        <v>333</v>
      </c>
      <c r="E189" s="8" t="s">
        <v>164</v>
      </c>
      <c r="F189" s="246">
        <v>0.0</v>
      </c>
      <c r="G189" s="35">
        <v>0.0</v>
      </c>
      <c r="H189" s="35">
        <v>0.0</v>
      </c>
      <c r="I189" s="35">
        <v>0.0</v>
      </c>
      <c r="J189" s="35">
        <v>0.0</v>
      </c>
      <c r="K189" s="35">
        <v>0.0</v>
      </c>
      <c r="L189" s="35">
        <v>0.0</v>
      </c>
      <c r="M189" s="35">
        <v>0.0</v>
      </c>
      <c r="N189" s="35">
        <v>0.0</v>
      </c>
      <c r="O189" s="35">
        <v>0.0</v>
      </c>
      <c r="P189" s="35">
        <v>0.0</v>
      </c>
      <c r="Q189" s="35">
        <v>0.0</v>
      </c>
      <c r="R189" s="35">
        <f t="shared" si="1"/>
        <v>0</v>
      </c>
      <c r="S189" s="243">
        <f t="shared" si="2"/>
        <v>0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>
        <f t="shared" si="19"/>
        <v>0</v>
      </c>
    </row>
    <row r="190" ht="12.75" customHeight="1">
      <c r="A190" s="238" t="s">
        <v>633</v>
      </c>
      <c r="B190" s="8" t="s">
        <v>108</v>
      </c>
      <c r="C190" s="241">
        <v>47500.0</v>
      </c>
      <c r="D190" s="241" t="s">
        <v>312</v>
      </c>
      <c r="E190" s="8" t="s">
        <v>164</v>
      </c>
      <c r="F190" s="259">
        <v>0.0</v>
      </c>
      <c r="G190" s="74">
        <v>0.0</v>
      </c>
      <c r="H190" s="74">
        <v>0.0</v>
      </c>
      <c r="I190" s="74">
        <v>0.0</v>
      </c>
      <c r="J190" s="74">
        <v>0.0</v>
      </c>
      <c r="K190" s="74">
        <v>0.0</v>
      </c>
      <c r="L190" s="74">
        <v>0.0</v>
      </c>
      <c r="M190" s="74">
        <v>0.0</v>
      </c>
      <c r="N190" s="74">
        <v>0.0</v>
      </c>
      <c r="O190" s="74">
        <v>0.0</v>
      </c>
      <c r="P190" s="74">
        <v>0.0</v>
      </c>
      <c r="Q190" s="74">
        <v>0.0</v>
      </c>
      <c r="R190" s="35">
        <f t="shared" si="1"/>
        <v>0</v>
      </c>
      <c r="S190" s="243">
        <f t="shared" si="2"/>
        <v>0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>
        <f t="shared" si="19"/>
        <v>0</v>
      </c>
    </row>
    <row r="191" ht="12.75" customHeight="1">
      <c r="A191" s="238" t="s">
        <v>634</v>
      </c>
      <c r="B191" s="8" t="s">
        <v>89</v>
      </c>
      <c r="C191" s="241">
        <v>47500.0</v>
      </c>
      <c r="D191" s="241" t="s">
        <v>312</v>
      </c>
      <c r="E191" s="8" t="s">
        <v>164</v>
      </c>
      <c r="F191" s="259">
        <v>0.0</v>
      </c>
      <c r="G191" s="74">
        <v>0.0</v>
      </c>
      <c r="H191" s="74">
        <v>0.0</v>
      </c>
      <c r="I191" s="74">
        <v>0.0</v>
      </c>
      <c r="J191" s="74">
        <v>0.0</v>
      </c>
      <c r="K191" s="74">
        <v>0.0</v>
      </c>
      <c r="L191" s="74">
        <v>0.0</v>
      </c>
      <c r="M191" s="74">
        <v>0.0</v>
      </c>
      <c r="N191" s="74">
        <v>0.0</v>
      </c>
      <c r="O191" s="74">
        <v>0.0</v>
      </c>
      <c r="P191" s="74">
        <v>0.0</v>
      </c>
      <c r="Q191" s="74">
        <v>0.0</v>
      </c>
      <c r="R191" s="35">
        <f t="shared" si="1"/>
        <v>0</v>
      </c>
      <c r="S191" s="243">
        <f t="shared" si="2"/>
        <v>0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>
        <f t="shared" si="19"/>
        <v>0</v>
      </c>
    </row>
    <row r="192" ht="12.75" customHeight="1">
      <c r="A192" s="238" t="s">
        <v>631</v>
      </c>
      <c r="B192" s="8" t="s">
        <v>332</v>
      </c>
      <c r="C192" s="241">
        <v>47500.0</v>
      </c>
      <c r="D192" s="241" t="s">
        <v>333</v>
      </c>
      <c r="E192" s="8" t="s">
        <v>164</v>
      </c>
      <c r="F192" s="246">
        <v>0.0</v>
      </c>
      <c r="G192" s="35">
        <v>0.0</v>
      </c>
      <c r="H192" s="35">
        <v>0.0</v>
      </c>
      <c r="I192" s="242">
        <v>0.0</v>
      </c>
      <c r="J192" s="35">
        <v>0.0</v>
      </c>
      <c r="K192" s="35">
        <v>0.0</v>
      </c>
      <c r="L192" s="35">
        <v>0.0</v>
      </c>
      <c r="M192" s="35">
        <v>0.0</v>
      </c>
      <c r="N192" s="35">
        <v>0.0</v>
      </c>
      <c r="O192" s="35">
        <v>0.0</v>
      </c>
      <c r="P192" s="35">
        <v>0.0</v>
      </c>
      <c r="Q192" s="35">
        <v>0.0</v>
      </c>
      <c r="R192" s="242">
        <f t="shared" si="1"/>
        <v>0</v>
      </c>
      <c r="S192" s="243">
        <f t="shared" si="2"/>
        <v>0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>
        <f t="shared" si="19"/>
        <v>0</v>
      </c>
    </row>
    <row r="193" ht="12.75" customHeight="1">
      <c r="A193" s="238" t="s">
        <v>635</v>
      </c>
      <c r="B193" s="8" t="s">
        <v>343</v>
      </c>
      <c r="C193" s="241">
        <v>47500.0</v>
      </c>
      <c r="D193" s="241" t="s">
        <v>333</v>
      </c>
      <c r="E193" s="8" t="s">
        <v>164</v>
      </c>
      <c r="F193" s="246">
        <v>250.0</v>
      </c>
      <c r="G193" s="35">
        <v>250.0</v>
      </c>
      <c r="H193" s="35">
        <v>250.0</v>
      </c>
      <c r="I193" s="35">
        <v>250.0</v>
      </c>
      <c r="J193" s="35">
        <v>250.0</v>
      </c>
      <c r="K193" s="35">
        <v>250.0</v>
      </c>
      <c r="L193" s="35">
        <v>250.0</v>
      </c>
      <c r="M193" s="35">
        <v>250.0</v>
      </c>
      <c r="N193" s="35">
        <v>250.0</v>
      </c>
      <c r="O193" s="35">
        <v>250.0</v>
      </c>
      <c r="P193" s="35">
        <v>250.0</v>
      </c>
      <c r="Q193" s="35">
        <v>250.0</v>
      </c>
      <c r="R193" s="35">
        <f t="shared" si="1"/>
        <v>3000</v>
      </c>
      <c r="S193" s="243">
        <f t="shared" si="2"/>
        <v>750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>
        <f t="shared" si="19"/>
        <v>0</v>
      </c>
    </row>
    <row r="194" ht="12.75" customHeight="1">
      <c r="A194" s="238" t="s">
        <v>636</v>
      </c>
      <c r="B194" s="8" t="s">
        <v>345</v>
      </c>
      <c r="C194" s="241">
        <v>47500.0</v>
      </c>
      <c r="D194" s="241" t="s">
        <v>333</v>
      </c>
      <c r="E194" s="8" t="s">
        <v>164</v>
      </c>
      <c r="F194" s="246">
        <v>166.66666666666666</v>
      </c>
      <c r="G194" s="35">
        <v>166.66666666666666</v>
      </c>
      <c r="H194" s="35">
        <v>166.66666666666666</v>
      </c>
      <c r="I194" s="35">
        <v>166.66666666666666</v>
      </c>
      <c r="J194" s="35">
        <v>166.66666666666666</v>
      </c>
      <c r="K194" s="35">
        <v>166.66666666666666</v>
      </c>
      <c r="L194" s="35">
        <v>166.66666666666666</v>
      </c>
      <c r="M194" s="35">
        <v>166.66666666666666</v>
      </c>
      <c r="N194" s="35">
        <v>166.66666666666666</v>
      </c>
      <c r="O194" s="35">
        <v>166.66666666666666</v>
      </c>
      <c r="P194" s="35">
        <v>166.66666666666666</v>
      </c>
      <c r="Q194" s="35">
        <v>166.66666666666666</v>
      </c>
      <c r="R194" s="35">
        <f t="shared" si="1"/>
        <v>2000</v>
      </c>
      <c r="S194" s="243">
        <f t="shared" si="2"/>
        <v>500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>
        <f t="shared" si="19"/>
        <v>0</v>
      </c>
    </row>
    <row r="195" ht="12.75" customHeight="1">
      <c r="A195" s="238" t="s">
        <v>637</v>
      </c>
      <c r="B195" s="8" t="s">
        <v>349</v>
      </c>
      <c r="C195" s="241">
        <v>47500.0</v>
      </c>
      <c r="D195" s="241" t="s">
        <v>333</v>
      </c>
      <c r="E195" s="8" t="s">
        <v>164</v>
      </c>
      <c r="F195" s="246">
        <v>83.33333333333333</v>
      </c>
      <c r="G195" s="35">
        <v>83.33333333333333</v>
      </c>
      <c r="H195" s="35">
        <v>83.33333333333333</v>
      </c>
      <c r="I195" s="35">
        <v>83.33333333333333</v>
      </c>
      <c r="J195" s="35">
        <v>83.33333333333333</v>
      </c>
      <c r="K195" s="35">
        <v>83.33333333333333</v>
      </c>
      <c r="L195" s="35">
        <v>83.33333333333333</v>
      </c>
      <c r="M195" s="35">
        <v>83.33333333333333</v>
      </c>
      <c r="N195" s="35">
        <v>83.33333333333333</v>
      </c>
      <c r="O195" s="35">
        <v>83.33333333333333</v>
      </c>
      <c r="P195" s="35">
        <v>83.33333333333333</v>
      </c>
      <c r="Q195" s="35">
        <v>83.33333333333333</v>
      </c>
      <c r="R195" s="35">
        <f t="shared" si="1"/>
        <v>1000</v>
      </c>
      <c r="S195" s="243">
        <f t="shared" si="2"/>
        <v>250</v>
      </c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>
        <f t="shared" si="19"/>
        <v>0</v>
      </c>
    </row>
    <row r="196" ht="12.75" customHeight="1">
      <c r="A196" s="238" t="s">
        <v>638</v>
      </c>
      <c r="B196" s="8" t="s">
        <v>332</v>
      </c>
      <c r="C196" s="241">
        <v>47501.0</v>
      </c>
      <c r="D196" s="241" t="s">
        <v>333</v>
      </c>
      <c r="E196" s="8" t="s">
        <v>165</v>
      </c>
      <c r="F196" s="246">
        <f t="shared" ref="F196:Q196" si="69">145225/12</f>
        <v>12102.08333</v>
      </c>
      <c r="G196" s="35">
        <f t="shared" si="69"/>
        <v>12102.08333</v>
      </c>
      <c r="H196" s="35">
        <f t="shared" si="69"/>
        <v>12102.08333</v>
      </c>
      <c r="I196" s="35">
        <f t="shared" si="69"/>
        <v>12102.08333</v>
      </c>
      <c r="J196" s="35">
        <f t="shared" si="69"/>
        <v>12102.08333</v>
      </c>
      <c r="K196" s="35">
        <f t="shared" si="69"/>
        <v>12102.08333</v>
      </c>
      <c r="L196" s="35">
        <f t="shared" si="69"/>
        <v>12102.08333</v>
      </c>
      <c r="M196" s="35">
        <f t="shared" si="69"/>
        <v>12102.08333</v>
      </c>
      <c r="N196" s="35">
        <f t="shared" si="69"/>
        <v>12102.08333</v>
      </c>
      <c r="O196" s="35">
        <f t="shared" si="69"/>
        <v>12102.08333</v>
      </c>
      <c r="P196" s="35">
        <f t="shared" si="69"/>
        <v>12102.08333</v>
      </c>
      <c r="Q196" s="35">
        <f t="shared" si="69"/>
        <v>12102.08333</v>
      </c>
      <c r="R196" s="35">
        <f t="shared" si="1"/>
        <v>145225</v>
      </c>
      <c r="S196" s="243">
        <f t="shared" si="2"/>
        <v>36306.25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>
        <f t="shared" si="19"/>
        <v>0</v>
      </c>
    </row>
    <row r="197" ht="13.5" customHeight="1">
      <c r="A197" s="238" t="s">
        <v>639</v>
      </c>
      <c r="B197" s="8" t="s">
        <v>339</v>
      </c>
      <c r="C197" s="241">
        <v>47501.0</v>
      </c>
      <c r="D197" s="241" t="s">
        <v>333</v>
      </c>
      <c r="E197" s="8" t="s">
        <v>165</v>
      </c>
      <c r="F197" s="246">
        <v>0.0</v>
      </c>
      <c r="G197" s="35">
        <v>0.0</v>
      </c>
      <c r="H197" s="35">
        <v>0.0</v>
      </c>
      <c r="I197" s="35">
        <v>0.0</v>
      </c>
      <c r="J197" s="35">
        <v>0.0</v>
      </c>
      <c r="K197" s="35">
        <v>0.0</v>
      </c>
      <c r="L197" s="35">
        <v>0.0</v>
      </c>
      <c r="M197" s="35">
        <v>0.0</v>
      </c>
      <c r="N197" s="35">
        <v>0.0</v>
      </c>
      <c r="O197" s="35">
        <v>0.0</v>
      </c>
      <c r="P197" s="35">
        <v>0.0</v>
      </c>
      <c r="Q197" s="35">
        <v>0.0</v>
      </c>
      <c r="R197" s="35">
        <f t="shared" si="1"/>
        <v>0</v>
      </c>
      <c r="S197" s="243">
        <f t="shared" si="2"/>
        <v>0</v>
      </c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>
        <f t="shared" si="19"/>
        <v>0</v>
      </c>
    </row>
    <row r="198" ht="12.75" customHeight="1">
      <c r="A198" s="238" t="s">
        <v>640</v>
      </c>
      <c r="B198" s="8" t="s">
        <v>108</v>
      </c>
      <c r="C198" s="241">
        <v>47501.0</v>
      </c>
      <c r="D198" s="241" t="s">
        <v>312</v>
      </c>
      <c r="E198" s="8" t="s">
        <v>165</v>
      </c>
      <c r="F198" s="259">
        <v>0.0</v>
      </c>
      <c r="G198" s="74">
        <v>0.0</v>
      </c>
      <c r="H198" s="74">
        <v>0.0</v>
      </c>
      <c r="I198" s="74">
        <v>0.0</v>
      </c>
      <c r="J198" s="74">
        <v>0.0</v>
      </c>
      <c r="K198" s="74">
        <v>0.0</v>
      </c>
      <c r="L198" s="74">
        <v>0.0</v>
      </c>
      <c r="M198" s="74">
        <v>0.0</v>
      </c>
      <c r="N198" s="74">
        <v>0.0</v>
      </c>
      <c r="O198" s="74">
        <v>0.0</v>
      </c>
      <c r="P198" s="74">
        <v>0.0</v>
      </c>
      <c r="Q198" s="74">
        <v>0.0</v>
      </c>
      <c r="R198" s="35">
        <f t="shared" si="1"/>
        <v>0</v>
      </c>
      <c r="S198" s="243">
        <f t="shared" si="2"/>
        <v>0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>
        <f t="shared" si="19"/>
        <v>0</v>
      </c>
    </row>
    <row r="199" ht="12.75" customHeight="1">
      <c r="A199" s="238" t="s">
        <v>641</v>
      </c>
      <c r="B199" s="8" t="s">
        <v>89</v>
      </c>
      <c r="C199" s="241">
        <v>47501.0</v>
      </c>
      <c r="D199" s="241" t="s">
        <v>312</v>
      </c>
      <c r="E199" s="8" t="s">
        <v>165</v>
      </c>
      <c r="F199" s="259">
        <v>0.0</v>
      </c>
      <c r="G199" s="74">
        <v>0.0</v>
      </c>
      <c r="H199" s="74">
        <v>0.0</v>
      </c>
      <c r="I199" s="74">
        <v>0.0</v>
      </c>
      <c r="J199" s="74">
        <v>0.0</v>
      </c>
      <c r="K199" s="74">
        <v>0.0</v>
      </c>
      <c r="L199" s="74">
        <v>0.0</v>
      </c>
      <c r="M199" s="74">
        <v>0.0</v>
      </c>
      <c r="N199" s="74">
        <v>0.0</v>
      </c>
      <c r="O199" s="74">
        <v>0.0</v>
      </c>
      <c r="P199" s="74">
        <v>0.0</v>
      </c>
      <c r="Q199" s="74">
        <v>0.0</v>
      </c>
      <c r="R199" s="35">
        <f t="shared" si="1"/>
        <v>0</v>
      </c>
      <c r="S199" s="243">
        <f t="shared" si="2"/>
        <v>0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>
        <f t="shared" si="19"/>
        <v>0</v>
      </c>
    </row>
    <row r="200" ht="12.75" customHeight="1">
      <c r="A200" s="238" t="s">
        <v>638</v>
      </c>
      <c r="B200" s="8" t="s">
        <v>332</v>
      </c>
      <c r="C200" s="241">
        <v>47501.0</v>
      </c>
      <c r="D200" s="241" t="s">
        <v>333</v>
      </c>
      <c r="E200" s="8" t="s">
        <v>165</v>
      </c>
      <c r="F200" s="246">
        <v>0.0</v>
      </c>
      <c r="G200" s="35">
        <v>0.0</v>
      </c>
      <c r="H200" s="35">
        <v>0.0</v>
      </c>
      <c r="I200" s="242">
        <v>0.0</v>
      </c>
      <c r="J200" s="35">
        <v>0.0</v>
      </c>
      <c r="K200" s="35">
        <v>0.0</v>
      </c>
      <c r="L200" s="35">
        <v>0.0</v>
      </c>
      <c r="M200" s="35">
        <v>0.0</v>
      </c>
      <c r="N200" s="35">
        <v>0.0</v>
      </c>
      <c r="O200" s="35">
        <v>0.0</v>
      </c>
      <c r="P200" s="35">
        <v>0.0</v>
      </c>
      <c r="Q200" s="35">
        <v>0.0</v>
      </c>
      <c r="R200" s="242">
        <f t="shared" si="1"/>
        <v>0</v>
      </c>
      <c r="S200" s="243">
        <f t="shared" si="2"/>
        <v>0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>
        <f t="shared" si="19"/>
        <v>0</v>
      </c>
    </row>
    <row r="201" ht="12.75" customHeight="1">
      <c r="A201" s="238" t="s">
        <v>642</v>
      </c>
      <c r="B201" s="8" t="s">
        <v>343</v>
      </c>
      <c r="C201" s="241">
        <v>47501.0</v>
      </c>
      <c r="D201" s="241" t="s">
        <v>333</v>
      </c>
      <c r="E201" s="8" t="s">
        <v>165</v>
      </c>
      <c r="F201" s="246">
        <v>1500.0</v>
      </c>
      <c r="G201" s="35">
        <v>1500.0</v>
      </c>
      <c r="H201" s="35">
        <v>1500.0</v>
      </c>
      <c r="I201" s="35">
        <v>1500.0</v>
      </c>
      <c r="J201" s="35">
        <v>1500.0</v>
      </c>
      <c r="K201" s="35">
        <v>1500.0</v>
      </c>
      <c r="L201" s="35">
        <v>1500.0</v>
      </c>
      <c r="M201" s="35">
        <v>1500.0</v>
      </c>
      <c r="N201" s="35">
        <v>1500.0</v>
      </c>
      <c r="O201" s="35">
        <v>1500.0</v>
      </c>
      <c r="P201" s="35">
        <v>1500.0</v>
      </c>
      <c r="Q201" s="35">
        <v>1500.0</v>
      </c>
      <c r="R201" s="35">
        <f t="shared" si="1"/>
        <v>18000</v>
      </c>
      <c r="S201" s="243">
        <f t="shared" si="2"/>
        <v>4500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>
        <f t="shared" si="19"/>
        <v>0</v>
      </c>
    </row>
    <row r="202" ht="12.75" customHeight="1">
      <c r="A202" s="238" t="s">
        <v>643</v>
      </c>
      <c r="B202" s="8" t="s">
        <v>345</v>
      </c>
      <c r="C202" s="241">
        <v>47501.0</v>
      </c>
      <c r="D202" s="241" t="s">
        <v>333</v>
      </c>
      <c r="E202" s="8" t="s">
        <v>165</v>
      </c>
      <c r="F202" s="246">
        <v>416.6666666666667</v>
      </c>
      <c r="G202" s="35">
        <v>416.6666666666667</v>
      </c>
      <c r="H202" s="35">
        <v>416.6666666666667</v>
      </c>
      <c r="I202" s="35">
        <v>416.6666666666667</v>
      </c>
      <c r="J202" s="35">
        <v>416.6666666666667</v>
      </c>
      <c r="K202" s="35">
        <v>416.6666666666667</v>
      </c>
      <c r="L202" s="35">
        <v>416.6666666666667</v>
      </c>
      <c r="M202" s="35">
        <v>416.6666666666667</v>
      </c>
      <c r="N202" s="35">
        <v>416.6666666666667</v>
      </c>
      <c r="O202" s="35">
        <v>416.6666666666667</v>
      </c>
      <c r="P202" s="35">
        <v>416.6666666666667</v>
      </c>
      <c r="Q202" s="35">
        <v>416.6666666666667</v>
      </c>
      <c r="R202" s="35">
        <f t="shared" si="1"/>
        <v>5000</v>
      </c>
      <c r="S202" s="243">
        <f t="shared" si="2"/>
        <v>1250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>
        <f t="shared" si="19"/>
        <v>0</v>
      </c>
    </row>
    <row r="203" ht="12.75" customHeight="1">
      <c r="A203" s="238" t="s">
        <v>644</v>
      </c>
      <c r="B203" s="8" t="s">
        <v>349</v>
      </c>
      <c r="C203" s="241">
        <v>47501.0</v>
      </c>
      <c r="D203" s="241" t="s">
        <v>333</v>
      </c>
      <c r="E203" s="8" t="s">
        <v>165</v>
      </c>
      <c r="F203" s="246">
        <v>3083.0</v>
      </c>
      <c r="G203" s="35">
        <v>3083.0</v>
      </c>
      <c r="H203" s="35">
        <v>3083.0</v>
      </c>
      <c r="I203" s="35">
        <v>3083.0</v>
      </c>
      <c r="J203" s="35">
        <v>3083.0</v>
      </c>
      <c r="K203" s="35">
        <v>3083.0</v>
      </c>
      <c r="L203" s="35">
        <v>3083.0</v>
      </c>
      <c r="M203" s="35">
        <v>3083.0</v>
      </c>
      <c r="N203" s="35">
        <v>3083.0</v>
      </c>
      <c r="O203" s="35">
        <v>3083.0</v>
      </c>
      <c r="P203" s="35">
        <v>3083.0</v>
      </c>
      <c r="Q203" s="35">
        <v>3083.0</v>
      </c>
      <c r="R203" s="35">
        <f t="shared" si="1"/>
        <v>36996</v>
      </c>
      <c r="S203" s="243">
        <f t="shared" si="2"/>
        <v>9249</v>
      </c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>
        <f t="shared" si="19"/>
        <v>0</v>
      </c>
    </row>
    <row r="204" ht="12.75" customHeight="1">
      <c r="A204" s="238" t="s">
        <v>645</v>
      </c>
      <c r="B204" s="8" t="s">
        <v>332</v>
      </c>
      <c r="C204" s="241">
        <v>47502.0</v>
      </c>
      <c r="D204" s="241" t="s">
        <v>333</v>
      </c>
      <c r="E204" s="8" t="s">
        <v>646</v>
      </c>
      <c r="F204" s="246">
        <f t="shared" ref="F204:Q204" si="70">1126/12</f>
        <v>93.83333333</v>
      </c>
      <c r="G204" s="35">
        <f t="shared" si="70"/>
        <v>93.83333333</v>
      </c>
      <c r="H204" s="35">
        <f t="shared" si="70"/>
        <v>93.83333333</v>
      </c>
      <c r="I204" s="35">
        <f t="shared" si="70"/>
        <v>93.83333333</v>
      </c>
      <c r="J204" s="35">
        <f t="shared" si="70"/>
        <v>93.83333333</v>
      </c>
      <c r="K204" s="35">
        <f t="shared" si="70"/>
        <v>93.83333333</v>
      </c>
      <c r="L204" s="35">
        <f t="shared" si="70"/>
        <v>93.83333333</v>
      </c>
      <c r="M204" s="35">
        <f t="shared" si="70"/>
        <v>93.83333333</v>
      </c>
      <c r="N204" s="35">
        <f t="shared" si="70"/>
        <v>93.83333333</v>
      </c>
      <c r="O204" s="35">
        <f t="shared" si="70"/>
        <v>93.83333333</v>
      </c>
      <c r="P204" s="35">
        <f t="shared" si="70"/>
        <v>93.83333333</v>
      </c>
      <c r="Q204" s="35">
        <f t="shared" si="70"/>
        <v>93.83333333</v>
      </c>
      <c r="R204" s="35">
        <f t="shared" si="1"/>
        <v>1126</v>
      </c>
      <c r="S204" s="243">
        <f t="shared" si="2"/>
        <v>281.5</v>
      </c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>
        <f t="shared" si="19"/>
        <v>0</v>
      </c>
    </row>
    <row r="205" ht="12.75" customHeight="1">
      <c r="A205" s="238" t="s">
        <v>647</v>
      </c>
      <c r="B205" s="8" t="s">
        <v>339</v>
      </c>
      <c r="C205" s="241">
        <v>47502.0</v>
      </c>
      <c r="D205" s="241" t="s">
        <v>333</v>
      </c>
      <c r="E205" s="8" t="s">
        <v>646</v>
      </c>
      <c r="F205" s="246">
        <v>0.0</v>
      </c>
      <c r="G205" s="35">
        <v>0.0</v>
      </c>
      <c r="H205" s="35">
        <v>0.0</v>
      </c>
      <c r="I205" s="35">
        <v>0.0</v>
      </c>
      <c r="J205" s="35">
        <v>0.0</v>
      </c>
      <c r="K205" s="35">
        <v>0.0</v>
      </c>
      <c r="L205" s="35">
        <v>0.0</v>
      </c>
      <c r="M205" s="35">
        <v>0.0</v>
      </c>
      <c r="N205" s="35">
        <v>0.0</v>
      </c>
      <c r="O205" s="35">
        <v>0.0</v>
      </c>
      <c r="P205" s="35">
        <v>0.0</v>
      </c>
      <c r="Q205" s="35">
        <v>0.0</v>
      </c>
      <c r="R205" s="35">
        <f t="shared" si="1"/>
        <v>0</v>
      </c>
      <c r="S205" s="243">
        <f t="shared" si="2"/>
        <v>0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>
        <f t="shared" si="19"/>
        <v>0</v>
      </c>
    </row>
    <row r="206" ht="12.75" customHeight="1">
      <c r="A206" s="238" t="s">
        <v>648</v>
      </c>
      <c r="B206" s="8" t="s">
        <v>108</v>
      </c>
      <c r="C206" s="241">
        <v>47502.0</v>
      </c>
      <c r="D206" s="241" t="s">
        <v>312</v>
      </c>
      <c r="E206" s="8" t="s">
        <v>646</v>
      </c>
      <c r="F206" s="259">
        <v>0.0</v>
      </c>
      <c r="G206" s="74">
        <v>0.0</v>
      </c>
      <c r="H206" s="74">
        <v>0.0</v>
      </c>
      <c r="I206" s="74">
        <v>0.0</v>
      </c>
      <c r="J206" s="74">
        <v>0.0</v>
      </c>
      <c r="K206" s="74">
        <v>0.0</v>
      </c>
      <c r="L206" s="74">
        <v>0.0</v>
      </c>
      <c r="M206" s="74">
        <v>0.0</v>
      </c>
      <c r="N206" s="74">
        <v>0.0</v>
      </c>
      <c r="O206" s="74">
        <v>0.0</v>
      </c>
      <c r="P206" s="74">
        <v>0.0</v>
      </c>
      <c r="Q206" s="74">
        <v>0.0</v>
      </c>
      <c r="R206" s="35">
        <f t="shared" si="1"/>
        <v>0</v>
      </c>
      <c r="S206" s="243">
        <f t="shared" si="2"/>
        <v>0</v>
      </c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>
        <f t="shared" si="19"/>
        <v>0</v>
      </c>
    </row>
    <row r="207" ht="12.75" customHeight="1">
      <c r="A207" s="238" t="s">
        <v>649</v>
      </c>
      <c r="B207" s="8" t="s">
        <v>89</v>
      </c>
      <c r="C207" s="241">
        <v>47502.0</v>
      </c>
      <c r="D207" s="241" t="s">
        <v>312</v>
      </c>
      <c r="E207" s="8" t="s">
        <v>646</v>
      </c>
      <c r="F207" s="259">
        <v>0.0</v>
      </c>
      <c r="G207" s="74">
        <v>0.0</v>
      </c>
      <c r="H207" s="74">
        <v>0.0</v>
      </c>
      <c r="I207" s="74">
        <v>0.0</v>
      </c>
      <c r="J207" s="74">
        <v>0.0</v>
      </c>
      <c r="K207" s="74">
        <v>0.0</v>
      </c>
      <c r="L207" s="74">
        <v>0.0</v>
      </c>
      <c r="M207" s="74">
        <v>0.0</v>
      </c>
      <c r="N207" s="74">
        <v>0.0</v>
      </c>
      <c r="O207" s="74">
        <v>0.0</v>
      </c>
      <c r="P207" s="74">
        <v>0.0</v>
      </c>
      <c r="Q207" s="74">
        <v>0.0</v>
      </c>
      <c r="R207" s="35">
        <f t="shared" si="1"/>
        <v>0</v>
      </c>
      <c r="S207" s="243">
        <f t="shared" si="2"/>
        <v>0</v>
      </c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>
        <f t="shared" si="19"/>
        <v>0</v>
      </c>
    </row>
    <row r="208" ht="12.75" customHeight="1">
      <c r="A208" s="238" t="s">
        <v>645</v>
      </c>
      <c r="B208" s="8" t="s">
        <v>332</v>
      </c>
      <c r="C208" s="241">
        <v>47502.0</v>
      </c>
      <c r="D208" s="241" t="s">
        <v>333</v>
      </c>
      <c r="E208" s="8" t="s">
        <v>646</v>
      </c>
      <c r="F208" s="246">
        <v>0.0</v>
      </c>
      <c r="G208" s="35">
        <v>0.0</v>
      </c>
      <c r="H208" s="35">
        <v>0.0</v>
      </c>
      <c r="I208" s="242">
        <v>0.0</v>
      </c>
      <c r="J208" s="35">
        <v>0.0</v>
      </c>
      <c r="K208" s="35">
        <v>0.0</v>
      </c>
      <c r="L208" s="35">
        <v>0.0</v>
      </c>
      <c r="M208" s="35">
        <v>0.0</v>
      </c>
      <c r="N208" s="35">
        <v>0.0</v>
      </c>
      <c r="O208" s="35">
        <v>0.0</v>
      </c>
      <c r="P208" s="35">
        <v>0.0</v>
      </c>
      <c r="Q208" s="35">
        <v>0.0</v>
      </c>
      <c r="R208" s="242">
        <f t="shared" si="1"/>
        <v>0</v>
      </c>
      <c r="S208" s="243">
        <f t="shared" si="2"/>
        <v>0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>
        <f t="shared" si="19"/>
        <v>0</v>
      </c>
    </row>
    <row r="209" ht="12.75" customHeight="1">
      <c r="A209" s="238" t="s">
        <v>650</v>
      </c>
      <c r="B209" s="8" t="s">
        <v>343</v>
      </c>
      <c r="C209" s="241">
        <v>47502.0</v>
      </c>
      <c r="D209" s="241" t="s">
        <v>333</v>
      </c>
      <c r="E209" s="8" t="s">
        <v>646</v>
      </c>
      <c r="F209" s="246">
        <v>308.7</v>
      </c>
      <c r="G209" s="35">
        <v>308.7</v>
      </c>
      <c r="H209" s="35">
        <v>308.7</v>
      </c>
      <c r="I209" s="35">
        <v>308.7</v>
      </c>
      <c r="J209" s="35">
        <v>308.7</v>
      </c>
      <c r="K209" s="35">
        <v>308.7</v>
      </c>
      <c r="L209" s="35">
        <v>308.7</v>
      </c>
      <c r="M209" s="35">
        <v>308.7</v>
      </c>
      <c r="N209" s="35">
        <v>308.7</v>
      </c>
      <c r="O209" s="35">
        <v>308.7</v>
      </c>
      <c r="P209" s="35">
        <v>308.7</v>
      </c>
      <c r="Q209" s="35">
        <v>308.7</v>
      </c>
      <c r="R209" s="35">
        <f t="shared" si="1"/>
        <v>3704.4</v>
      </c>
      <c r="S209" s="243">
        <f t="shared" si="2"/>
        <v>926.1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>
        <f t="shared" si="19"/>
        <v>0</v>
      </c>
    </row>
    <row r="210" ht="12.75" customHeight="1">
      <c r="A210" s="238" t="s">
        <v>651</v>
      </c>
      <c r="B210" s="8" t="s">
        <v>345</v>
      </c>
      <c r="C210" s="241">
        <v>47502.0</v>
      </c>
      <c r="D210" s="241" t="s">
        <v>333</v>
      </c>
      <c r="E210" s="8" t="s">
        <v>646</v>
      </c>
      <c r="F210" s="246">
        <v>105.0</v>
      </c>
      <c r="G210" s="35">
        <v>105.0</v>
      </c>
      <c r="H210" s="35">
        <v>105.0</v>
      </c>
      <c r="I210" s="35">
        <v>105.0</v>
      </c>
      <c r="J210" s="35">
        <v>105.0</v>
      </c>
      <c r="K210" s="35">
        <v>105.0</v>
      </c>
      <c r="L210" s="35">
        <v>105.0</v>
      </c>
      <c r="M210" s="35">
        <v>105.0</v>
      </c>
      <c r="N210" s="35">
        <v>105.0</v>
      </c>
      <c r="O210" s="35">
        <v>105.0</v>
      </c>
      <c r="P210" s="35">
        <v>105.0</v>
      </c>
      <c r="Q210" s="35">
        <v>105.0</v>
      </c>
      <c r="R210" s="35">
        <f t="shared" si="1"/>
        <v>1260</v>
      </c>
      <c r="S210" s="243">
        <f t="shared" si="2"/>
        <v>315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>
        <f t="shared" si="19"/>
        <v>0</v>
      </c>
    </row>
    <row r="211" ht="12.75" customHeight="1">
      <c r="A211" s="238" t="s">
        <v>652</v>
      </c>
      <c r="B211" s="8" t="s">
        <v>349</v>
      </c>
      <c r="C211" s="241">
        <v>47502.0</v>
      </c>
      <c r="D211" s="241" t="s">
        <v>333</v>
      </c>
      <c r="E211" s="8" t="s">
        <v>646</v>
      </c>
      <c r="F211" s="246">
        <v>132.3</v>
      </c>
      <c r="G211" s="35">
        <v>132.3</v>
      </c>
      <c r="H211" s="35">
        <v>132.3</v>
      </c>
      <c r="I211" s="35">
        <v>132.3</v>
      </c>
      <c r="J211" s="35">
        <v>132.3</v>
      </c>
      <c r="K211" s="35">
        <v>132.3</v>
      </c>
      <c r="L211" s="35">
        <v>132.3</v>
      </c>
      <c r="M211" s="35">
        <v>132.3</v>
      </c>
      <c r="N211" s="35">
        <v>132.3</v>
      </c>
      <c r="O211" s="35">
        <v>132.3</v>
      </c>
      <c r="P211" s="35">
        <v>132.3</v>
      </c>
      <c r="Q211" s="35">
        <v>132.3</v>
      </c>
      <c r="R211" s="35">
        <f t="shared" si="1"/>
        <v>1587.6</v>
      </c>
      <c r="S211" s="243">
        <f t="shared" si="2"/>
        <v>396.9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</row>
    <row r="212" ht="12.75" customHeight="1">
      <c r="A212" s="238" t="s">
        <v>653</v>
      </c>
      <c r="B212" s="8" t="s">
        <v>332</v>
      </c>
      <c r="C212" s="241">
        <v>48300.0</v>
      </c>
      <c r="D212" s="241" t="s">
        <v>333</v>
      </c>
      <c r="E212" s="8" t="s">
        <v>43</v>
      </c>
      <c r="F212" s="259">
        <v>0.0</v>
      </c>
      <c r="G212" s="74">
        <v>0.0</v>
      </c>
      <c r="H212" s="74">
        <v>0.0</v>
      </c>
      <c r="I212" s="74">
        <v>0.0</v>
      </c>
      <c r="J212" s="74">
        <v>0.0</v>
      </c>
      <c r="K212" s="74">
        <v>0.0</v>
      </c>
      <c r="L212" s="74">
        <v>0.0</v>
      </c>
      <c r="M212" s="74">
        <v>0.0</v>
      </c>
      <c r="N212" s="74">
        <v>0.0</v>
      </c>
      <c r="O212" s="74">
        <v>0.0</v>
      </c>
      <c r="P212" s="74">
        <v>0.0</v>
      </c>
      <c r="Q212" s="74">
        <v>0.0</v>
      </c>
      <c r="R212" s="35">
        <f t="shared" si="1"/>
        <v>0</v>
      </c>
      <c r="S212" s="243">
        <f t="shared" si="2"/>
        <v>0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</row>
    <row r="213" ht="12.75" customHeight="1">
      <c r="A213" s="238" t="s">
        <v>654</v>
      </c>
      <c r="B213" s="8" t="s">
        <v>108</v>
      </c>
      <c r="C213" s="241">
        <v>48300.0</v>
      </c>
      <c r="D213" s="241" t="s">
        <v>312</v>
      </c>
      <c r="E213" s="8" t="s">
        <v>43</v>
      </c>
      <c r="F213" s="259">
        <v>0.0</v>
      </c>
      <c r="G213" s="74">
        <v>0.0</v>
      </c>
      <c r="H213" s="74">
        <v>0.0</v>
      </c>
      <c r="I213" s="74">
        <v>0.0</v>
      </c>
      <c r="J213" s="74">
        <v>0.0</v>
      </c>
      <c r="K213" s="74">
        <v>0.0</v>
      </c>
      <c r="L213" s="74">
        <v>0.0</v>
      </c>
      <c r="M213" s="74">
        <v>0.0</v>
      </c>
      <c r="N213" s="74">
        <v>0.0</v>
      </c>
      <c r="O213" s="74">
        <v>0.0</v>
      </c>
      <c r="P213" s="74">
        <v>0.0</v>
      </c>
      <c r="Q213" s="74">
        <v>0.0</v>
      </c>
      <c r="R213" s="35">
        <f t="shared" si="1"/>
        <v>0</v>
      </c>
      <c r="S213" s="243">
        <f t="shared" si="2"/>
        <v>0</v>
      </c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>
        <f t="shared" ref="BC213:BC221" si="71">SUM(AQ213:BB213)</f>
        <v>0</v>
      </c>
    </row>
    <row r="214" ht="12.75" customHeight="1">
      <c r="A214" s="238" t="s">
        <v>655</v>
      </c>
      <c r="B214" s="239" t="s">
        <v>89</v>
      </c>
      <c r="C214" s="244">
        <v>48300.0</v>
      </c>
      <c r="D214" s="241" t="s">
        <v>312</v>
      </c>
      <c r="E214" s="239" t="s">
        <v>656</v>
      </c>
      <c r="F214" s="168">
        <v>1011.25</v>
      </c>
      <c r="G214" s="168">
        <v>1011.25</v>
      </c>
      <c r="H214" s="168">
        <v>1011.25</v>
      </c>
      <c r="I214" s="168">
        <v>1011.25</v>
      </c>
      <c r="J214" s="168">
        <v>1011.25</v>
      </c>
      <c r="K214" s="168">
        <v>1011.25</v>
      </c>
      <c r="L214" s="168">
        <v>1011.25</v>
      </c>
      <c r="M214" s="168">
        <v>1011.25</v>
      </c>
      <c r="N214" s="168">
        <v>1011.25</v>
      </c>
      <c r="O214" s="168">
        <v>1011.25</v>
      </c>
      <c r="P214" s="168">
        <v>1011.25</v>
      </c>
      <c r="Q214" s="168">
        <v>1011.25</v>
      </c>
      <c r="R214" s="242">
        <f t="shared" si="1"/>
        <v>12135</v>
      </c>
      <c r="S214" s="243">
        <f t="shared" si="2"/>
        <v>3033.75</v>
      </c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>
        <f t="shared" si="71"/>
        <v>0</v>
      </c>
    </row>
    <row r="215" ht="12.75" customHeight="1">
      <c r="A215" s="238" t="s">
        <v>657</v>
      </c>
      <c r="B215" s="8" t="s">
        <v>176</v>
      </c>
      <c r="C215" s="241">
        <v>48300.0</v>
      </c>
      <c r="D215" s="241" t="s">
        <v>312</v>
      </c>
      <c r="E215" s="8" t="s">
        <v>43</v>
      </c>
      <c r="F215" s="259">
        <v>0.0</v>
      </c>
      <c r="G215" s="74">
        <v>0.0</v>
      </c>
      <c r="H215" s="74">
        <v>0.0</v>
      </c>
      <c r="I215" s="74">
        <v>0.0</v>
      </c>
      <c r="J215" s="74">
        <v>0.0</v>
      </c>
      <c r="K215" s="74">
        <v>0.0</v>
      </c>
      <c r="L215" s="74">
        <v>0.0</v>
      </c>
      <c r="M215" s="74">
        <v>0.0</v>
      </c>
      <c r="N215" s="74">
        <v>0.0</v>
      </c>
      <c r="O215" s="168"/>
      <c r="P215" s="168"/>
      <c r="Q215" s="168"/>
      <c r="R215" s="242">
        <f t="shared" si="1"/>
        <v>0</v>
      </c>
      <c r="S215" s="243">
        <f t="shared" si="2"/>
        <v>0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>
        <f t="shared" si="71"/>
        <v>0</v>
      </c>
    </row>
    <row r="216" ht="12.75" customHeight="1">
      <c r="A216" s="238" t="s">
        <v>653</v>
      </c>
      <c r="B216" s="8" t="s">
        <v>332</v>
      </c>
      <c r="C216" s="241">
        <v>48300.0</v>
      </c>
      <c r="D216" s="241" t="s">
        <v>333</v>
      </c>
      <c r="E216" s="8" t="s">
        <v>43</v>
      </c>
      <c r="F216" s="246">
        <v>0.0</v>
      </c>
      <c r="G216" s="35">
        <v>0.0</v>
      </c>
      <c r="H216" s="35">
        <v>0.0</v>
      </c>
      <c r="I216" s="242">
        <v>0.0</v>
      </c>
      <c r="J216" s="35">
        <v>0.0</v>
      </c>
      <c r="K216" s="35">
        <v>0.0</v>
      </c>
      <c r="L216" s="35">
        <v>0.0</v>
      </c>
      <c r="M216" s="35">
        <v>0.0</v>
      </c>
      <c r="N216" s="35">
        <v>0.0</v>
      </c>
      <c r="O216" s="35">
        <v>0.0</v>
      </c>
      <c r="P216" s="35">
        <v>0.0</v>
      </c>
      <c r="Q216" s="35">
        <v>0.0</v>
      </c>
      <c r="R216" s="242">
        <f t="shared" si="1"/>
        <v>0</v>
      </c>
      <c r="S216" s="243">
        <f t="shared" si="2"/>
        <v>0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>
        <f t="shared" si="71"/>
        <v>0</v>
      </c>
    </row>
    <row r="217" ht="12.75" customHeight="1">
      <c r="A217" s="238" t="s">
        <v>658</v>
      </c>
      <c r="B217" s="8" t="s">
        <v>108</v>
      </c>
      <c r="C217" s="241">
        <v>49100.0</v>
      </c>
      <c r="D217" s="241" t="s">
        <v>312</v>
      </c>
      <c r="E217" s="8" t="s">
        <v>175</v>
      </c>
      <c r="F217" s="259">
        <v>0.0</v>
      </c>
      <c r="G217" s="74">
        <v>0.0</v>
      </c>
      <c r="H217" s="74">
        <v>0.0</v>
      </c>
      <c r="I217" s="74">
        <v>0.0</v>
      </c>
      <c r="J217" s="74">
        <v>0.0</v>
      </c>
      <c r="K217" s="74">
        <v>0.0</v>
      </c>
      <c r="L217" s="74">
        <v>0.0</v>
      </c>
      <c r="M217" s="74">
        <v>0.0</v>
      </c>
      <c r="N217" s="74">
        <v>0.0</v>
      </c>
      <c r="O217" s="74">
        <v>0.0</v>
      </c>
      <c r="P217" s="74">
        <v>0.0</v>
      </c>
      <c r="Q217" s="74">
        <v>0.0</v>
      </c>
      <c r="R217" s="35">
        <f t="shared" si="1"/>
        <v>0</v>
      </c>
      <c r="S217" s="243">
        <f t="shared" si="2"/>
        <v>0</v>
      </c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>
        <f t="shared" si="71"/>
        <v>0</v>
      </c>
    </row>
    <row r="218" ht="12.75" customHeight="1">
      <c r="A218" s="238" t="s">
        <v>659</v>
      </c>
      <c r="B218" s="8" t="s">
        <v>89</v>
      </c>
      <c r="C218" s="241">
        <v>49100.0</v>
      </c>
      <c r="D218" s="241" t="s">
        <v>312</v>
      </c>
      <c r="E218" s="8" t="s">
        <v>175</v>
      </c>
      <c r="F218" s="151">
        <f t="shared" ref="F218:Q218" si="72">571000/12</f>
        <v>47583.33333</v>
      </c>
      <c r="G218" s="74">
        <f t="shared" si="72"/>
        <v>47583.33333</v>
      </c>
      <c r="H218" s="74">
        <f t="shared" si="72"/>
        <v>47583.33333</v>
      </c>
      <c r="I218" s="74">
        <f t="shared" si="72"/>
        <v>47583.33333</v>
      </c>
      <c r="J218" s="74">
        <f t="shared" si="72"/>
        <v>47583.33333</v>
      </c>
      <c r="K218" s="74">
        <f t="shared" si="72"/>
        <v>47583.33333</v>
      </c>
      <c r="L218" s="74">
        <f t="shared" si="72"/>
        <v>47583.33333</v>
      </c>
      <c r="M218" s="74">
        <f t="shared" si="72"/>
        <v>47583.33333</v>
      </c>
      <c r="N218" s="74">
        <f t="shared" si="72"/>
        <v>47583.33333</v>
      </c>
      <c r="O218" s="74">
        <f t="shared" si="72"/>
        <v>47583.33333</v>
      </c>
      <c r="P218" s="74">
        <f t="shared" si="72"/>
        <v>47583.33333</v>
      </c>
      <c r="Q218" s="74">
        <f t="shared" si="72"/>
        <v>47583.33333</v>
      </c>
      <c r="R218" s="35">
        <f t="shared" si="1"/>
        <v>571000</v>
      </c>
      <c r="S218" s="243">
        <f t="shared" si="2"/>
        <v>142750</v>
      </c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>
        <f t="shared" si="71"/>
        <v>0</v>
      </c>
    </row>
    <row r="219" ht="12.75" customHeight="1">
      <c r="A219" s="238" t="s">
        <v>659</v>
      </c>
      <c r="B219" s="8" t="s">
        <v>89</v>
      </c>
      <c r="C219" s="241">
        <v>49100.0</v>
      </c>
      <c r="D219" s="241" t="s">
        <v>312</v>
      </c>
      <c r="E219" s="8" t="s">
        <v>175</v>
      </c>
      <c r="F219" s="259">
        <v>0.0</v>
      </c>
      <c r="G219" s="74">
        <v>0.0</v>
      </c>
      <c r="H219" s="74">
        <v>0.0</v>
      </c>
      <c r="I219" s="74">
        <v>0.0</v>
      </c>
      <c r="J219" s="74">
        <v>0.0</v>
      </c>
      <c r="K219" s="74">
        <v>0.0</v>
      </c>
      <c r="L219" s="74">
        <v>0.0</v>
      </c>
      <c r="M219" s="74">
        <v>0.0</v>
      </c>
      <c r="N219" s="74">
        <v>0.0</v>
      </c>
      <c r="O219" s="74">
        <v>0.0</v>
      </c>
      <c r="P219" s="74">
        <v>0.0</v>
      </c>
      <c r="Q219" s="74">
        <v>0.0</v>
      </c>
      <c r="R219" s="35">
        <f t="shared" si="1"/>
        <v>0</v>
      </c>
      <c r="S219" s="243">
        <f t="shared" si="2"/>
        <v>0</v>
      </c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>
        <f t="shared" si="71"/>
        <v>0</v>
      </c>
    </row>
    <row r="220" ht="12.75" customHeight="1">
      <c r="A220" s="238" t="s">
        <v>660</v>
      </c>
      <c r="B220" s="8" t="s">
        <v>176</v>
      </c>
      <c r="C220" s="241">
        <v>49100.0</v>
      </c>
      <c r="D220" s="241" t="s">
        <v>312</v>
      </c>
      <c r="E220" s="8" t="s">
        <v>175</v>
      </c>
      <c r="F220" s="259">
        <v>0.0</v>
      </c>
      <c r="G220" s="74">
        <v>0.0</v>
      </c>
      <c r="H220" s="74">
        <v>0.0</v>
      </c>
      <c r="I220" s="74">
        <v>0.0</v>
      </c>
      <c r="J220" s="74">
        <v>0.0</v>
      </c>
      <c r="K220" s="74">
        <v>0.0</v>
      </c>
      <c r="L220" s="74">
        <v>0.0</v>
      </c>
      <c r="M220" s="74">
        <v>0.0</v>
      </c>
      <c r="N220" s="74">
        <v>0.0</v>
      </c>
      <c r="O220" s="74">
        <v>0.0</v>
      </c>
      <c r="P220" s="74">
        <v>0.0</v>
      </c>
      <c r="Q220" s="74">
        <v>0.0</v>
      </c>
      <c r="R220" s="35">
        <f t="shared" si="1"/>
        <v>0</v>
      </c>
      <c r="S220" s="243">
        <f t="shared" si="2"/>
        <v>0</v>
      </c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>
        <f t="shared" si="71"/>
        <v>0</v>
      </c>
    </row>
    <row r="221" ht="12.75" customHeight="1">
      <c r="A221" s="238" t="s">
        <v>661</v>
      </c>
      <c r="B221" s="8" t="s">
        <v>332</v>
      </c>
      <c r="C221" s="241">
        <v>49100.0</v>
      </c>
      <c r="D221" s="241" t="s">
        <v>333</v>
      </c>
      <c r="E221" s="8" t="s">
        <v>175</v>
      </c>
      <c r="F221" s="259">
        <v>0.0</v>
      </c>
      <c r="G221" s="74">
        <v>0.0</v>
      </c>
      <c r="H221" s="74">
        <v>0.0</v>
      </c>
      <c r="I221" s="300">
        <v>0.0</v>
      </c>
      <c r="J221" s="74">
        <v>0.0</v>
      </c>
      <c r="K221" s="74">
        <v>0.0</v>
      </c>
      <c r="L221" s="74">
        <v>0.0</v>
      </c>
      <c r="M221" s="74">
        <v>0.0</v>
      </c>
      <c r="N221" s="74">
        <v>0.0</v>
      </c>
      <c r="O221" s="74">
        <v>0.0</v>
      </c>
      <c r="P221" s="74">
        <v>0.0</v>
      </c>
      <c r="Q221" s="74">
        <v>0.0</v>
      </c>
      <c r="R221" s="242">
        <f t="shared" si="1"/>
        <v>0</v>
      </c>
      <c r="S221" s="243">
        <f t="shared" si="2"/>
        <v>0</v>
      </c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>
        <f t="shared" si="71"/>
        <v>0</v>
      </c>
    </row>
    <row r="222" ht="12.75" customHeight="1">
      <c r="A222" s="238" t="s">
        <v>662</v>
      </c>
      <c r="B222" s="8" t="s">
        <v>89</v>
      </c>
      <c r="C222" s="241">
        <v>49101.0</v>
      </c>
      <c r="D222" s="241" t="s">
        <v>312</v>
      </c>
      <c r="E222" s="8" t="s">
        <v>109</v>
      </c>
      <c r="F222" s="151">
        <v>33773.0</v>
      </c>
      <c r="G222" s="74">
        <v>33637.0</v>
      </c>
      <c r="H222" s="74">
        <v>33941.0</v>
      </c>
      <c r="I222" s="300">
        <v>32623.0</v>
      </c>
      <c r="J222" s="74">
        <v>33911.0</v>
      </c>
      <c r="K222" s="74">
        <v>33232.0</v>
      </c>
      <c r="L222" s="74">
        <v>33710.0</v>
      </c>
      <c r="M222" s="74">
        <v>33238.0</v>
      </c>
      <c r="N222" s="74">
        <v>32953.0</v>
      </c>
      <c r="O222" s="74">
        <v>32878.0</v>
      </c>
      <c r="P222" s="74">
        <v>33990.0</v>
      </c>
      <c r="Q222" s="74">
        <v>34246.0</v>
      </c>
      <c r="R222" s="242">
        <f t="shared" si="1"/>
        <v>402132</v>
      </c>
      <c r="S222" s="243">
        <f t="shared" si="2"/>
        <v>101351</v>
      </c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</row>
    <row r="223" ht="12.75" customHeight="1">
      <c r="A223" s="238" t="s">
        <v>663</v>
      </c>
      <c r="B223" s="8" t="s">
        <v>89</v>
      </c>
      <c r="C223" s="241">
        <v>49104.0</v>
      </c>
      <c r="D223" s="241" t="s">
        <v>312</v>
      </c>
      <c r="E223" s="8" t="s">
        <v>664</v>
      </c>
      <c r="F223" s="151">
        <v>70000.0</v>
      </c>
      <c r="G223" s="74">
        <v>70000.0</v>
      </c>
      <c r="H223" s="74">
        <v>70000.0</v>
      </c>
      <c r="I223" s="74">
        <v>70000.0</v>
      </c>
      <c r="J223" s="74">
        <v>70000.0</v>
      </c>
      <c r="K223" s="74">
        <v>70000.0</v>
      </c>
      <c r="L223" s="74">
        <v>70000.0</v>
      </c>
      <c r="M223" s="74">
        <v>70000.0</v>
      </c>
      <c r="N223" s="74">
        <v>70000.0</v>
      </c>
      <c r="O223" s="74">
        <v>70000.0</v>
      </c>
      <c r="P223" s="74">
        <v>70000.0</v>
      </c>
      <c r="Q223" s="74">
        <v>70000.0</v>
      </c>
      <c r="R223" s="242">
        <f t="shared" si="1"/>
        <v>840000</v>
      </c>
      <c r="S223" s="243">
        <f t="shared" si="2"/>
        <v>210000</v>
      </c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</row>
    <row r="224" ht="12.75" customHeight="1">
      <c r="A224" s="8" t="s">
        <v>665</v>
      </c>
      <c r="B224" s="8" t="s">
        <v>89</v>
      </c>
      <c r="C224" s="241">
        <v>49400.0</v>
      </c>
      <c r="D224" s="241" t="s">
        <v>312</v>
      </c>
      <c r="E224" s="8" t="s">
        <v>182</v>
      </c>
      <c r="F224" s="259">
        <v>0.0</v>
      </c>
      <c r="G224" s="74">
        <v>0.0</v>
      </c>
      <c r="H224" s="74">
        <v>0.0</v>
      </c>
      <c r="I224" s="74">
        <v>0.0</v>
      </c>
      <c r="J224" s="74">
        <v>0.0</v>
      </c>
      <c r="K224" s="74">
        <v>0.0</v>
      </c>
      <c r="L224" s="74">
        <v>0.0</v>
      </c>
      <c r="M224" s="74">
        <v>0.0</v>
      </c>
      <c r="N224" s="74">
        <v>0.0</v>
      </c>
      <c r="O224" s="74">
        <v>0.0</v>
      </c>
      <c r="P224" s="74">
        <v>0.0</v>
      </c>
      <c r="Q224" s="74">
        <v>0.0</v>
      </c>
      <c r="R224" s="35">
        <f t="shared" si="1"/>
        <v>0</v>
      </c>
      <c r="S224" s="243">
        <f t="shared" si="2"/>
        <v>0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>
        <f t="shared" ref="BC224:BC286" si="74">SUM(AQ224:BB224)</f>
        <v>0</v>
      </c>
    </row>
    <row r="225" ht="12.75" customHeight="1">
      <c r="A225" s="238" t="s">
        <v>666</v>
      </c>
      <c r="B225" s="8" t="s">
        <v>332</v>
      </c>
      <c r="C225" s="241">
        <v>51100.0</v>
      </c>
      <c r="D225" s="241" t="s">
        <v>333</v>
      </c>
      <c r="E225" s="8" t="s">
        <v>47</v>
      </c>
      <c r="F225" s="246">
        <f t="shared" ref="F225:Q225" si="73">-245395/12</f>
        <v>-20449.58333</v>
      </c>
      <c r="G225" s="35">
        <f t="shared" si="73"/>
        <v>-20449.58333</v>
      </c>
      <c r="H225" s="35">
        <f t="shared" si="73"/>
        <v>-20449.58333</v>
      </c>
      <c r="I225" s="35">
        <f t="shared" si="73"/>
        <v>-20449.58333</v>
      </c>
      <c r="J225" s="35">
        <f t="shared" si="73"/>
        <v>-20449.58333</v>
      </c>
      <c r="K225" s="35">
        <f t="shared" si="73"/>
        <v>-20449.58333</v>
      </c>
      <c r="L225" s="35">
        <f t="shared" si="73"/>
        <v>-20449.58333</v>
      </c>
      <c r="M225" s="35">
        <f t="shared" si="73"/>
        <v>-20449.58333</v>
      </c>
      <c r="N225" s="35">
        <f t="shared" si="73"/>
        <v>-20449.58333</v>
      </c>
      <c r="O225" s="35">
        <f t="shared" si="73"/>
        <v>-20449.58333</v>
      </c>
      <c r="P225" s="35">
        <f t="shared" si="73"/>
        <v>-20449.58333</v>
      </c>
      <c r="Q225" s="35">
        <f t="shared" si="73"/>
        <v>-20449.58333</v>
      </c>
      <c r="R225" s="242">
        <f t="shared" si="1"/>
        <v>-245395</v>
      </c>
      <c r="S225" s="243">
        <f t="shared" si="2"/>
        <v>-61348.75</v>
      </c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>
        <f t="shared" si="74"/>
        <v>0</v>
      </c>
    </row>
    <row r="226" ht="12.75" customHeight="1">
      <c r="A226" s="8" t="s">
        <v>667</v>
      </c>
      <c r="B226" s="8" t="s">
        <v>332</v>
      </c>
      <c r="C226" s="241">
        <v>61100.0</v>
      </c>
      <c r="D226" s="241" t="s">
        <v>333</v>
      </c>
      <c r="E226" s="8" t="s">
        <v>668</v>
      </c>
      <c r="F226" s="246">
        <v>0.0</v>
      </c>
      <c r="G226" s="35">
        <v>0.0</v>
      </c>
      <c r="H226" s="35">
        <v>0.0</v>
      </c>
      <c r="I226" s="35">
        <v>0.0</v>
      </c>
      <c r="J226" s="35">
        <v>0.0</v>
      </c>
      <c r="K226" s="35">
        <v>0.0</v>
      </c>
      <c r="L226" s="35">
        <v>0.0</v>
      </c>
      <c r="M226" s="35">
        <v>0.0</v>
      </c>
      <c r="N226" s="35">
        <v>0.0</v>
      </c>
      <c r="O226" s="35">
        <v>0.0</v>
      </c>
      <c r="P226" s="35">
        <v>0.0</v>
      </c>
      <c r="Q226" s="35">
        <v>0.0</v>
      </c>
      <c r="R226" s="242">
        <f t="shared" si="1"/>
        <v>0</v>
      </c>
      <c r="S226" s="243">
        <f t="shared" si="2"/>
        <v>0</v>
      </c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>
        <f t="shared" si="74"/>
        <v>0</v>
      </c>
    </row>
    <row r="227" ht="12.75" customHeight="1">
      <c r="A227" s="8" t="s">
        <v>669</v>
      </c>
      <c r="B227" s="8" t="s">
        <v>332</v>
      </c>
      <c r="C227" s="241">
        <v>61101.0</v>
      </c>
      <c r="D227" s="241" t="s">
        <v>333</v>
      </c>
      <c r="E227" s="8" t="s">
        <v>45</v>
      </c>
      <c r="F227" s="246">
        <v>0.0</v>
      </c>
      <c r="G227" s="35">
        <v>0.0</v>
      </c>
      <c r="H227" s="35">
        <v>0.0</v>
      </c>
      <c r="I227" s="35">
        <v>0.0</v>
      </c>
      <c r="J227" s="35">
        <v>0.0</v>
      </c>
      <c r="K227" s="35">
        <v>0.0</v>
      </c>
      <c r="L227" s="35">
        <v>0.0</v>
      </c>
      <c r="M227" s="35">
        <v>0.0</v>
      </c>
      <c r="N227" s="35">
        <v>0.0</v>
      </c>
      <c r="O227" s="35">
        <v>0.0</v>
      </c>
      <c r="P227" s="35">
        <v>0.0</v>
      </c>
      <c r="Q227" s="35">
        <v>0.0</v>
      </c>
      <c r="R227" s="242">
        <f t="shared" si="1"/>
        <v>0</v>
      </c>
      <c r="S227" s="243">
        <f t="shared" si="2"/>
        <v>0</v>
      </c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>
        <f t="shared" si="74"/>
        <v>0</v>
      </c>
    </row>
    <row r="228" ht="12.75" customHeight="1">
      <c r="A228" s="8" t="s">
        <v>670</v>
      </c>
      <c r="B228" s="8" t="s">
        <v>332</v>
      </c>
      <c r="C228" s="241">
        <v>61200.0</v>
      </c>
      <c r="D228" s="241" t="s">
        <v>333</v>
      </c>
      <c r="E228" s="8" t="s">
        <v>183</v>
      </c>
      <c r="F228" s="246">
        <v>0.0</v>
      </c>
      <c r="G228" s="35">
        <v>0.0</v>
      </c>
      <c r="H228" s="35">
        <v>0.0</v>
      </c>
      <c r="I228" s="35">
        <v>0.0</v>
      </c>
      <c r="J228" s="35">
        <v>0.0</v>
      </c>
      <c r="K228" s="35">
        <v>0.0</v>
      </c>
      <c r="L228" s="35">
        <v>0.0</v>
      </c>
      <c r="M228" s="35">
        <v>0.0</v>
      </c>
      <c r="N228" s="35">
        <v>0.0</v>
      </c>
      <c r="O228" s="35">
        <v>0.0</v>
      </c>
      <c r="P228" s="35">
        <v>0.0</v>
      </c>
      <c r="Q228" s="35">
        <v>0.0</v>
      </c>
      <c r="R228" s="35">
        <f t="shared" si="1"/>
        <v>0</v>
      </c>
      <c r="S228" s="243">
        <f t="shared" si="2"/>
        <v>0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>
        <f t="shared" si="74"/>
        <v>0</v>
      </c>
    </row>
    <row r="229" ht="12.75" customHeight="1">
      <c r="A229" s="8" t="s">
        <v>671</v>
      </c>
      <c r="B229" s="8" t="s">
        <v>332</v>
      </c>
      <c r="C229" s="241">
        <v>91100.0</v>
      </c>
      <c r="D229" s="241" t="s">
        <v>333</v>
      </c>
      <c r="E229" s="8" t="s">
        <v>57</v>
      </c>
      <c r="F229" s="246">
        <v>-57489.061534473716</v>
      </c>
      <c r="G229" s="35">
        <v>-85734.09539223547</v>
      </c>
      <c r="H229" s="35">
        <v>-61483.84247901726</v>
      </c>
      <c r="I229" s="35">
        <v>-114569.47862137093</v>
      </c>
      <c r="J229" s="35">
        <v>-21771.946731751294</v>
      </c>
      <c r="K229" s="35">
        <v>-33834.321102005204</v>
      </c>
      <c r="L229" s="35">
        <v>-21270.454679455128</v>
      </c>
      <c r="M229" s="35">
        <v>-29777.894605384274</v>
      </c>
      <c r="N229" s="35">
        <v>-31935.808070413448</v>
      </c>
      <c r="O229" s="35">
        <v>-22246.21684927131</v>
      </c>
      <c r="P229" s="35">
        <v>-29905.36436949053</v>
      </c>
      <c r="Q229" s="35">
        <v>-56958.591219525224</v>
      </c>
      <c r="R229" s="242">
        <f t="shared" si="1"/>
        <v>-566977.0757</v>
      </c>
      <c r="S229" s="243">
        <f t="shared" si="2"/>
        <v>-204706.9994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>
        <f t="shared" si="74"/>
        <v>0</v>
      </c>
    </row>
    <row r="230" ht="12.75" customHeight="1">
      <c r="A230" s="238" t="s">
        <v>672</v>
      </c>
      <c r="B230" s="239" t="s">
        <v>89</v>
      </c>
      <c r="C230" s="244">
        <v>91100.0</v>
      </c>
      <c r="D230" s="241" t="s">
        <v>312</v>
      </c>
      <c r="E230" s="239" t="s">
        <v>57</v>
      </c>
      <c r="F230" s="168">
        <v>98147.0</v>
      </c>
      <c r="G230" s="168">
        <v>90288.0</v>
      </c>
      <c r="H230" s="168">
        <v>107040.0</v>
      </c>
      <c r="I230" s="168">
        <v>55375.0</v>
      </c>
      <c r="J230" s="168">
        <v>110786.0</v>
      </c>
      <c r="K230" s="168">
        <v>79912.0</v>
      </c>
      <c r="L230" s="168">
        <v>101113.0</v>
      </c>
      <c r="M230" s="168">
        <v>93756.0</v>
      </c>
      <c r="N230" s="168">
        <v>72857.0</v>
      </c>
      <c r="O230" s="168">
        <v>80139.0</v>
      </c>
      <c r="P230" s="168">
        <v>108260.0</v>
      </c>
      <c r="Q230" s="168">
        <v>101350.0</v>
      </c>
      <c r="R230" s="35">
        <f t="shared" si="1"/>
        <v>1099023</v>
      </c>
      <c r="S230" s="243">
        <f t="shared" si="2"/>
        <v>295475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>
        <f t="shared" si="74"/>
        <v>0</v>
      </c>
    </row>
    <row r="231" ht="12.75" customHeight="1">
      <c r="A231" s="8" t="s">
        <v>671</v>
      </c>
      <c r="B231" s="8" t="s">
        <v>332</v>
      </c>
      <c r="C231" s="241">
        <v>91100.0</v>
      </c>
      <c r="D231" s="241" t="s">
        <v>333</v>
      </c>
      <c r="E231" s="8" t="s">
        <v>57</v>
      </c>
      <c r="F231" s="246"/>
      <c r="G231" s="35"/>
      <c r="H231" s="35"/>
      <c r="I231" s="242"/>
      <c r="J231" s="35"/>
      <c r="K231" s="35"/>
      <c r="L231" s="35"/>
      <c r="M231" s="35"/>
      <c r="N231" s="35"/>
      <c r="O231" s="35"/>
      <c r="P231" s="35"/>
      <c r="Q231" s="35"/>
      <c r="R231" s="242">
        <f t="shared" si="1"/>
        <v>0</v>
      </c>
      <c r="S231" s="243">
        <f t="shared" si="2"/>
        <v>0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>
        <f t="shared" si="74"/>
        <v>0</v>
      </c>
    </row>
    <row r="232" ht="12.75" customHeight="1">
      <c r="A232" s="238" t="s">
        <v>673</v>
      </c>
      <c r="B232" s="8" t="s">
        <v>332</v>
      </c>
      <c r="C232" s="241" t="s">
        <v>674</v>
      </c>
      <c r="D232" s="241" t="s">
        <v>333</v>
      </c>
      <c r="E232" s="8" t="s">
        <v>98</v>
      </c>
      <c r="F232" s="246">
        <f t="shared" ref="F232:Q232" si="75">-253/12</f>
        <v>-21.08333333</v>
      </c>
      <c r="G232" s="35">
        <f t="shared" si="75"/>
        <v>-21.08333333</v>
      </c>
      <c r="H232" s="35">
        <f t="shared" si="75"/>
        <v>-21.08333333</v>
      </c>
      <c r="I232" s="35">
        <f t="shared" si="75"/>
        <v>-21.08333333</v>
      </c>
      <c r="J232" s="35">
        <f t="shared" si="75"/>
        <v>-21.08333333</v>
      </c>
      <c r="K232" s="35">
        <f t="shared" si="75"/>
        <v>-21.08333333</v>
      </c>
      <c r="L232" s="35">
        <f t="shared" si="75"/>
        <v>-21.08333333</v>
      </c>
      <c r="M232" s="35">
        <f t="shared" si="75"/>
        <v>-21.08333333</v>
      </c>
      <c r="N232" s="35">
        <f t="shared" si="75"/>
        <v>-21.08333333</v>
      </c>
      <c r="O232" s="35">
        <f t="shared" si="75"/>
        <v>-21.08333333</v>
      </c>
      <c r="P232" s="35">
        <f t="shared" si="75"/>
        <v>-21.08333333</v>
      </c>
      <c r="Q232" s="35">
        <f t="shared" si="75"/>
        <v>-21.08333333</v>
      </c>
      <c r="R232" s="35">
        <f t="shared" si="1"/>
        <v>-253</v>
      </c>
      <c r="S232" s="243">
        <f t="shared" si="2"/>
        <v>-63.25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>
        <f t="shared" si="74"/>
        <v>0</v>
      </c>
    </row>
    <row r="233" ht="12.75" customHeight="1">
      <c r="A233" s="238" t="s">
        <v>675</v>
      </c>
      <c r="B233" s="8" t="s">
        <v>339</v>
      </c>
      <c r="C233" s="241" t="s">
        <v>674</v>
      </c>
      <c r="D233" s="241" t="s">
        <v>333</v>
      </c>
      <c r="E233" s="8" t="s">
        <v>98</v>
      </c>
      <c r="F233" s="246">
        <v>0.0</v>
      </c>
      <c r="G233" s="35">
        <v>0.0</v>
      </c>
      <c r="H233" s="35">
        <v>0.0</v>
      </c>
      <c r="I233" s="35">
        <v>0.0</v>
      </c>
      <c r="J233" s="35">
        <v>0.0</v>
      </c>
      <c r="K233" s="35">
        <v>0.0</v>
      </c>
      <c r="L233" s="35">
        <v>0.0</v>
      </c>
      <c r="M233" s="35">
        <v>0.0</v>
      </c>
      <c r="N233" s="35">
        <v>0.0</v>
      </c>
      <c r="O233" s="35">
        <v>0.0</v>
      </c>
      <c r="P233" s="35">
        <v>0.0</v>
      </c>
      <c r="Q233" s="35">
        <v>0.0</v>
      </c>
      <c r="R233" s="35">
        <f t="shared" si="1"/>
        <v>0</v>
      </c>
      <c r="S233" s="243">
        <f t="shared" si="2"/>
        <v>0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>
        <f t="shared" si="74"/>
        <v>0</v>
      </c>
    </row>
    <row r="234" ht="12.75" customHeight="1">
      <c r="A234" s="238" t="s">
        <v>676</v>
      </c>
      <c r="B234" s="8" t="s">
        <v>108</v>
      </c>
      <c r="C234" s="241" t="s">
        <v>674</v>
      </c>
      <c r="D234" s="241" t="s">
        <v>312</v>
      </c>
      <c r="E234" s="8" t="s">
        <v>98</v>
      </c>
      <c r="F234" s="151">
        <v>42565.0</v>
      </c>
      <c r="G234" s="74">
        <v>40629.0</v>
      </c>
      <c r="H234" s="74">
        <v>44603.0</v>
      </c>
      <c r="I234" s="74">
        <v>34860.0</v>
      </c>
      <c r="J234" s="74">
        <v>46133.0</v>
      </c>
      <c r="K234" s="74">
        <v>39604.0</v>
      </c>
      <c r="L234" s="74">
        <v>44018.0</v>
      </c>
      <c r="M234" s="74">
        <v>44451.0</v>
      </c>
      <c r="N234" s="74">
        <v>38907.0</v>
      </c>
      <c r="O234" s="74">
        <v>41946.0</v>
      </c>
      <c r="P234" s="74">
        <v>44724.0</v>
      </c>
      <c r="Q234" s="74">
        <v>40560.0</v>
      </c>
      <c r="R234" s="35">
        <f t="shared" si="1"/>
        <v>503000</v>
      </c>
      <c r="S234" s="243">
        <f t="shared" si="2"/>
        <v>127797</v>
      </c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>
        <f t="shared" si="74"/>
        <v>0</v>
      </c>
    </row>
    <row r="235" ht="12.75" customHeight="1">
      <c r="A235" s="238" t="s">
        <v>677</v>
      </c>
      <c r="B235" s="8" t="s">
        <v>89</v>
      </c>
      <c r="C235" s="241" t="s">
        <v>674</v>
      </c>
      <c r="D235" s="241" t="s">
        <v>312</v>
      </c>
      <c r="E235" s="8" t="s">
        <v>98</v>
      </c>
      <c r="F235" s="259">
        <v>0.0</v>
      </c>
      <c r="G235" s="74">
        <v>0.0</v>
      </c>
      <c r="H235" s="74">
        <v>0.0</v>
      </c>
      <c r="I235" s="74">
        <v>0.0</v>
      </c>
      <c r="J235" s="74">
        <v>0.0</v>
      </c>
      <c r="K235" s="74">
        <v>0.0</v>
      </c>
      <c r="L235" s="74">
        <v>0.0</v>
      </c>
      <c r="M235" s="74">
        <v>0.0</v>
      </c>
      <c r="N235" s="74">
        <v>0.0</v>
      </c>
      <c r="O235" s="74">
        <v>0.0</v>
      </c>
      <c r="P235" s="74">
        <v>0.0</v>
      </c>
      <c r="Q235" s="74">
        <v>0.0</v>
      </c>
      <c r="R235" s="35">
        <f t="shared" si="1"/>
        <v>0</v>
      </c>
      <c r="S235" s="243">
        <f t="shared" si="2"/>
        <v>0</v>
      </c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>
        <f t="shared" si="74"/>
        <v>0</v>
      </c>
    </row>
    <row r="236" ht="12.75" customHeight="1">
      <c r="A236" s="238" t="s">
        <v>673</v>
      </c>
      <c r="B236" s="8" t="s">
        <v>332</v>
      </c>
      <c r="C236" s="241" t="s">
        <v>674</v>
      </c>
      <c r="D236" s="241" t="s">
        <v>333</v>
      </c>
      <c r="E236" s="8" t="s">
        <v>98</v>
      </c>
      <c r="F236" s="246">
        <v>0.0</v>
      </c>
      <c r="G236" s="35">
        <v>0.0</v>
      </c>
      <c r="H236" s="35">
        <v>0.0</v>
      </c>
      <c r="I236" s="242">
        <v>0.0</v>
      </c>
      <c r="J236" s="35">
        <v>0.0</v>
      </c>
      <c r="K236" s="35">
        <v>0.0</v>
      </c>
      <c r="L236" s="35">
        <v>0.0</v>
      </c>
      <c r="M236" s="35">
        <v>0.0</v>
      </c>
      <c r="N236" s="35">
        <v>0.0</v>
      </c>
      <c r="O236" s="35">
        <v>0.0</v>
      </c>
      <c r="P236" s="35">
        <v>0.0</v>
      </c>
      <c r="Q236" s="35">
        <v>0.0</v>
      </c>
      <c r="R236" s="242">
        <f t="shared" si="1"/>
        <v>0</v>
      </c>
      <c r="S236" s="243">
        <f t="shared" si="2"/>
        <v>0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>
        <f t="shared" si="74"/>
        <v>0</v>
      </c>
    </row>
    <row r="237" ht="12.75" customHeight="1">
      <c r="A237" s="238" t="s">
        <v>678</v>
      </c>
      <c r="B237" s="8" t="s">
        <v>343</v>
      </c>
      <c r="C237" s="241" t="s">
        <v>674</v>
      </c>
      <c r="D237" s="241" t="s">
        <v>333</v>
      </c>
      <c r="E237" s="8" t="s">
        <v>98</v>
      </c>
      <c r="F237" s="246">
        <v>0.0</v>
      </c>
      <c r="G237" s="35">
        <v>0.0</v>
      </c>
      <c r="H237" s="35">
        <v>0.0</v>
      </c>
      <c r="I237" s="35">
        <v>0.0</v>
      </c>
      <c r="J237" s="35">
        <v>0.0</v>
      </c>
      <c r="K237" s="35">
        <v>0.0</v>
      </c>
      <c r="L237" s="35">
        <v>0.0</v>
      </c>
      <c r="M237" s="35">
        <v>0.0</v>
      </c>
      <c r="N237" s="35">
        <v>0.0</v>
      </c>
      <c r="O237" s="35">
        <v>0.0</v>
      </c>
      <c r="P237" s="35">
        <v>0.0</v>
      </c>
      <c r="Q237" s="35">
        <v>0.0</v>
      </c>
      <c r="R237" s="35">
        <f t="shared" si="1"/>
        <v>0</v>
      </c>
      <c r="S237" s="243">
        <f t="shared" si="2"/>
        <v>0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>
        <f t="shared" si="74"/>
        <v>0</v>
      </c>
    </row>
    <row r="238" ht="12.75" customHeight="1">
      <c r="A238" s="238" t="s">
        <v>679</v>
      </c>
      <c r="B238" s="8" t="s">
        <v>345</v>
      </c>
      <c r="C238" s="241" t="s">
        <v>674</v>
      </c>
      <c r="D238" s="241" t="s">
        <v>333</v>
      </c>
      <c r="E238" s="8" t="s">
        <v>98</v>
      </c>
      <c r="F238" s="246">
        <v>0.0</v>
      </c>
      <c r="G238" s="35">
        <v>0.0</v>
      </c>
      <c r="H238" s="35">
        <v>0.0</v>
      </c>
      <c r="I238" s="35">
        <v>0.0</v>
      </c>
      <c r="J238" s="35">
        <v>0.0</v>
      </c>
      <c r="K238" s="35">
        <v>0.0</v>
      </c>
      <c r="L238" s="35">
        <v>0.0</v>
      </c>
      <c r="M238" s="35">
        <v>0.0</v>
      </c>
      <c r="N238" s="35">
        <v>0.0</v>
      </c>
      <c r="O238" s="35">
        <v>0.0</v>
      </c>
      <c r="P238" s="35">
        <v>0.0</v>
      </c>
      <c r="Q238" s="35">
        <v>0.0</v>
      </c>
      <c r="R238" s="35">
        <f t="shared" si="1"/>
        <v>0</v>
      </c>
      <c r="S238" s="243">
        <f t="shared" si="2"/>
        <v>0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>
        <f t="shared" si="74"/>
        <v>0</v>
      </c>
    </row>
    <row r="239" ht="12.75" customHeight="1">
      <c r="A239" s="238" t="s">
        <v>680</v>
      </c>
      <c r="B239" s="8" t="s">
        <v>349</v>
      </c>
      <c r="C239" s="241" t="s">
        <v>674</v>
      </c>
      <c r="D239" s="241" t="s">
        <v>333</v>
      </c>
      <c r="E239" s="8" t="s">
        <v>98</v>
      </c>
      <c r="F239" s="246">
        <v>0.0</v>
      </c>
      <c r="G239" s="35">
        <v>0.0</v>
      </c>
      <c r="H239" s="35">
        <v>0.0</v>
      </c>
      <c r="I239" s="35">
        <v>0.0</v>
      </c>
      <c r="J239" s="35">
        <v>0.0</v>
      </c>
      <c r="K239" s="35">
        <v>0.0</v>
      </c>
      <c r="L239" s="35">
        <v>0.0</v>
      </c>
      <c r="M239" s="35">
        <v>0.0</v>
      </c>
      <c r="N239" s="35">
        <v>0.0</v>
      </c>
      <c r="O239" s="35">
        <v>0.0</v>
      </c>
      <c r="P239" s="35">
        <v>0.0</v>
      </c>
      <c r="Q239" s="35">
        <v>0.0</v>
      </c>
      <c r="R239" s="35">
        <f t="shared" si="1"/>
        <v>0</v>
      </c>
      <c r="S239" s="243">
        <f t="shared" si="2"/>
        <v>0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>
        <f t="shared" si="74"/>
        <v>0</v>
      </c>
    </row>
    <row r="240" ht="12.75" customHeight="1">
      <c r="A240" s="238" t="s">
        <v>681</v>
      </c>
      <c r="B240" s="8" t="s">
        <v>345</v>
      </c>
      <c r="C240" s="241" t="s">
        <v>682</v>
      </c>
      <c r="D240" s="241" t="s">
        <v>333</v>
      </c>
      <c r="E240" s="8" t="s">
        <v>170</v>
      </c>
      <c r="F240" s="246">
        <f t="shared" ref="F240:Q240" si="76">2092000/12</f>
        <v>174333.3333</v>
      </c>
      <c r="G240" s="35">
        <f t="shared" si="76"/>
        <v>174333.3333</v>
      </c>
      <c r="H240" s="35">
        <f t="shared" si="76"/>
        <v>174333.3333</v>
      </c>
      <c r="I240" s="35">
        <f t="shared" si="76"/>
        <v>174333.3333</v>
      </c>
      <c r="J240" s="35">
        <f t="shared" si="76"/>
        <v>174333.3333</v>
      </c>
      <c r="K240" s="35">
        <f t="shared" si="76"/>
        <v>174333.3333</v>
      </c>
      <c r="L240" s="35">
        <f t="shared" si="76"/>
        <v>174333.3333</v>
      </c>
      <c r="M240" s="35">
        <f t="shared" si="76"/>
        <v>174333.3333</v>
      </c>
      <c r="N240" s="35">
        <f t="shared" si="76"/>
        <v>174333.3333</v>
      </c>
      <c r="O240" s="35">
        <f t="shared" si="76"/>
        <v>174333.3333</v>
      </c>
      <c r="P240" s="35">
        <f t="shared" si="76"/>
        <v>174333.3333</v>
      </c>
      <c r="Q240" s="35">
        <f t="shared" si="76"/>
        <v>174333.3333</v>
      </c>
      <c r="R240" s="35">
        <f t="shared" si="1"/>
        <v>2092000</v>
      </c>
      <c r="S240" s="243">
        <f t="shared" si="2"/>
        <v>523000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>
        <f t="shared" si="74"/>
        <v>0</v>
      </c>
    </row>
    <row r="241" ht="12.75" customHeight="1">
      <c r="A241" s="238" t="s">
        <v>683</v>
      </c>
      <c r="B241" s="8" t="s">
        <v>332</v>
      </c>
      <c r="C241" s="241" t="s">
        <v>684</v>
      </c>
      <c r="D241" s="241" t="s">
        <v>333</v>
      </c>
      <c r="E241" s="8" t="s">
        <v>100</v>
      </c>
      <c r="F241" s="246">
        <f t="shared" ref="F241:Q241" si="77">10894/12</f>
        <v>907.8333333</v>
      </c>
      <c r="G241" s="35">
        <f t="shared" si="77"/>
        <v>907.8333333</v>
      </c>
      <c r="H241" s="35">
        <f t="shared" si="77"/>
        <v>907.8333333</v>
      </c>
      <c r="I241" s="35">
        <f t="shared" si="77"/>
        <v>907.8333333</v>
      </c>
      <c r="J241" s="35">
        <f t="shared" si="77"/>
        <v>907.8333333</v>
      </c>
      <c r="K241" s="35">
        <f t="shared" si="77"/>
        <v>907.8333333</v>
      </c>
      <c r="L241" s="35">
        <f t="shared" si="77"/>
        <v>907.8333333</v>
      </c>
      <c r="M241" s="35">
        <f t="shared" si="77"/>
        <v>907.8333333</v>
      </c>
      <c r="N241" s="35">
        <f t="shared" si="77"/>
        <v>907.8333333</v>
      </c>
      <c r="O241" s="35">
        <f t="shared" si="77"/>
        <v>907.8333333</v>
      </c>
      <c r="P241" s="35">
        <f t="shared" si="77"/>
        <v>907.8333333</v>
      </c>
      <c r="Q241" s="35">
        <f t="shared" si="77"/>
        <v>907.8333333</v>
      </c>
      <c r="R241" s="35">
        <f t="shared" si="1"/>
        <v>10894</v>
      </c>
      <c r="S241" s="243">
        <f t="shared" si="2"/>
        <v>2723.5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>
        <f t="shared" si="74"/>
        <v>0</v>
      </c>
    </row>
    <row r="242" ht="12.75" customHeight="1">
      <c r="A242" s="238" t="s">
        <v>685</v>
      </c>
      <c r="B242" s="8" t="s">
        <v>339</v>
      </c>
      <c r="C242" s="241" t="s">
        <v>684</v>
      </c>
      <c r="D242" s="241" t="s">
        <v>333</v>
      </c>
      <c r="E242" s="8" t="s">
        <v>100</v>
      </c>
      <c r="F242" s="246">
        <v>0.0</v>
      </c>
      <c r="G242" s="35">
        <v>0.0</v>
      </c>
      <c r="H242" s="35">
        <v>0.0</v>
      </c>
      <c r="I242" s="35">
        <v>0.0</v>
      </c>
      <c r="J242" s="35">
        <v>0.0</v>
      </c>
      <c r="K242" s="35">
        <v>0.0</v>
      </c>
      <c r="L242" s="35">
        <v>0.0</v>
      </c>
      <c r="M242" s="35">
        <v>0.0</v>
      </c>
      <c r="N242" s="35">
        <v>0.0</v>
      </c>
      <c r="O242" s="35">
        <v>0.0</v>
      </c>
      <c r="P242" s="35">
        <v>0.0</v>
      </c>
      <c r="Q242" s="35">
        <v>0.0</v>
      </c>
      <c r="R242" s="35">
        <f t="shared" si="1"/>
        <v>0</v>
      </c>
      <c r="S242" s="243">
        <f t="shared" si="2"/>
        <v>0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>
        <f t="shared" si="74"/>
        <v>0</v>
      </c>
    </row>
    <row r="243" ht="12.75" customHeight="1">
      <c r="A243" s="238" t="s">
        <v>686</v>
      </c>
      <c r="B243" s="8" t="s">
        <v>108</v>
      </c>
      <c r="C243" s="241" t="s">
        <v>684</v>
      </c>
      <c r="D243" s="241" t="s">
        <v>312</v>
      </c>
      <c r="E243" s="8" t="s">
        <v>100</v>
      </c>
      <c r="F243" s="151">
        <v>83.33333333333333</v>
      </c>
      <c r="G243" s="74">
        <v>83.33333333333333</v>
      </c>
      <c r="H243" s="74">
        <v>83.33333333333333</v>
      </c>
      <c r="I243" s="74">
        <v>83.33333333333333</v>
      </c>
      <c r="J243" s="74">
        <v>83.33333333333333</v>
      </c>
      <c r="K243" s="74">
        <v>83.33333333333333</v>
      </c>
      <c r="L243" s="74">
        <v>83.33333333333333</v>
      </c>
      <c r="M243" s="74">
        <v>83.33333333333333</v>
      </c>
      <c r="N243" s="74">
        <v>83.33333333333333</v>
      </c>
      <c r="O243" s="74">
        <v>83.33333333333333</v>
      </c>
      <c r="P243" s="74">
        <v>83.33333333333333</v>
      </c>
      <c r="Q243" s="74">
        <v>83.33333333333333</v>
      </c>
      <c r="R243" s="35">
        <f t="shared" si="1"/>
        <v>1000</v>
      </c>
      <c r="S243" s="243">
        <f t="shared" si="2"/>
        <v>250</v>
      </c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>
        <f t="shared" si="74"/>
        <v>0</v>
      </c>
    </row>
    <row r="244" ht="12.75" customHeight="1">
      <c r="A244" s="238" t="s">
        <v>687</v>
      </c>
      <c r="B244" s="8" t="s">
        <v>89</v>
      </c>
      <c r="C244" s="241" t="s">
        <v>684</v>
      </c>
      <c r="D244" s="241" t="s">
        <v>312</v>
      </c>
      <c r="E244" s="8" t="s">
        <v>100</v>
      </c>
      <c r="F244" s="151">
        <v>583.3333333333334</v>
      </c>
      <c r="G244" s="74">
        <v>583.3333333333334</v>
      </c>
      <c r="H244" s="74">
        <v>583.3333333333334</v>
      </c>
      <c r="I244" s="74">
        <v>583.3333333333334</v>
      </c>
      <c r="J244" s="74">
        <v>583.3333333333334</v>
      </c>
      <c r="K244" s="74">
        <v>583.3333333333334</v>
      </c>
      <c r="L244" s="74">
        <v>583.3333333333334</v>
      </c>
      <c r="M244" s="74">
        <v>583.3333333333334</v>
      </c>
      <c r="N244" s="74">
        <v>583.3333333333334</v>
      </c>
      <c r="O244" s="74">
        <v>583.3333333333334</v>
      </c>
      <c r="P244" s="74">
        <v>583.3333333333334</v>
      </c>
      <c r="Q244" s="74">
        <v>583.3333333333334</v>
      </c>
      <c r="R244" s="35">
        <f t="shared" si="1"/>
        <v>7000</v>
      </c>
      <c r="S244" s="243">
        <f t="shared" si="2"/>
        <v>1750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>
        <f t="shared" si="74"/>
        <v>0</v>
      </c>
    </row>
    <row r="245" ht="12.75" customHeight="1">
      <c r="A245" s="238" t="s">
        <v>683</v>
      </c>
      <c r="B245" s="8" t="s">
        <v>332</v>
      </c>
      <c r="C245" s="241" t="s">
        <v>684</v>
      </c>
      <c r="D245" s="241" t="s">
        <v>333</v>
      </c>
      <c r="E245" s="8" t="s">
        <v>100</v>
      </c>
      <c r="F245" s="246">
        <v>0.0</v>
      </c>
      <c r="G245" s="35">
        <v>0.0</v>
      </c>
      <c r="H245" s="35">
        <v>0.0</v>
      </c>
      <c r="I245" s="242">
        <v>0.0</v>
      </c>
      <c r="J245" s="35">
        <v>0.0</v>
      </c>
      <c r="K245" s="35">
        <v>0.0</v>
      </c>
      <c r="L245" s="35">
        <v>0.0</v>
      </c>
      <c r="M245" s="35">
        <v>0.0</v>
      </c>
      <c r="N245" s="35">
        <v>0.0</v>
      </c>
      <c r="O245" s="35">
        <v>0.0</v>
      </c>
      <c r="P245" s="35">
        <v>0.0</v>
      </c>
      <c r="Q245" s="35">
        <v>0.0</v>
      </c>
      <c r="R245" s="242">
        <f t="shared" si="1"/>
        <v>0</v>
      </c>
      <c r="S245" s="243">
        <f t="shared" si="2"/>
        <v>0</v>
      </c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>
        <f t="shared" si="74"/>
        <v>0</v>
      </c>
    </row>
    <row r="246" ht="12.75" customHeight="1">
      <c r="A246" s="238" t="s">
        <v>688</v>
      </c>
      <c r="B246" s="8" t="s">
        <v>343</v>
      </c>
      <c r="C246" s="241" t="s">
        <v>684</v>
      </c>
      <c r="D246" s="241" t="s">
        <v>333</v>
      </c>
      <c r="E246" s="8" t="s">
        <v>100</v>
      </c>
      <c r="F246" s="246">
        <v>16.666666666666668</v>
      </c>
      <c r="G246" s="35">
        <v>16.666666666666668</v>
      </c>
      <c r="H246" s="35">
        <v>16.666666666666668</v>
      </c>
      <c r="I246" s="35">
        <v>16.666666666666668</v>
      </c>
      <c r="J246" s="35">
        <v>16.666666666666668</v>
      </c>
      <c r="K246" s="35">
        <v>16.666666666666668</v>
      </c>
      <c r="L246" s="35">
        <v>16.666666666666668</v>
      </c>
      <c r="M246" s="35">
        <v>16.666666666666668</v>
      </c>
      <c r="N246" s="35">
        <v>16.666666666666668</v>
      </c>
      <c r="O246" s="35">
        <v>16.666666666666668</v>
      </c>
      <c r="P246" s="35">
        <v>16.666666666666668</v>
      </c>
      <c r="Q246" s="35">
        <v>16.666666666666668</v>
      </c>
      <c r="R246" s="35">
        <f t="shared" si="1"/>
        <v>200</v>
      </c>
      <c r="S246" s="243">
        <f t="shared" si="2"/>
        <v>50</v>
      </c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>
        <f t="shared" si="74"/>
        <v>0</v>
      </c>
    </row>
    <row r="247" ht="12.75" customHeight="1">
      <c r="A247" s="238" t="s">
        <v>689</v>
      </c>
      <c r="B247" s="8" t="s">
        <v>345</v>
      </c>
      <c r="C247" s="241" t="s">
        <v>684</v>
      </c>
      <c r="D247" s="241" t="s">
        <v>333</v>
      </c>
      <c r="E247" s="8" t="s">
        <v>100</v>
      </c>
      <c r="F247" s="246">
        <v>16.666666666666668</v>
      </c>
      <c r="G247" s="35">
        <v>16.666666666666668</v>
      </c>
      <c r="H247" s="35">
        <v>16.666666666666668</v>
      </c>
      <c r="I247" s="35">
        <v>16.666666666666668</v>
      </c>
      <c r="J247" s="35">
        <v>16.666666666666668</v>
      </c>
      <c r="K247" s="35">
        <v>16.666666666666668</v>
      </c>
      <c r="L247" s="35">
        <v>16.666666666666668</v>
      </c>
      <c r="M247" s="35">
        <v>16.666666666666668</v>
      </c>
      <c r="N247" s="35">
        <v>16.666666666666668</v>
      </c>
      <c r="O247" s="35">
        <v>16.666666666666668</v>
      </c>
      <c r="P247" s="35">
        <v>16.666666666666668</v>
      </c>
      <c r="Q247" s="35">
        <v>16.666666666666668</v>
      </c>
      <c r="R247" s="35">
        <f t="shared" si="1"/>
        <v>200</v>
      </c>
      <c r="S247" s="243">
        <f t="shared" si="2"/>
        <v>50</v>
      </c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>
        <f t="shared" si="74"/>
        <v>0</v>
      </c>
    </row>
    <row r="248" ht="12.75" customHeight="1">
      <c r="A248" s="238" t="s">
        <v>690</v>
      </c>
      <c r="B248" s="8" t="s">
        <v>349</v>
      </c>
      <c r="C248" s="241" t="s">
        <v>684</v>
      </c>
      <c r="D248" s="241" t="s">
        <v>333</v>
      </c>
      <c r="E248" s="8" t="s">
        <v>100</v>
      </c>
      <c r="F248" s="246">
        <v>16.666666666666668</v>
      </c>
      <c r="G248" s="35">
        <v>16.666666666666668</v>
      </c>
      <c r="H248" s="35">
        <v>16.666666666666668</v>
      </c>
      <c r="I248" s="35">
        <v>16.666666666666668</v>
      </c>
      <c r="J248" s="35">
        <v>16.666666666666668</v>
      </c>
      <c r="K248" s="35">
        <v>16.666666666666668</v>
      </c>
      <c r="L248" s="35">
        <v>16.666666666666668</v>
      </c>
      <c r="M248" s="35">
        <v>16.666666666666668</v>
      </c>
      <c r="N248" s="35">
        <v>16.666666666666668</v>
      </c>
      <c r="O248" s="35">
        <v>16.666666666666668</v>
      </c>
      <c r="P248" s="35">
        <v>16.666666666666668</v>
      </c>
      <c r="Q248" s="35">
        <v>16.666666666666668</v>
      </c>
      <c r="R248" s="35">
        <f t="shared" si="1"/>
        <v>200</v>
      </c>
      <c r="S248" s="243">
        <f t="shared" si="2"/>
        <v>50</v>
      </c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>
        <f t="shared" si="74"/>
        <v>0</v>
      </c>
    </row>
    <row r="249" ht="12.75" customHeight="1">
      <c r="A249" s="238" t="s">
        <v>691</v>
      </c>
      <c r="B249" s="8" t="s">
        <v>332</v>
      </c>
      <c r="C249" s="241" t="s">
        <v>692</v>
      </c>
      <c r="D249" s="241" t="s">
        <v>333</v>
      </c>
      <c r="E249" s="8" t="s">
        <v>154</v>
      </c>
      <c r="F249" s="246">
        <v>0.0</v>
      </c>
      <c r="G249" s="35">
        <v>0.0</v>
      </c>
      <c r="H249" s="35">
        <v>0.0</v>
      </c>
      <c r="I249" s="35">
        <v>0.0</v>
      </c>
      <c r="J249" s="35">
        <v>0.0</v>
      </c>
      <c r="K249" s="35">
        <v>0.0</v>
      </c>
      <c r="L249" s="35">
        <v>0.0</v>
      </c>
      <c r="M249" s="35">
        <v>0.0</v>
      </c>
      <c r="N249" s="35">
        <v>0.0</v>
      </c>
      <c r="O249" s="35">
        <v>0.0</v>
      </c>
      <c r="P249" s="35">
        <v>0.0</v>
      </c>
      <c r="Q249" s="35">
        <v>0.0</v>
      </c>
      <c r="R249" s="35">
        <f t="shared" si="1"/>
        <v>0</v>
      </c>
      <c r="S249" s="243">
        <f t="shared" si="2"/>
        <v>0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>
        <f t="shared" si="74"/>
        <v>0</v>
      </c>
    </row>
    <row r="250" ht="12.75" customHeight="1">
      <c r="A250" s="238" t="s">
        <v>693</v>
      </c>
      <c r="B250" s="8" t="s">
        <v>339</v>
      </c>
      <c r="C250" s="241" t="s">
        <v>692</v>
      </c>
      <c r="D250" s="241" t="s">
        <v>333</v>
      </c>
      <c r="E250" s="8" t="s">
        <v>154</v>
      </c>
      <c r="F250" s="246">
        <f t="shared" ref="F250:Q250" si="78">133100/12</f>
        <v>11091.66667</v>
      </c>
      <c r="G250" s="35">
        <f t="shared" si="78"/>
        <v>11091.66667</v>
      </c>
      <c r="H250" s="35">
        <f t="shared" si="78"/>
        <v>11091.66667</v>
      </c>
      <c r="I250" s="35">
        <f t="shared" si="78"/>
        <v>11091.66667</v>
      </c>
      <c r="J250" s="35">
        <f t="shared" si="78"/>
        <v>11091.66667</v>
      </c>
      <c r="K250" s="35">
        <f t="shared" si="78"/>
        <v>11091.66667</v>
      </c>
      <c r="L250" s="35">
        <f t="shared" si="78"/>
        <v>11091.66667</v>
      </c>
      <c r="M250" s="35">
        <f t="shared" si="78"/>
        <v>11091.66667</v>
      </c>
      <c r="N250" s="35">
        <f t="shared" si="78"/>
        <v>11091.66667</v>
      </c>
      <c r="O250" s="35">
        <f t="shared" si="78"/>
        <v>11091.66667</v>
      </c>
      <c r="P250" s="35">
        <f t="shared" si="78"/>
        <v>11091.66667</v>
      </c>
      <c r="Q250" s="35">
        <f t="shared" si="78"/>
        <v>11091.66667</v>
      </c>
      <c r="R250" s="35">
        <f t="shared" si="1"/>
        <v>133100</v>
      </c>
      <c r="S250" s="243">
        <f t="shared" si="2"/>
        <v>33275</v>
      </c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>
        <f t="shared" si="74"/>
        <v>0</v>
      </c>
    </row>
    <row r="251" ht="12.75" customHeight="1">
      <c r="A251" s="238" t="s">
        <v>694</v>
      </c>
      <c r="B251" s="8" t="s">
        <v>108</v>
      </c>
      <c r="C251" s="241" t="s">
        <v>692</v>
      </c>
      <c r="D251" s="241" t="s">
        <v>312</v>
      </c>
      <c r="E251" s="8" t="s">
        <v>154</v>
      </c>
      <c r="F251" s="259">
        <v>0.0</v>
      </c>
      <c r="G251" s="74">
        <v>0.0</v>
      </c>
      <c r="H251" s="74">
        <v>0.0</v>
      </c>
      <c r="I251" s="74">
        <v>0.0</v>
      </c>
      <c r="J251" s="74">
        <v>0.0</v>
      </c>
      <c r="K251" s="74">
        <v>0.0</v>
      </c>
      <c r="L251" s="74">
        <v>0.0</v>
      </c>
      <c r="M251" s="74">
        <v>0.0</v>
      </c>
      <c r="N251" s="74">
        <v>0.0</v>
      </c>
      <c r="O251" s="74">
        <v>0.0</v>
      </c>
      <c r="P251" s="74">
        <v>0.0</v>
      </c>
      <c r="Q251" s="74">
        <v>0.0</v>
      </c>
      <c r="R251" s="35">
        <f t="shared" si="1"/>
        <v>0</v>
      </c>
      <c r="S251" s="243">
        <f t="shared" si="2"/>
        <v>0</v>
      </c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>
        <f t="shared" si="74"/>
        <v>0</v>
      </c>
    </row>
    <row r="252" ht="12.75" customHeight="1">
      <c r="A252" s="238" t="s">
        <v>695</v>
      </c>
      <c r="B252" s="8" t="s">
        <v>89</v>
      </c>
      <c r="C252" s="241" t="s">
        <v>692</v>
      </c>
      <c r="D252" s="241" t="s">
        <v>312</v>
      </c>
      <c r="E252" s="8" t="s">
        <v>154</v>
      </c>
      <c r="F252" s="259">
        <v>0.0</v>
      </c>
      <c r="G252" s="74">
        <v>0.0</v>
      </c>
      <c r="H252" s="74">
        <v>0.0</v>
      </c>
      <c r="I252" s="74">
        <v>0.0</v>
      </c>
      <c r="J252" s="74">
        <v>0.0</v>
      </c>
      <c r="K252" s="74">
        <v>0.0</v>
      </c>
      <c r="L252" s="74">
        <v>0.0</v>
      </c>
      <c r="M252" s="74">
        <v>0.0</v>
      </c>
      <c r="N252" s="74">
        <v>0.0</v>
      </c>
      <c r="O252" s="74">
        <v>0.0</v>
      </c>
      <c r="P252" s="74">
        <v>0.0</v>
      </c>
      <c r="Q252" s="74">
        <v>0.0</v>
      </c>
      <c r="R252" s="35">
        <f t="shared" si="1"/>
        <v>0</v>
      </c>
      <c r="S252" s="243">
        <f t="shared" si="2"/>
        <v>0</v>
      </c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>
        <f t="shared" si="74"/>
        <v>0</v>
      </c>
    </row>
    <row r="253" ht="12.75" customHeight="1">
      <c r="A253" s="238" t="s">
        <v>696</v>
      </c>
      <c r="B253" s="8" t="s">
        <v>343</v>
      </c>
      <c r="C253" s="241" t="s">
        <v>692</v>
      </c>
      <c r="D253" s="241" t="s">
        <v>333</v>
      </c>
      <c r="E253" s="8" t="s">
        <v>154</v>
      </c>
      <c r="F253" s="246">
        <v>0.0</v>
      </c>
      <c r="G253" s="35">
        <v>0.0</v>
      </c>
      <c r="H253" s="35">
        <v>0.0</v>
      </c>
      <c r="I253" s="35">
        <v>0.0</v>
      </c>
      <c r="J253" s="35">
        <v>0.0</v>
      </c>
      <c r="K253" s="35">
        <v>0.0</v>
      </c>
      <c r="L253" s="35">
        <v>0.0</v>
      </c>
      <c r="M253" s="35">
        <v>0.0</v>
      </c>
      <c r="N253" s="35">
        <v>0.0</v>
      </c>
      <c r="O253" s="35">
        <v>0.0</v>
      </c>
      <c r="P253" s="35">
        <v>0.0</v>
      </c>
      <c r="Q253" s="35">
        <v>0.0</v>
      </c>
      <c r="R253" s="35">
        <f t="shared" si="1"/>
        <v>0</v>
      </c>
      <c r="S253" s="243">
        <f t="shared" si="2"/>
        <v>0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>
        <f t="shared" si="74"/>
        <v>0</v>
      </c>
    </row>
    <row r="254" ht="12.75" customHeight="1">
      <c r="A254" s="238" t="s">
        <v>697</v>
      </c>
      <c r="B254" s="8" t="s">
        <v>345</v>
      </c>
      <c r="C254" s="241" t="s">
        <v>692</v>
      </c>
      <c r="D254" s="241" t="s">
        <v>333</v>
      </c>
      <c r="E254" s="8" t="s">
        <v>154</v>
      </c>
      <c r="F254" s="246">
        <v>0.0</v>
      </c>
      <c r="G254" s="35">
        <v>0.0</v>
      </c>
      <c r="H254" s="35">
        <v>0.0</v>
      </c>
      <c r="I254" s="35">
        <v>0.0</v>
      </c>
      <c r="J254" s="35">
        <v>0.0</v>
      </c>
      <c r="K254" s="35">
        <v>0.0</v>
      </c>
      <c r="L254" s="35">
        <v>0.0</v>
      </c>
      <c r="M254" s="35">
        <v>0.0</v>
      </c>
      <c r="N254" s="35">
        <v>0.0</v>
      </c>
      <c r="O254" s="35">
        <v>0.0</v>
      </c>
      <c r="P254" s="35">
        <v>0.0</v>
      </c>
      <c r="Q254" s="35">
        <v>0.0</v>
      </c>
      <c r="R254" s="35">
        <f t="shared" si="1"/>
        <v>0</v>
      </c>
      <c r="S254" s="243">
        <f t="shared" si="2"/>
        <v>0</v>
      </c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>
        <f t="shared" si="74"/>
        <v>0</v>
      </c>
    </row>
    <row r="255" ht="12.75" customHeight="1">
      <c r="A255" s="238" t="s">
        <v>698</v>
      </c>
      <c r="B255" s="8" t="s">
        <v>349</v>
      </c>
      <c r="C255" s="241" t="s">
        <v>692</v>
      </c>
      <c r="D255" s="241" t="s">
        <v>333</v>
      </c>
      <c r="E255" s="8" t="s">
        <v>154</v>
      </c>
      <c r="F255" s="246">
        <v>0.0</v>
      </c>
      <c r="G255" s="35">
        <v>0.0</v>
      </c>
      <c r="H255" s="35">
        <v>0.0</v>
      </c>
      <c r="I255" s="35">
        <v>0.0</v>
      </c>
      <c r="J255" s="35">
        <v>0.0</v>
      </c>
      <c r="K255" s="35">
        <v>0.0</v>
      </c>
      <c r="L255" s="35">
        <v>0.0</v>
      </c>
      <c r="M255" s="35">
        <v>0.0</v>
      </c>
      <c r="N255" s="35">
        <v>0.0</v>
      </c>
      <c r="O255" s="35">
        <v>0.0</v>
      </c>
      <c r="P255" s="35">
        <v>0.0</v>
      </c>
      <c r="Q255" s="35">
        <v>0.0</v>
      </c>
      <c r="R255" s="35">
        <f t="shared" si="1"/>
        <v>0</v>
      </c>
      <c r="S255" s="243">
        <f t="shared" si="2"/>
        <v>0</v>
      </c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>
        <f t="shared" si="74"/>
        <v>0</v>
      </c>
    </row>
    <row r="256" ht="12.75" customHeight="1">
      <c r="A256" s="238" t="s">
        <v>350</v>
      </c>
      <c r="B256" s="8" t="s">
        <v>332</v>
      </c>
      <c r="C256" s="241" t="s">
        <v>699</v>
      </c>
      <c r="D256" s="241" t="s">
        <v>333</v>
      </c>
      <c r="E256" s="8" t="s">
        <v>123</v>
      </c>
      <c r="F256" s="246">
        <v>0.0</v>
      </c>
      <c r="G256" s="35">
        <v>0.0</v>
      </c>
      <c r="H256" s="35">
        <v>0.0</v>
      </c>
      <c r="I256" s="35">
        <v>0.0</v>
      </c>
      <c r="J256" s="35">
        <v>0.0</v>
      </c>
      <c r="K256" s="35">
        <v>0.0</v>
      </c>
      <c r="L256" s="35">
        <v>0.0</v>
      </c>
      <c r="M256" s="35">
        <v>0.0</v>
      </c>
      <c r="N256" s="35">
        <v>0.0</v>
      </c>
      <c r="O256" s="35">
        <v>0.0</v>
      </c>
      <c r="P256" s="35">
        <v>0.0</v>
      </c>
      <c r="Q256" s="35">
        <v>0.0</v>
      </c>
      <c r="R256" s="35">
        <f t="shared" si="1"/>
        <v>0</v>
      </c>
      <c r="S256" s="243">
        <f t="shared" si="2"/>
        <v>0</v>
      </c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>
        <f t="shared" si="74"/>
        <v>0</v>
      </c>
    </row>
    <row r="257" ht="12.75" customHeight="1">
      <c r="A257" s="238" t="s">
        <v>700</v>
      </c>
      <c r="B257" s="8" t="s">
        <v>339</v>
      </c>
      <c r="C257" s="241" t="s">
        <v>699</v>
      </c>
      <c r="D257" s="241" t="s">
        <v>333</v>
      </c>
      <c r="E257" s="8" t="s">
        <v>123</v>
      </c>
      <c r="F257" s="246">
        <f t="shared" ref="F257:Q257" si="79">153250/12</f>
        <v>12770.83333</v>
      </c>
      <c r="G257" s="35">
        <f t="shared" si="79"/>
        <v>12770.83333</v>
      </c>
      <c r="H257" s="35">
        <f t="shared" si="79"/>
        <v>12770.83333</v>
      </c>
      <c r="I257" s="35">
        <f t="shared" si="79"/>
        <v>12770.83333</v>
      </c>
      <c r="J257" s="35">
        <f t="shared" si="79"/>
        <v>12770.83333</v>
      </c>
      <c r="K257" s="35">
        <f t="shared" si="79"/>
        <v>12770.83333</v>
      </c>
      <c r="L257" s="35">
        <f t="shared" si="79"/>
        <v>12770.83333</v>
      </c>
      <c r="M257" s="35">
        <f t="shared" si="79"/>
        <v>12770.83333</v>
      </c>
      <c r="N257" s="35">
        <f t="shared" si="79"/>
        <v>12770.83333</v>
      </c>
      <c r="O257" s="35">
        <f t="shared" si="79"/>
        <v>12770.83333</v>
      </c>
      <c r="P257" s="35">
        <f t="shared" si="79"/>
        <v>12770.83333</v>
      </c>
      <c r="Q257" s="35">
        <f t="shared" si="79"/>
        <v>12770.83333</v>
      </c>
      <c r="R257" s="35">
        <f t="shared" si="1"/>
        <v>153250</v>
      </c>
      <c r="S257" s="243">
        <f t="shared" si="2"/>
        <v>38312.5</v>
      </c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>
        <f t="shared" si="74"/>
        <v>0</v>
      </c>
    </row>
    <row r="258" ht="12.75" customHeight="1">
      <c r="A258" s="238" t="s">
        <v>701</v>
      </c>
      <c r="B258" s="8" t="s">
        <v>108</v>
      </c>
      <c r="C258" s="241" t="s">
        <v>699</v>
      </c>
      <c r="D258" s="241" t="s">
        <v>312</v>
      </c>
      <c r="E258" s="8" t="s">
        <v>123</v>
      </c>
      <c r="F258" s="259">
        <v>0.0</v>
      </c>
      <c r="G258" s="74">
        <v>0.0</v>
      </c>
      <c r="H258" s="74">
        <v>0.0</v>
      </c>
      <c r="I258" s="74">
        <v>0.0</v>
      </c>
      <c r="J258" s="74">
        <v>0.0</v>
      </c>
      <c r="K258" s="74">
        <v>0.0</v>
      </c>
      <c r="L258" s="74">
        <v>0.0</v>
      </c>
      <c r="M258" s="74">
        <v>0.0</v>
      </c>
      <c r="N258" s="74">
        <v>0.0</v>
      </c>
      <c r="O258" s="74">
        <v>0.0</v>
      </c>
      <c r="P258" s="74">
        <v>0.0</v>
      </c>
      <c r="Q258" s="74">
        <v>0.0</v>
      </c>
      <c r="R258" s="35">
        <f t="shared" si="1"/>
        <v>0</v>
      </c>
      <c r="S258" s="243">
        <f t="shared" si="2"/>
        <v>0</v>
      </c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>
        <f t="shared" si="74"/>
        <v>0</v>
      </c>
    </row>
    <row r="259" ht="12.75" customHeight="1">
      <c r="A259" s="238" t="s">
        <v>702</v>
      </c>
      <c r="B259" s="8" t="s">
        <v>89</v>
      </c>
      <c r="C259" s="241" t="s">
        <v>699</v>
      </c>
      <c r="D259" s="241" t="s">
        <v>312</v>
      </c>
      <c r="E259" s="8" t="s">
        <v>123</v>
      </c>
      <c r="F259" s="259">
        <v>0.0</v>
      </c>
      <c r="G259" s="74">
        <v>0.0</v>
      </c>
      <c r="H259" s="74">
        <v>0.0</v>
      </c>
      <c r="I259" s="74">
        <v>0.0</v>
      </c>
      <c r="J259" s="74">
        <v>0.0</v>
      </c>
      <c r="K259" s="74">
        <v>0.0</v>
      </c>
      <c r="L259" s="74">
        <v>0.0</v>
      </c>
      <c r="M259" s="74">
        <v>0.0</v>
      </c>
      <c r="N259" s="74">
        <v>0.0</v>
      </c>
      <c r="O259" s="74">
        <v>0.0</v>
      </c>
      <c r="P259" s="74">
        <v>0.0</v>
      </c>
      <c r="Q259" s="74">
        <v>0.0</v>
      </c>
      <c r="R259" s="35">
        <f t="shared" si="1"/>
        <v>0</v>
      </c>
      <c r="S259" s="243">
        <f t="shared" si="2"/>
        <v>0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>
        <f t="shared" si="74"/>
        <v>0</v>
      </c>
    </row>
    <row r="260" ht="12.75" customHeight="1">
      <c r="A260" s="238" t="s">
        <v>703</v>
      </c>
      <c r="B260" s="8" t="s">
        <v>343</v>
      </c>
      <c r="C260" s="241" t="s">
        <v>699</v>
      </c>
      <c r="D260" s="241" t="s">
        <v>333</v>
      </c>
      <c r="E260" s="8" t="s">
        <v>123</v>
      </c>
      <c r="F260" s="246">
        <v>0.0</v>
      </c>
      <c r="G260" s="35">
        <v>0.0</v>
      </c>
      <c r="H260" s="35">
        <v>0.0</v>
      </c>
      <c r="I260" s="35">
        <v>0.0</v>
      </c>
      <c r="J260" s="35">
        <v>0.0</v>
      </c>
      <c r="K260" s="35">
        <v>0.0</v>
      </c>
      <c r="L260" s="35">
        <v>0.0</v>
      </c>
      <c r="M260" s="35">
        <v>0.0</v>
      </c>
      <c r="N260" s="35">
        <v>0.0</v>
      </c>
      <c r="O260" s="35">
        <v>0.0</v>
      </c>
      <c r="P260" s="35">
        <v>0.0</v>
      </c>
      <c r="Q260" s="35">
        <v>0.0</v>
      </c>
      <c r="R260" s="35">
        <f t="shared" si="1"/>
        <v>0</v>
      </c>
      <c r="S260" s="243">
        <f t="shared" si="2"/>
        <v>0</v>
      </c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>
        <f t="shared" si="74"/>
        <v>0</v>
      </c>
    </row>
    <row r="261" ht="12.75" customHeight="1">
      <c r="A261" s="238" t="s">
        <v>704</v>
      </c>
      <c r="B261" s="8" t="s">
        <v>345</v>
      </c>
      <c r="C261" s="241" t="s">
        <v>699</v>
      </c>
      <c r="D261" s="241" t="s">
        <v>333</v>
      </c>
      <c r="E261" s="8" t="s">
        <v>123</v>
      </c>
      <c r="F261" s="246">
        <v>0.0</v>
      </c>
      <c r="G261" s="35">
        <v>0.0</v>
      </c>
      <c r="H261" s="35">
        <v>0.0</v>
      </c>
      <c r="I261" s="35">
        <v>0.0</v>
      </c>
      <c r="J261" s="35">
        <v>0.0</v>
      </c>
      <c r="K261" s="35">
        <v>0.0</v>
      </c>
      <c r="L261" s="35">
        <v>0.0</v>
      </c>
      <c r="M261" s="35">
        <v>0.0</v>
      </c>
      <c r="N261" s="35">
        <v>0.0</v>
      </c>
      <c r="O261" s="35">
        <v>0.0</v>
      </c>
      <c r="P261" s="35">
        <v>0.0</v>
      </c>
      <c r="Q261" s="35">
        <v>0.0</v>
      </c>
      <c r="R261" s="35">
        <f t="shared" si="1"/>
        <v>0</v>
      </c>
      <c r="S261" s="243">
        <f t="shared" si="2"/>
        <v>0</v>
      </c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>
        <f t="shared" si="74"/>
        <v>0</v>
      </c>
    </row>
    <row r="262" ht="12.75" customHeight="1">
      <c r="A262" s="238" t="s">
        <v>705</v>
      </c>
      <c r="B262" s="8" t="s">
        <v>349</v>
      </c>
      <c r="C262" s="241" t="s">
        <v>699</v>
      </c>
      <c r="D262" s="241" t="s">
        <v>333</v>
      </c>
      <c r="E262" s="8" t="s">
        <v>123</v>
      </c>
      <c r="F262" s="246">
        <v>0.0</v>
      </c>
      <c r="G262" s="35">
        <v>0.0</v>
      </c>
      <c r="H262" s="35">
        <v>0.0</v>
      </c>
      <c r="I262" s="35">
        <v>0.0</v>
      </c>
      <c r="J262" s="35">
        <v>0.0</v>
      </c>
      <c r="K262" s="35">
        <v>0.0</v>
      </c>
      <c r="L262" s="35">
        <v>0.0</v>
      </c>
      <c r="M262" s="35">
        <v>0.0</v>
      </c>
      <c r="N262" s="35">
        <v>0.0</v>
      </c>
      <c r="O262" s="35">
        <v>0.0</v>
      </c>
      <c r="P262" s="35">
        <v>0.0</v>
      </c>
      <c r="Q262" s="35">
        <v>0.0</v>
      </c>
      <c r="R262" s="35">
        <f t="shared" si="1"/>
        <v>0</v>
      </c>
      <c r="S262" s="243">
        <f t="shared" si="2"/>
        <v>0</v>
      </c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>
        <f t="shared" si="74"/>
        <v>0</v>
      </c>
    </row>
    <row r="263" ht="12.75" customHeight="1">
      <c r="A263" s="238" t="s">
        <v>706</v>
      </c>
      <c r="B263" s="8" t="s">
        <v>332</v>
      </c>
      <c r="C263" s="241" t="s">
        <v>707</v>
      </c>
      <c r="D263" s="241" t="s">
        <v>333</v>
      </c>
      <c r="E263" s="8" t="s">
        <v>80</v>
      </c>
      <c r="F263" s="246">
        <v>16064.42</v>
      </c>
      <c r="G263" s="35">
        <v>16064.42</v>
      </c>
      <c r="H263" s="35">
        <v>16064.42</v>
      </c>
      <c r="I263" s="35">
        <v>16064.42</v>
      </c>
      <c r="J263" s="35">
        <v>16064.42</v>
      </c>
      <c r="K263" s="35">
        <v>16064.42</v>
      </c>
      <c r="L263" s="35">
        <v>16064.42</v>
      </c>
      <c r="M263" s="35">
        <v>16064.42</v>
      </c>
      <c r="N263" s="35">
        <v>16064.42</v>
      </c>
      <c r="O263" s="35">
        <v>16064.42</v>
      </c>
      <c r="P263" s="35">
        <v>16064.42</v>
      </c>
      <c r="Q263" s="35">
        <v>16064.42</v>
      </c>
      <c r="R263" s="35">
        <f t="shared" si="1"/>
        <v>192773.04</v>
      </c>
      <c r="S263" s="243">
        <f t="shared" si="2"/>
        <v>48193.26</v>
      </c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>
        <f t="shared" si="74"/>
        <v>0</v>
      </c>
    </row>
    <row r="264" ht="12.75" customHeight="1">
      <c r="A264" s="238" t="s">
        <v>708</v>
      </c>
      <c r="B264" s="8" t="s">
        <v>339</v>
      </c>
      <c r="C264" s="241" t="s">
        <v>707</v>
      </c>
      <c r="D264" s="241" t="s">
        <v>333</v>
      </c>
      <c r="E264" s="8" t="s">
        <v>80</v>
      </c>
      <c r="F264" s="246">
        <v>0.0</v>
      </c>
      <c r="G264" s="35">
        <v>0.0</v>
      </c>
      <c r="H264" s="35">
        <v>0.0</v>
      </c>
      <c r="I264" s="35">
        <v>0.0</v>
      </c>
      <c r="J264" s="35">
        <v>0.0</v>
      </c>
      <c r="K264" s="35">
        <v>0.0</v>
      </c>
      <c r="L264" s="35">
        <v>0.0</v>
      </c>
      <c r="M264" s="35">
        <v>0.0</v>
      </c>
      <c r="N264" s="35">
        <v>0.0</v>
      </c>
      <c r="O264" s="35">
        <v>0.0</v>
      </c>
      <c r="P264" s="35">
        <v>0.0</v>
      </c>
      <c r="Q264" s="35">
        <v>0.0</v>
      </c>
      <c r="R264" s="35">
        <f t="shared" si="1"/>
        <v>0</v>
      </c>
      <c r="S264" s="243">
        <f t="shared" si="2"/>
        <v>0</v>
      </c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>
        <f t="shared" si="74"/>
        <v>0</v>
      </c>
    </row>
    <row r="265" ht="12.75" customHeight="1">
      <c r="A265" s="238" t="s">
        <v>709</v>
      </c>
      <c r="B265" s="8" t="s">
        <v>108</v>
      </c>
      <c r="C265" s="241" t="s">
        <v>707</v>
      </c>
      <c r="D265" s="241" t="s">
        <v>312</v>
      </c>
      <c r="E265" s="8" t="s">
        <v>80</v>
      </c>
      <c r="F265" s="259">
        <v>0.0</v>
      </c>
      <c r="G265" s="74">
        <v>0.0</v>
      </c>
      <c r="H265" s="74">
        <v>0.0</v>
      </c>
      <c r="I265" s="74">
        <v>0.0</v>
      </c>
      <c r="J265" s="74">
        <v>0.0</v>
      </c>
      <c r="K265" s="74">
        <v>0.0</v>
      </c>
      <c r="L265" s="74">
        <v>0.0</v>
      </c>
      <c r="M265" s="74">
        <v>0.0</v>
      </c>
      <c r="N265" s="74">
        <v>0.0</v>
      </c>
      <c r="O265" s="74">
        <v>0.0</v>
      </c>
      <c r="P265" s="74">
        <v>0.0</v>
      </c>
      <c r="Q265" s="74">
        <v>0.0</v>
      </c>
      <c r="R265" s="35">
        <f t="shared" si="1"/>
        <v>0</v>
      </c>
      <c r="S265" s="243">
        <f t="shared" si="2"/>
        <v>0</v>
      </c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>
        <f t="shared" si="74"/>
        <v>0</v>
      </c>
    </row>
    <row r="266" ht="12.75" customHeight="1">
      <c r="A266" s="238" t="s">
        <v>710</v>
      </c>
      <c r="B266" s="8" t="s">
        <v>89</v>
      </c>
      <c r="C266" s="241" t="s">
        <v>707</v>
      </c>
      <c r="D266" s="241" t="s">
        <v>312</v>
      </c>
      <c r="E266" s="8" t="s">
        <v>80</v>
      </c>
      <c r="F266" s="259">
        <v>0.0</v>
      </c>
      <c r="G266" s="74">
        <v>0.0</v>
      </c>
      <c r="H266" s="74">
        <v>0.0</v>
      </c>
      <c r="I266" s="74">
        <v>0.0</v>
      </c>
      <c r="J266" s="74">
        <v>0.0</v>
      </c>
      <c r="K266" s="74">
        <v>0.0</v>
      </c>
      <c r="L266" s="74">
        <v>0.0</v>
      </c>
      <c r="M266" s="74">
        <v>0.0</v>
      </c>
      <c r="N266" s="74">
        <v>0.0</v>
      </c>
      <c r="O266" s="74">
        <v>0.0</v>
      </c>
      <c r="P266" s="74">
        <v>0.0</v>
      </c>
      <c r="Q266" s="74">
        <v>0.0</v>
      </c>
      <c r="R266" s="35">
        <f t="shared" si="1"/>
        <v>0</v>
      </c>
      <c r="S266" s="243">
        <f t="shared" si="2"/>
        <v>0</v>
      </c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>
        <f t="shared" si="74"/>
        <v>0</v>
      </c>
    </row>
    <row r="267" ht="12.75" customHeight="1">
      <c r="A267" s="238" t="s">
        <v>706</v>
      </c>
      <c r="B267" s="8" t="s">
        <v>332</v>
      </c>
      <c r="C267" s="241" t="s">
        <v>707</v>
      </c>
      <c r="D267" s="241" t="s">
        <v>333</v>
      </c>
      <c r="E267" s="8" t="s">
        <v>80</v>
      </c>
      <c r="F267" s="246">
        <v>0.0</v>
      </c>
      <c r="G267" s="35">
        <v>0.0</v>
      </c>
      <c r="H267" s="35">
        <v>0.0</v>
      </c>
      <c r="I267" s="242">
        <v>0.0</v>
      </c>
      <c r="J267" s="35">
        <v>0.0</v>
      </c>
      <c r="K267" s="35">
        <v>0.0</v>
      </c>
      <c r="L267" s="35">
        <v>0.0</v>
      </c>
      <c r="M267" s="35">
        <v>0.0</v>
      </c>
      <c r="N267" s="35">
        <v>0.0</v>
      </c>
      <c r="O267" s="35">
        <v>0.0</v>
      </c>
      <c r="P267" s="35">
        <v>0.0</v>
      </c>
      <c r="Q267" s="35">
        <v>0.0</v>
      </c>
      <c r="R267" s="242">
        <f t="shared" si="1"/>
        <v>0</v>
      </c>
      <c r="S267" s="243">
        <f t="shared" si="2"/>
        <v>0</v>
      </c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>
        <f t="shared" si="74"/>
        <v>0</v>
      </c>
    </row>
    <row r="268" ht="12.75" customHeight="1">
      <c r="A268" s="238" t="s">
        <v>711</v>
      </c>
      <c r="B268" s="8" t="s">
        <v>343</v>
      </c>
      <c r="C268" s="241" t="s">
        <v>707</v>
      </c>
      <c r="D268" s="241" t="s">
        <v>333</v>
      </c>
      <c r="E268" s="8" t="s">
        <v>80</v>
      </c>
      <c r="F268" s="246">
        <v>0.0</v>
      </c>
      <c r="G268" s="35">
        <v>0.0</v>
      </c>
      <c r="H268" s="35">
        <v>0.0</v>
      </c>
      <c r="I268" s="35">
        <v>0.0</v>
      </c>
      <c r="J268" s="35">
        <v>0.0</v>
      </c>
      <c r="K268" s="35">
        <v>0.0</v>
      </c>
      <c r="L268" s="35">
        <v>0.0</v>
      </c>
      <c r="M268" s="35">
        <v>0.0</v>
      </c>
      <c r="N268" s="35">
        <v>0.0</v>
      </c>
      <c r="O268" s="35">
        <v>0.0</v>
      </c>
      <c r="P268" s="35">
        <v>0.0</v>
      </c>
      <c r="Q268" s="35">
        <v>0.0</v>
      </c>
      <c r="R268" s="35">
        <f t="shared" si="1"/>
        <v>0</v>
      </c>
      <c r="S268" s="243">
        <f t="shared" si="2"/>
        <v>0</v>
      </c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>
        <f t="shared" si="74"/>
        <v>0</v>
      </c>
    </row>
    <row r="269" ht="12.75" customHeight="1">
      <c r="A269" s="238" t="s">
        <v>712</v>
      </c>
      <c r="B269" s="8" t="s">
        <v>345</v>
      </c>
      <c r="C269" s="241" t="s">
        <v>707</v>
      </c>
      <c r="D269" s="241" t="s">
        <v>333</v>
      </c>
      <c r="E269" s="8" t="s">
        <v>80</v>
      </c>
      <c r="F269" s="246">
        <v>7512.75</v>
      </c>
      <c r="G269" s="35">
        <v>7512.75</v>
      </c>
      <c r="H269" s="35">
        <v>7512.75</v>
      </c>
      <c r="I269" s="35">
        <v>7512.75</v>
      </c>
      <c r="J269" s="35">
        <v>7512.75</v>
      </c>
      <c r="K269" s="35">
        <v>7512.75</v>
      </c>
      <c r="L269" s="35">
        <v>7512.75</v>
      </c>
      <c r="M269" s="35">
        <v>7512.75</v>
      </c>
      <c r="N269" s="35">
        <v>7512.75</v>
      </c>
      <c r="O269" s="35">
        <v>7512.75</v>
      </c>
      <c r="P269" s="35">
        <v>7512.75</v>
      </c>
      <c r="Q269" s="35">
        <v>7512.75</v>
      </c>
      <c r="R269" s="35">
        <f t="shared" si="1"/>
        <v>90153</v>
      </c>
      <c r="S269" s="243">
        <f t="shared" si="2"/>
        <v>22538.25</v>
      </c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>
        <f t="shared" si="74"/>
        <v>0</v>
      </c>
    </row>
    <row r="270" ht="12.75" customHeight="1">
      <c r="A270" s="238" t="s">
        <v>713</v>
      </c>
      <c r="B270" s="8" t="s">
        <v>349</v>
      </c>
      <c r="C270" s="241" t="s">
        <v>707</v>
      </c>
      <c r="D270" s="241" t="s">
        <v>333</v>
      </c>
      <c r="E270" s="8" t="s">
        <v>80</v>
      </c>
      <c r="F270" s="246">
        <v>3356.6666666666665</v>
      </c>
      <c r="G270" s="35">
        <v>3356.6666666666665</v>
      </c>
      <c r="H270" s="35">
        <v>3356.6666666666665</v>
      </c>
      <c r="I270" s="35">
        <v>3356.6666666666665</v>
      </c>
      <c r="J270" s="35">
        <v>3356.6666666666665</v>
      </c>
      <c r="K270" s="35">
        <v>3356.6666666666665</v>
      </c>
      <c r="L270" s="35">
        <v>3356.6666666666665</v>
      </c>
      <c r="M270" s="35">
        <v>3356.6666666666665</v>
      </c>
      <c r="N270" s="35">
        <v>3356.6666666666665</v>
      </c>
      <c r="O270" s="35">
        <v>3356.6666666666665</v>
      </c>
      <c r="P270" s="35">
        <v>3356.6666666666665</v>
      </c>
      <c r="Q270" s="35">
        <v>3356.6666666666665</v>
      </c>
      <c r="R270" s="35">
        <f t="shared" si="1"/>
        <v>40280</v>
      </c>
      <c r="S270" s="243">
        <f t="shared" si="2"/>
        <v>10070</v>
      </c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>
        <f t="shared" si="74"/>
        <v>0</v>
      </c>
    </row>
    <row r="271" ht="12.75" customHeight="1">
      <c r="A271" s="238" t="s">
        <v>714</v>
      </c>
      <c r="B271" s="8" t="s">
        <v>332</v>
      </c>
      <c r="C271" s="241" t="s">
        <v>715</v>
      </c>
      <c r="D271" s="241" t="s">
        <v>333</v>
      </c>
      <c r="E271" s="8" t="s">
        <v>104</v>
      </c>
      <c r="F271" s="246">
        <v>5000.0</v>
      </c>
      <c r="G271" s="35">
        <v>5000.0</v>
      </c>
      <c r="H271" s="35">
        <v>5000.0</v>
      </c>
      <c r="I271" s="35">
        <v>5000.0</v>
      </c>
      <c r="J271" s="35">
        <v>5000.0</v>
      </c>
      <c r="K271" s="35">
        <v>5000.0</v>
      </c>
      <c r="L271" s="35">
        <v>5000.0</v>
      </c>
      <c r="M271" s="35">
        <v>5000.0</v>
      </c>
      <c r="N271" s="35">
        <v>5000.0</v>
      </c>
      <c r="O271" s="35">
        <v>5000.0</v>
      </c>
      <c r="P271" s="35">
        <v>5000.0</v>
      </c>
      <c r="Q271" s="35">
        <v>5000.0</v>
      </c>
      <c r="R271" s="35">
        <f t="shared" si="1"/>
        <v>60000</v>
      </c>
      <c r="S271" s="243">
        <f t="shared" si="2"/>
        <v>15000</v>
      </c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>
        <f t="shared" si="74"/>
        <v>0</v>
      </c>
    </row>
    <row r="272" ht="12.75" customHeight="1">
      <c r="A272" s="238" t="s">
        <v>716</v>
      </c>
      <c r="B272" s="8" t="s">
        <v>339</v>
      </c>
      <c r="C272" s="241" t="s">
        <v>715</v>
      </c>
      <c r="D272" s="241" t="s">
        <v>333</v>
      </c>
      <c r="E272" s="8" t="s">
        <v>104</v>
      </c>
      <c r="F272" s="246">
        <v>0.0</v>
      </c>
      <c r="G272" s="35">
        <v>0.0</v>
      </c>
      <c r="H272" s="35">
        <v>0.0</v>
      </c>
      <c r="I272" s="35">
        <v>0.0</v>
      </c>
      <c r="J272" s="35">
        <v>0.0</v>
      </c>
      <c r="K272" s="35">
        <v>0.0</v>
      </c>
      <c r="L272" s="35">
        <v>0.0</v>
      </c>
      <c r="M272" s="35">
        <v>0.0</v>
      </c>
      <c r="N272" s="35">
        <v>0.0</v>
      </c>
      <c r="O272" s="35">
        <v>0.0</v>
      </c>
      <c r="P272" s="35">
        <v>0.0</v>
      </c>
      <c r="Q272" s="35">
        <v>0.0</v>
      </c>
      <c r="R272" s="35">
        <f t="shared" si="1"/>
        <v>0</v>
      </c>
      <c r="S272" s="243">
        <f t="shared" si="2"/>
        <v>0</v>
      </c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>
        <f t="shared" si="74"/>
        <v>0</v>
      </c>
    </row>
    <row r="273" ht="12.75" customHeight="1">
      <c r="A273" s="238" t="s">
        <v>717</v>
      </c>
      <c r="B273" s="8" t="s">
        <v>108</v>
      </c>
      <c r="C273" s="241" t="s">
        <v>715</v>
      </c>
      <c r="D273" s="241" t="s">
        <v>312</v>
      </c>
      <c r="E273" s="8" t="s">
        <v>104</v>
      </c>
      <c r="F273" s="259">
        <v>0.0</v>
      </c>
      <c r="G273" s="74">
        <v>0.0</v>
      </c>
      <c r="H273" s="74">
        <v>0.0</v>
      </c>
      <c r="I273" s="74">
        <v>0.0</v>
      </c>
      <c r="J273" s="74">
        <v>0.0</v>
      </c>
      <c r="K273" s="74">
        <v>0.0</v>
      </c>
      <c r="L273" s="74">
        <v>0.0</v>
      </c>
      <c r="M273" s="74">
        <v>0.0</v>
      </c>
      <c r="N273" s="74">
        <v>0.0</v>
      </c>
      <c r="O273" s="74">
        <v>0.0</v>
      </c>
      <c r="P273" s="74">
        <v>0.0</v>
      </c>
      <c r="Q273" s="74">
        <v>0.0</v>
      </c>
      <c r="R273" s="35">
        <f t="shared" si="1"/>
        <v>0</v>
      </c>
      <c r="S273" s="243">
        <f t="shared" si="2"/>
        <v>0</v>
      </c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>
        <f t="shared" si="74"/>
        <v>0</v>
      </c>
    </row>
    <row r="274" ht="12.75" customHeight="1">
      <c r="A274" s="238" t="s">
        <v>718</v>
      </c>
      <c r="B274" s="8" t="s">
        <v>89</v>
      </c>
      <c r="C274" s="241" t="s">
        <v>715</v>
      </c>
      <c r="D274" s="241" t="s">
        <v>312</v>
      </c>
      <c r="E274" s="8" t="s">
        <v>104</v>
      </c>
      <c r="F274" s="259">
        <v>0.0</v>
      </c>
      <c r="G274" s="74">
        <v>0.0</v>
      </c>
      <c r="H274" s="74">
        <v>0.0</v>
      </c>
      <c r="I274" s="74">
        <v>0.0</v>
      </c>
      <c r="J274" s="74">
        <v>0.0</v>
      </c>
      <c r="K274" s="74">
        <v>0.0</v>
      </c>
      <c r="L274" s="74">
        <v>0.0</v>
      </c>
      <c r="M274" s="74">
        <v>0.0</v>
      </c>
      <c r="N274" s="74">
        <v>0.0</v>
      </c>
      <c r="O274" s="74">
        <v>0.0</v>
      </c>
      <c r="P274" s="74">
        <v>0.0</v>
      </c>
      <c r="Q274" s="74">
        <v>0.0</v>
      </c>
      <c r="R274" s="35">
        <f t="shared" si="1"/>
        <v>0</v>
      </c>
      <c r="S274" s="243">
        <f t="shared" si="2"/>
        <v>0</v>
      </c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>
        <f t="shared" si="74"/>
        <v>0</v>
      </c>
    </row>
    <row r="275" ht="12.75" customHeight="1">
      <c r="A275" s="238" t="s">
        <v>714</v>
      </c>
      <c r="B275" s="8" t="s">
        <v>332</v>
      </c>
      <c r="C275" s="241" t="s">
        <v>715</v>
      </c>
      <c r="D275" s="241" t="s">
        <v>333</v>
      </c>
      <c r="E275" s="8" t="s">
        <v>104</v>
      </c>
      <c r="F275" s="246">
        <v>0.0</v>
      </c>
      <c r="G275" s="35">
        <v>0.0</v>
      </c>
      <c r="H275" s="35">
        <v>0.0</v>
      </c>
      <c r="I275" s="242">
        <v>0.0</v>
      </c>
      <c r="J275" s="35">
        <v>0.0</v>
      </c>
      <c r="K275" s="35">
        <v>0.0</v>
      </c>
      <c r="L275" s="35">
        <v>0.0</v>
      </c>
      <c r="M275" s="35">
        <v>0.0</v>
      </c>
      <c r="N275" s="35">
        <v>0.0</v>
      </c>
      <c r="O275" s="35">
        <v>0.0</v>
      </c>
      <c r="P275" s="35">
        <v>0.0</v>
      </c>
      <c r="Q275" s="35">
        <v>0.0</v>
      </c>
      <c r="R275" s="242">
        <f t="shared" si="1"/>
        <v>0</v>
      </c>
      <c r="S275" s="243">
        <f t="shared" si="2"/>
        <v>0</v>
      </c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>
        <f t="shared" si="74"/>
        <v>0</v>
      </c>
    </row>
    <row r="276" ht="12.75" customHeight="1">
      <c r="A276" s="238" t="s">
        <v>719</v>
      </c>
      <c r="B276" s="8" t="s">
        <v>343</v>
      </c>
      <c r="C276" s="241" t="s">
        <v>715</v>
      </c>
      <c r="D276" s="241" t="s">
        <v>333</v>
      </c>
      <c r="E276" s="8" t="s">
        <v>104</v>
      </c>
      <c r="F276" s="246">
        <v>0.0</v>
      </c>
      <c r="G276" s="35">
        <v>0.0</v>
      </c>
      <c r="H276" s="35">
        <v>0.0</v>
      </c>
      <c r="I276" s="35">
        <v>0.0</v>
      </c>
      <c r="J276" s="35">
        <v>0.0</v>
      </c>
      <c r="K276" s="35">
        <v>0.0</v>
      </c>
      <c r="L276" s="35">
        <v>0.0</v>
      </c>
      <c r="M276" s="35">
        <v>0.0</v>
      </c>
      <c r="N276" s="35">
        <v>0.0</v>
      </c>
      <c r="O276" s="35">
        <v>0.0</v>
      </c>
      <c r="P276" s="35">
        <v>0.0</v>
      </c>
      <c r="Q276" s="35">
        <v>0.0</v>
      </c>
      <c r="R276" s="35">
        <f t="shared" si="1"/>
        <v>0</v>
      </c>
      <c r="S276" s="243">
        <f t="shared" si="2"/>
        <v>0</v>
      </c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>
        <f t="shared" si="74"/>
        <v>0</v>
      </c>
    </row>
    <row r="277" ht="12.75" customHeight="1">
      <c r="A277" s="238" t="s">
        <v>720</v>
      </c>
      <c r="B277" s="8" t="s">
        <v>345</v>
      </c>
      <c r="C277" s="241" t="s">
        <v>715</v>
      </c>
      <c r="D277" s="241" t="s">
        <v>333</v>
      </c>
      <c r="E277" s="8" t="s">
        <v>104</v>
      </c>
      <c r="F277" s="246">
        <v>0.0</v>
      </c>
      <c r="G277" s="35">
        <v>0.0</v>
      </c>
      <c r="H277" s="35">
        <v>0.0</v>
      </c>
      <c r="I277" s="35">
        <v>0.0</v>
      </c>
      <c r="J277" s="35">
        <v>0.0</v>
      </c>
      <c r="K277" s="35">
        <v>0.0</v>
      </c>
      <c r="L277" s="35">
        <v>0.0</v>
      </c>
      <c r="M277" s="35">
        <v>0.0</v>
      </c>
      <c r="N277" s="35">
        <v>0.0</v>
      </c>
      <c r="O277" s="35">
        <v>0.0</v>
      </c>
      <c r="P277" s="35">
        <v>0.0</v>
      </c>
      <c r="Q277" s="35">
        <v>0.0</v>
      </c>
      <c r="R277" s="35">
        <f t="shared" si="1"/>
        <v>0</v>
      </c>
      <c r="S277" s="243">
        <f t="shared" si="2"/>
        <v>0</v>
      </c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>
        <f t="shared" si="74"/>
        <v>0</v>
      </c>
    </row>
    <row r="278" ht="12.75" customHeight="1">
      <c r="A278" s="238" t="s">
        <v>721</v>
      </c>
      <c r="B278" s="8" t="s">
        <v>349</v>
      </c>
      <c r="C278" s="241" t="s">
        <v>715</v>
      </c>
      <c r="D278" s="241" t="s">
        <v>333</v>
      </c>
      <c r="E278" s="8" t="s">
        <v>104</v>
      </c>
      <c r="F278" s="246">
        <v>0.0</v>
      </c>
      <c r="G278" s="35">
        <v>0.0</v>
      </c>
      <c r="H278" s="35">
        <v>0.0</v>
      </c>
      <c r="I278" s="35">
        <v>0.0</v>
      </c>
      <c r="J278" s="35">
        <v>0.0</v>
      </c>
      <c r="K278" s="35">
        <v>0.0</v>
      </c>
      <c r="L278" s="35">
        <v>0.0</v>
      </c>
      <c r="M278" s="35">
        <v>0.0</v>
      </c>
      <c r="N278" s="35">
        <v>0.0</v>
      </c>
      <c r="O278" s="35">
        <v>0.0</v>
      </c>
      <c r="P278" s="35">
        <v>0.0</v>
      </c>
      <c r="Q278" s="35">
        <v>0.0</v>
      </c>
      <c r="R278" s="35">
        <f t="shared" si="1"/>
        <v>0</v>
      </c>
      <c r="S278" s="243">
        <f t="shared" si="2"/>
        <v>0</v>
      </c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>
        <f t="shared" si="74"/>
        <v>0</v>
      </c>
    </row>
    <row r="279" ht="12.75" customHeight="1">
      <c r="A279" s="238" t="s">
        <v>722</v>
      </c>
      <c r="B279" s="8" t="s">
        <v>332</v>
      </c>
      <c r="C279" s="241" t="s">
        <v>723</v>
      </c>
      <c r="D279" s="241" t="s">
        <v>333</v>
      </c>
      <c r="E279" s="8" t="s">
        <v>26</v>
      </c>
      <c r="F279" s="246">
        <f t="shared" ref="F279:Q279" si="80">5000/12</f>
        <v>416.6666667</v>
      </c>
      <c r="G279" s="35">
        <f t="shared" si="80"/>
        <v>416.6666667</v>
      </c>
      <c r="H279" s="35">
        <f t="shared" si="80"/>
        <v>416.6666667</v>
      </c>
      <c r="I279" s="35">
        <f t="shared" si="80"/>
        <v>416.6666667</v>
      </c>
      <c r="J279" s="35">
        <f t="shared" si="80"/>
        <v>416.6666667</v>
      </c>
      <c r="K279" s="35">
        <f t="shared" si="80"/>
        <v>416.6666667</v>
      </c>
      <c r="L279" s="35">
        <f t="shared" si="80"/>
        <v>416.6666667</v>
      </c>
      <c r="M279" s="35">
        <f t="shared" si="80"/>
        <v>416.6666667</v>
      </c>
      <c r="N279" s="35">
        <f t="shared" si="80"/>
        <v>416.6666667</v>
      </c>
      <c r="O279" s="35">
        <f t="shared" si="80"/>
        <v>416.6666667</v>
      </c>
      <c r="P279" s="35">
        <f t="shared" si="80"/>
        <v>416.6666667</v>
      </c>
      <c r="Q279" s="35">
        <f t="shared" si="80"/>
        <v>416.6666667</v>
      </c>
      <c r="R279" s="35">
        <f t="shared" si="1"/>
        <v>5000</v>
      </c>
      <c r="S279" s="243">
        <f t="shared" si="2"/>
        <v>1250</v>
      </c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>
        <f t="shared" si="74"/>
        <v>0</v>
      </c>
    </row>
    <row r="280" ht="12.75" customHeight="1">
      <c r="A280" s="238" t="s">
        <v>724</v>
      </c>
      <c r="B280" s="8" t="s">
        <v>108</v>
      </c>
      <c r="C280" s="241" t="s">
        <v>723</v>
      </c>
      <c r="D280" s="241" t="s">
        <v>312</v>
      </c>
      <c r="E280" s="8" t="s">
        <v>26</v>
      </c>
      <c r="F280" s="259">
        <v>0.0</v>
      </c>
      <c r="G280" s="74">
        <v>0.0</v>
      </c>
      <c r="H280" s="74">
        <v>0.0</v>
      </c>
      <c r="I280" s="74">
        <v>0.0</v>
      </c>
      <c r="J280" s="74">
        <v>0.0</v>
      </c>
      <c r="K280" s="74">
        <v>0.0</v>
      </c>
      <c r="L280" s="74">
        <v>0.0</v>
      </c>
      <c r="M280" s="74">
        <v>0.0</v>
      </c>
      <c r="N280" s="74">
        <v>0.0</v>
      </c>
      <c r="O280" s="74">
        <v>0.0</v>
      </c>
      <c r="P280" s="74">
        <v>0.0</v>
      </c>
      <c r="Q280" s="74">
        <v>0.0</v>
      </c>
      <c r="R280" s="35">
        <f t="shared" si="1"/>
        <v>0</v>
      </c>
      <c r="S280" s="243">
        <f t="shared" si="2"/>
        <v>0</v>
      </c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>
        <f t="shared" si="74"/>
        <v>0</v>
      </c>
    </row>
    <row r="281" ht="12.75" customHeight="1">
      <c r="A281" s="238" t="s">
        <v>725</v>
      </c>
      <c r="B281" s="8" t="s">
        <v>89</v>
      </c>
      <c r="C281" s="241" t="s">
        <v>723</v>
      </c>
      <c r="D281" s="241" t="s">
        <v>312</v>
      </c>
      <c r="E281" s="8" t="s">
        <v>26</v>
      </c>
      <c r="F281" s="151">
        <v>166.66666666666666</v>
      </c>
      <c r="G281" s="74">
        <v>166.66666666666666</v>
      </c>
      <c r="H281" s="74">
        <v>166.66666666666666</v>
      </c>
      <c r="I281" s="74">
        <v>166.66666666666666</v>
      </c>
      <c r="J281" s="74">
        <v>166.66666666666666</v>
      </c>
      <c r="K281" s="74">
        <v>166.66666666666666</v>
      </c>
      <c r="L281" s="74">
        <v>166.66666666666666</v>
      </c>
      <c r="M281" s="74">
        <v>166.66666666666666</v>
      </c>
      <c r="N281" s="74">
        <v>166.66666666666666</v>
      </c>
      <c r="O281" s="74">
        <v>166.66666666666666</v>
      </c>
      <c r="P281" s="74">
        <v>166.66666666666666</v>
      </c>
      <c r="Q281" s="74">
        <v>166.66666666666666</v>
      </c>
      <c r="R281" s="35">
        <f t="shared" si="1"/>
        <v>2000</v>
      </c>
      <c r="S281" s="243">
        <f t="shared" si="2"/>
        <v>500</v>
      </c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>
        <f t="shared" si="74"/>
        <v>0</v>
      </c>
    </row>
    <row r="282" ht="12.75" customHeight="1">
      <c r="A282" s="238" t="s">
        <v>726</v>
      </c>
      <c r="B282" s="8" t="s">
        <v>176</v>
      </c>
      <c r="C282" s="241" t="s">
        <v>723</v>
      </c>
      <c r="D282" s="241" t="s">
        <v>312</v>
      </c>
      <c r="E282" s="8" t="s">
        <v>26</v>
      </c>
      <c r="F282" s="259">
        <v>0.0</v>
      </c>
      <c r="G282" s="74">
        <v>0.0</v>
      </c>
      <c r="H282" s="74">
        <v>0.0</v>
      </c>
      <c r="I282" s="74">
        <v>0.0</v>
      </c>
      <c r="J282" s="74">
        <v>0.0</v>
      </c>
      <c r="K282" s="74">
        <v>0.0</v>
      </c>
      <c r="L282" s="74">
        <v>0.0</v>
      </c>
      <c r="M282" s="74">
        <v>0.0</v>
      </c>
      <c r="N282" s="74">
        <v>0.0</v>
      </c>
      <c r="O282" s="74">
        <v>0.0</v>
      </c>
      <c r="P282" s="74">
        <v>0.0</v>
      </c>
      <c r="Q282" s="74">
        <v>0.0</v>
      </c>
      <c r="R282" s="35">
        <f t="shared" si="1"/>
        <v>0</v>
      </c>
      <c r="S282" s="243">
        <f t="shared" si="2"/>
        <v>0</v>
      </c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>
        <f t="shared" si="74"/>
        <v>0</v>
      </c>
    </row>
    <row r="283" ht="12.75" customHeight="1">
      <c r="A283" s="238" t="s">
        <v>722</v>
      </c>
      <c r="B283" s="8" t="s">
        <v>332</v>
      </c>
      <c r="C283" s="241" t="s">
        <v>723</v>
      </c>
      <c r="D283" s="241" t="s">
        <v>333</v>
      </c>
      <c r="E283" s="8" t="s">
        <v>26</v>
      </c>
      <c r="F283" s="246">
        <v>0.0</v>
      </c>
      <c r="G283" s="35">
        <v>0.0</v>
      </c>
      <c r="H283" s="35">
        <v>0.0</v>
      </c>
      <c r="I283" s="35">
        <v>0.0</v>
      </c>
      <c r="J283" s="35">
        <v>0.0</v>
      </c>
      <c r="K283" s="35">
        <v>0.0</v>
      </c>
      <c r="L283" s="35">
        <v>0.0</v>
      </c>
      <c r="M283" s="35">
        <v>0.0</v>
      </c>
      <c r="N283" s="35">
        <v>0.0</v>
      </c>
      <c r="O283" s="35">
        <v>0.0</v>
      </c>
      <c r="P283" s="35">
        <v>0.0</v>
      </c>
      <c r="Q283" s="35">
        <v>0.0</v>
      </c>
      <c r="R283" s="242">
        <f t="shared" si="1"/>
        <v>0</v>
      </c>
      <c r="S283" s="243">
        <f t="shared" si="2"/>
        <v>0</v>
      </c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>
        <f t="shared" si="74"/>
        <v>0</v>
      </c>
    </row>
    <row r="284" ht="12.75" customHeight="1">
      <c r="A284" s="238" t="s">
        <v>727</v>
      </c>
      <c r="B284" s="8" t="s">
        <v>343</v>
      </c>
      <c r="C284" s="241" t="s">
        <v>723</v>
      </c>
      <c r="D284" s="241" t="s">
        <v>333</v>
      </c>
      <c r="E284" s="8" t="s">
        <v>26</v>
      </c>
      <c r="F284" s="259">
        <f t="shared" ref="F284:Q284" si="81">10000/12</f>
        <v>833.3333333</v>
      </c>
      <c r="G284" s="74">
        <f t="shared" si="81"/>
        <v>833.3333333</v>
      </c>
      <c r="H284" s="74">
        <f t="shared" si="81"/>
        <v>833.3333333</v>
      </c>
      <c r="I284" s="74">
        <f t="shared" si="81"/>
        <v>833.3333333</v>
      </c>
      <c r="J284" s="74">
        <f t="shared" si="81"/>
        <v>833.3333333</v>
      </c>
      <c r="K284" s="74">
        <f t="shared" si="81"/>
        <v>833.3333333</v>
      </c>
      <c r="L284" s="74">
        <f t="shared" si="81"/>
        <v>833.3333333</v>
      </c>
      <c r="M284" s="74">
        <f t="shared" si="81"/>
        <v>833.3333333</v>
      </c>
      <c r="N284" s="74">
        <f t="shared" si="81"/>
        <v>833.3333333</v>
      </c>
      <c r="O284" s="74">
        <f t="shared" si="81"/>
        <v>833.3333333</v>
      </c>
      <c r="P284" s="74">
        <f t="shared" si="81"/>
        <v>833.3333333</v>
      </c>
      <c r="Q284" s="74">
        <f t="shared" si="81"/>
        <v>833.3333333</v>
      </c>
      <c r="R284" s="35">
        <f t="shared" si="1"/>
        <v>10000</v>
      </c>
      <c r="S284" s="243">
        <f t="shared" si="2"/>
        <v>2500</v>
      </c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>
        <f t="shared" si="74"/>
        <v>0</v>
      </c>
    </row>
    <row r="285" ht="12.75" customHeight="1">
      <c r="A285" s="238" t="s">
        <v>728</v>
      </c>
      <c r="B285" s="8" t="s">
        <v>345</v>
      </c>
      <c r="C285" s="241" t="s">
        <v>723</v>
      </c>
      <c r="D285" s="241" t="s">
        <v>333</v>
      </c>
      <c r="E285" s="8" t="s">
        <v>26</v>
      </c>
      <c r="F285" s="259">
        <f t="shared" ref="F285:Q285" si="82">5000/12</f>
        <v>416.6666667</v>
      </c>
      <c r="G285" s="74">
        <f t="shared" si="82"/>
        <v>416.6666667</v>
      </c>
      <c r="H285" s="74">
        <f t="shared" si="82"/>
        <v>416.6666667</v>
      </c>
      <c r="I285" s="74">
        <f t="shared" si="82"/>
        <v>416.6666667</v>
      </c>
      <c r="J285" s="74">
        <f t="shared" si="82"/>
        <v>416.6666667</v>
      </c>
      <c r="K285" s="74">
        <f t="shared" si="82"/>
        <v>416.6666667</v>
      </c>
      <c r="L285" s="74">
        <f t="shared" si="82"/>
        <v>416.6666667</v>
      </c>
      <c r="M285" s="74">
        <f t="shared" si="82"/>
        <v>416.6666667</v>
      </c>
      <c r="N285" s="74">
        <f t="shared" si="82"/>
        <v>416.6666667</v>
      </c>
      <c r="O285" s="74">
        <f t="shared" si="82"/>
        <v>416.6666667</v>
      </c>
      <c r="P285" s="74">
        <f t="shared" si="82"/>
        <v>416.6666667</v>
      </c>
      <c r="Q285" s="74">
        <f t="shared" si="82"/>
        <v>416.6666667</v>
      </c>
      <c r="R285" s="35">
        <f t="shared" si="1"/>
        <v>5000</v>
      </c>
      <c r="S285" s="243">
        <f t="shared" si="2"/>
        <v>1250</v>
      </c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>
        <f t="shared" si="74"/>
        <v>0</v>
      </c>
    </row>
    <row r="286" ht="12.75" customHeight="1">
      <c r="A286" s="238" t="s">
        <v>729</v>
      </c>
      <c r="B286" s="8" t="s">
        <v>332</v>
      </c>
      <c r="C286" s="241" t="s">
        <v>730</v>
      </c>
      <c r="D286" s="241" t="s">
        <v>333</v>
      </c>
      <c r="E286" s="8" t="s">
        <v>81</v>
      </c>
      <c r="F286" s="246">
        <f t="shared" ref="F286:Q286" si="83">14689/12</f>
        <v>1224.083333</v>
      </c>
      <c r="G286" s="35">
        <f t="shared" si="83"/>
        <v>1224.083333</v>
      </c>
      <c r="H286" s="35">
        <f t="shared" si="83"/>
        <v>1224.083333</v>
      </c>
      <c r="I286" s="35">
        <f t="shared" si="83"/>
        <v>1224.083333</v>
      </c>
      <c r="J286" s="35">
        <f t="shared" si="83"/>
        <v>1224.083333</v>
      </c>
      <c r="K286" s="35">
        <f t="shared" si="83"/>
        <v>1224.083333</v>
      </c>
      <c r="L286" s="35">
        <f t="shared" si="83"/>
        <v>1224.083333</v>
      </c>
      <c r="M286" s="35">
        <f t="shared" si="83"/>
        <v>1224.083333</v>
      </c>
      <c r="N286" s="35">
        <f t="shared" si="83"/>
        <v>1224.083333</v>
      </c>
      <c r="O286" s="35">
        <f t="shared" si="83"/>
        <v>1224.083333</v>
      </c>
      <c r="P286" s="35">
        <f t="shared" si="83"/>
        <v>1224.083333</v>
      </c>
      <c r="Q286" s="35">
        <f t="shared" si="83"/>
        <v>1224.083333</v>
      </c>
      <c r="R286" s="35">
        <f t="shared" si="1"/>
        <v>14689</v>
      </c>
      <c r="S286" s="243">
        <f t="shared" si="2"/>
        <v>3672.25</v>
      </c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>
        <f t="shared" si="74"/>
        <v>0</v>
      </c>
    </row>
    <row r="287" ht="12.75" customHeight="1">
      <c r="A287" s="238" t="s">
        <v>731</v>
      </c>
      <c r="B287" s="8" t="s">
        <v>339</v>
      </c>
      <c r="C287" s="241" t="s">
        <v>730</v>
      </c>
      <c r="D287" s="241" t="s">
        <v>333</v>
      </c>
      <c r="E287" s="8" t="s">
        <v>81</v>
      </c>
      <c r="F287" s="246">
        <v>0.0</v>
      </c>
      <c r="G287" s="35">
        <v>0.0</v>
      </c>
      <c r="H287" s="35">
        <v>0.0</v>
      </c>
      <c r="I287" s="35">
        <v>0.0</v>
      </c>
      <c r="J287" s="35">
        <v>0.0</v>
      </c>
      <c r="K287" s="35">
        <v>0.0</v>
      </c>
      <c r="L287" s="35">
        <v>0.0</v>
      </c>
      <c r="M287" s="35">
        <v>0.0</v>
      </c>
      <c r="N287" s="35">
        <v>0.0</v>
      </c>
      <c r="O287" s="35">
        <v>0.0</v>
      </c>
      <c r="P287" s="35">
        <v>0.0</v>
      </c>
      <c r="Q287" s="35">
        <v>0.0</v>
      </c>
      <c r="R287" s="35">
        <f t="shared" si="1"/>
        <v>0</v>
      </c>
      <c r="S287" s="243">
        <f t="shared" si="2"/>
        <v>0</v>
      </c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</row>
    <row r="288" ht="12.75" customHeight="1">
      <c r="A288" s="238" t="s">
        <v>732</v>
      </c>
      <c r="B288" s="8" t="s">
        <v>108</v>
      </c>
      <c r="C288" s="241" t="s">
        <v>730</v>
      </c>
      <c r="D288" s="241" t="s">
        <v>312</v>
      </c>
      <c r="E288" s="8" t="s">
        <v>81</v>
      </c>
      <c r="F288" s="259">
        <v>0.0</v>
      </c>
      <c r="G288" s="74">
        <v>0.0</v>
      </c>
      <c r="H288" s="74">
        <v>0.0</v>
      </c>
      <c r="I288" s="74">
        <v>0.0</v>
      </c>
      <c r="J288" s="74">
        <v>0.0</v>
      </c>
      <c r="K288" s="74">
        <v>0.0</v>
      </c>
      <c r="L288" s="74">
        <v>0.0</v>
      </c>
      <c r="M288" s="74">
        <v>0.0</v>
      </c>
      <c r="N288" s="74">
        <v>0.0</v>
      </c>
      <c r="O288" s="74">
        <v>0.0</v>
      </c>
      <c r="P288" s="74">
        <v>0.0</v>
      </c>
      <c r="Q288" s="74">
        <v>0.0</v>
      </c>
      <c r="R288" s="35">
        <f t="shared" si="1"/>
        <v>0</v>
      </c>
      <c r="S288" s="243">
        <f t="shared" si="2"/>
        <v>0</v>
      </c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</row>
    <row r="289" ht="12.75" customHeight="1">
      <c r="A289" s="238" t="s">
        <v>733</v>
      </c>
      <c r="B289" s="8" t="s">
        <v>89</v>
      </c>
      <c r="C289" s="241" t="s">
        <v>730</v>
      </c>
      <c r="D289" s="241" t="s">
        <v>312</v>
      </c>
      <c r="E289" s="8" t="s">
        <v>81</v>
      </c>
      <c r="F289" s="151">
        <v>916.6666666666666</v>
      </c>
      <c r="G289" s="74">
        <v>916.6666666666666</v>
      </c>
      <c r="H289" s="74">
        <v>916.6666666666666</v>
      </c>
      <c r="I289" s="74">
        <v>916.6666666666666</v>
      </c>
      <c r="J289" s="74">
        <v>916.6666666666666</v>
      </c>
      <c r="K289" s="74">
        <v>916.6666666666666</v>
      </c>
      <c r="L289" s="74">
        <v>916.6666666666666</v>
      </c>
      <c r="M289" s="74">
        <v>916.6666666666666</v>
      </c>
      <c r="N289" s="74">
        <v>916.6666666666666</v>
      </c>
      <c r="O289" s="74">
        <v>916.6666666666666</v>
      </c>
      <c r="P289" s="74">
        <v>916.6666666666666</v>
      </c>
      <c r="Q289" s="74">
        <v>916.6666666666666</v>
      </c>
      <c r="R289" s="35">
        <f t="shared" si="1"/>
        <v>11000</v>
      </c>
      <c r="S289" s="243">
        <f t="shared" si="2"/>
        <v>2750</v>
      </c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</row>
    <row r="290" ht="12.75" customHeight="1">
      <c r="A290" s="238" t="s">
        <v>729</v>
      </c>
      <c r="B290" s="8" t="s">
        <v>332</v>
      </c>
      <c r="C290" s="241" t="s">
        <v>730</v>
      </c>
      <c r="D290" s="241" t="s">
        <v>333</v>
      </c>
      <c r="E290" s="8" t="s">
        <v>81</v>
      </c>
      <c r="F290" s="246">
        <v>0.0</v>
      </c>
      <c r="G290" s="35">
        <v>0.0</v>
      </c>
      <c r="H290" s="35">
        <v>0.0</v>
      </c>
      <c r="I290" s="242">
        <v>0.0</v>
      </c>
      <c r="J290" s="35">
        <v>0.0</v>
      </c>
      <c r="K290" s="35">
        <v>0.0</v>
      </c>
      <c r="L290" s="35">
        <v>0.0</v>
      </c>
      <c r="M290" s="35">
        <v>0.0</v>
      </c>
      <c r="N290" s="35">
        <v>0.0</v>
      </c>
      <c r="O290" s="35">
        <v>0.0</v>
      </c>
      <c r="P290" s="35">
        <v>0.0</v>
      </c>
      <c r="Q290" s="35">
        <v>0.0</v>
      </c>
      <c r="R290" s="242">
        <f t="shared" si="1"/>
        <v>0</v>
      </c>
      <c r="S290" s="243">
        <f t="shared" si="2"/>
        <v>0</v>
      </c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</row>
    <row r="291" ht="12.75" customHeight="1">
      <c r="A291" s="238" t="s">
        <v>734</v>
      </c>
      <c r="B291" s="8" t="s">
        <v>343</v>
      </c>
      <c r="C291" s="241" t="s">
        <v>730</v>
      </c>
      <c r="D291" s="241" t="s">
        <v>333</v>
      </c>
      <c r="E291" s="8" t="s">
        <v>81</v>
      </c>
      <c r="F291" s="246">
        <v>0.0</v>
      </c>
      <c r="G291" s="35">
        <v>0.0</v>
      </c>
      <c r="H291" s="35">
        <v>0.0</v>
      </c>
      <c r="I291" s="35">
        <v>0.0</v>
      </c>
      <c r="J291" s="35">
        <v>0.0</v>
      </c>
      <c r="K291" s="35">
        <v>0.0</v>
      </c>
      <c r="L291" s="35">
        <v>0.0</v>
      </c>
      <c r="M291" s="35">
        <v>0.0</v>
      </c>
      <c r="N291" s="35">
        <v>0.0</v>
      </c>
      <c r="O291" s="35">
        <v>0.0</v>
      </c>
      <c r="P291" s="35">
        <v>0.0</v>
      </c>
      <c r="Q291" s="35">
        <v>0.0</v>
      </c>
      <c r="R291" s="35">
        <f t="shared" si="1"/>
        <v>0</v>
      </c>
      <c r="S291" s="243">
        <f t="shared" si="2"/>
        <v>0</v>
      </c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</row>
    <row r="292" ht="12.75" customHeight="1">
      <c r="A292" s="238" t="s">
        <v>735</v>
      </c>
      <c r="B292" s="8" t="s">
        <v>345</v>
      </c>
      <c r="C292" s="241" t="s">
        <v>730</v>
      </c>
      <c r="D292" s="241" t="s">
        <v>333</v>
      </c>
      <c r="E292" s="8" t="s">
        <v>81</v>
      </c>
      <c r="F292" s="246">
        <v>1041.6666666666667</v>
      </c>
      <c r="G292" s="35">
        <v>1041.6666666666667</v>
      </c>
      <c r="H292" s="35">
        <v>1041.6666666666667</v>
      </c>
      <c r="I292" s="35">
        <v>1041.6666666666667</v>
      </c>
      <c r="J292" s="35">
        <v>1041.6666666666667</v>
      </c>
      <c r="K292" s="35">
        <v>1041.6666666666667</v>
      </c>
      <c r="L292" s="35">
        <v>1041.6666666666667</v>
      </c>
      <c r="M292" s="35">
        <v>1041.6666666666667</v>
      </c>
      <c r="N292" s="35">
        <v>1041.6666666666667</v>
      </c>
      <c r="O292" s="35">
        <v>1041.6666666666667</v>
      </c>
      <c r="P292" s="35">
        <v>1041.6666666666667</v>
      </c>
      <c r="Q292" s="35">
        <v>1041.6666666666667</v>
      </c>
      <c r="R292" s="35">
        <f t="shared" si="1"/>
        <v>12500</v>
      </c>
      <c r="S292" s="243">
        <f t="shared" si="2"/>
        <v>3125</v>
      </c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</row>
    <row r="293" ht="12.75" customHeight="1">
      <c r="A293" s="238" t="s">
        <v>736</v>
      </c>
      <c r="B293" s="8" t="s">
        <v>349</v>
      </c>
      <c r="C293" s="241" t="s">
        <v>730</v>
      </c>
      <c r="D293" s="241" t="s">
        <v>333</v>
      </c>
      <c r="E293" s="8" t="s">
        <v>81</v>
      </c>
      <c r="F293" s="246">
        <v>0.0</v>
      </c>
      <c r="G293" s="35">
        <v>0.0</v>
      </c>
      <c r="H293" s="35">
        <v>0.0</v>
      </c>
      <c r="I293" s="35">
        <v>0.0</v>
      </c>
      <c r="J293" s="35">
        <v>0.0</v>
      </c>
      <c r="K293" s="35">
        <v>0.0</v>
      </c>
      <c r="L293" s="35">
        <v>0.0</v>
      </c>
      <c r="M293" s="35">
        <v>0.0</v>
      </c>
      <c r="N293" s="35">
        <v>0.0</v>
      </c>
      <c r="O293" s="35">
        <v>0.0</v>
      </c>
      <c r="P293" s="35">
        <v>0.0</v>
      </c>
      <c r="Q293" s="35">
        <v>0.0</v>
      </c>
      <c r="R293" s="35">
        <f t="shared" si="1"/>
        <v>0</v>
      </c>
      <c r="S293" s="243">
        <f t="shared" si="2"/>
        <v>0</v>
      </c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</row>
    <row r="294" ht="12.75" customHeight="1">
      <c r="A294" s="238" t="s">
        <v>737</v>
      </c>
      <c r="B294" s="8" t="s">
        <v>332</v>
      </c>
      <c r="C294" s="241" t="s">
        <v>738</v>
      </c>
      <c r="D294" s="241" t="s">
        <v>333</v>
      </c>
      <c r="E294" s="8" t="s">
        <v>82</v>
      </c>
      <c r="F294" s="246">
        <v>250.0</v>
      </c>
      <c r="G294" s="35">
        <v>250.0</v>
      </c>
      <c r="H294" s="35">
        <v>250.0</v>
      </c>
      <c r="I294" s="35">
        <v>250.0</v>
      </c>
      <c r="J294" s="35">
        <v>250.0</v>
      </c>
      <c r="K294" s="35">
        <v>250.0</v>
      </c>
      <c r="L294" s="35">
        <v>250.0</v>
      </c>
      <c r="M294" s="35">
        <v>250.0</v>
      </c>
      <c r="N294" s="35">
        <v>250.0</v>
      </c>
      <c r="O294" s="35">
        <v>250.0</v>
      </c>
      <c r="P294" s="35">
        <v>250.0</v>
      </c>
      <c r="Q294" s="35">
        <v>250.0</v>
      </c>
      <c r="R294" s="35">
        <f t="shared" si="1"/>
        <v>3000</v>
      </c>
      <c r="S294" s="243">
        <f t="shared" si="2"/>
        <v>750</v>
      </c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</row>
    <row r="295" ht="12.75" customHeight="1">
      <c r="A295" s="238" t="s">
        <v>739</v>
      </c>
      <c r="B295" s="8" t="s">
        <v>339</v>
      </c>
      <c r="C295" s="241" t="s">
        <v>738</v>
      </c>
      <c r="D295" s="241" t="s">
        <v>333</v>
      </c>
      <c r="E295" s="8" t="s">
        <v>82</v>
      </c>
      <c r="F295" s="246">
        <v>0.0</v>
      </c>
      <c r="G295" s="35">
        <v>0.0</v>
      </c>
      <c r="H295" s="35">
        <v>0.0</v>
      </c>
      <c r="I295" s="35">
        <v>0.0</v>
      </c>
      <c r="J295" s="35">
        <v>0.0</v>
      </c>
      <c r="K295" s="35">
        <v>0.0</v>
      </c>
      <c r="L295" s="35">
        <v>0.0</v>
      </c>
      <c r="M295" s="35">
        <v>0.0</v>
      </c>
      <c r="N295" s="35">
        <v>0.0</v>
      </c>
      <c r="O295" s="35">
        <v>0.0</v>
      </c>
      <c r="P295" s="35">
        <v>0.0</v>
      </c>
      <c r="Q295" s="35">
        <v>0.0</v>
      </c>
      <c r="R295" s="35">
        <f t="shared" si="1"/>
        <v>0</v>
      </c>
      <c r="S295" s="243">
        <f t="shared" si="2"/>
        <v>0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</row>
    <row r="296" ht="12.75" customHeight="1">
      <c r="A296" s="238" t="s">
        <v>740</v>
      </c>
      <c r="B296" s="8" t="s">
        <v>108</v>
      </c>
      <c r="C296" s="241" t="s">
        <v>738</v>
      </c>
      <c r="D296" s="241" t="s">
        <v>312</v>
      </c>
      <c r="E296" s="8" t="s">
        <v>82</v>
      </c>
      <c r="F296" s="151">
        <f t="shared" ref="F296:Q296" si="84">23119/12</f>
        <v>1926.583333</v>
      </c>
      <c r="G296" s="74">
        <f t="shared" si="84"/>
        <v>1926.583333</v>
      </c>
      <c r="H296" s="74">
        <f t="shared" si="84"/>
        <v>1926.583333</v>
      </c>
      <c r="I296" s="74">
        <f t="shared" si="84"/>
        <v>1926.583333</v>
      </c>
      <c r="J296" s="74">
        <f t="shared" si="84"/>
        <v>1926.583333</v>
      </c>
      <c r="K296" s="74">
        <f t="shared" si="84"/>
        <v>1926.583333</v>
      </c>
      <c r="L296" s="74">
        <f t="shared" si="84"/>
        <v>1926.583333</v>
      </c>
      <c r="M296" s="74">
        <f t="shared" si="84"/>
        <v>1926.583333</v>
      </c>
      <c r="N296" s="74">
        <f t="shared" si="84"/>
        <v>1926.583333</v>
      </c>
      <c r="O296" s="74">
        <f t="shared" si="84"/>
        <v>1926.583333</v>
      </c>
      <c r="P296" s="74">
        <f t="shared" si="84"/>
        <v>1926.583333</v>
      </c>
      <c r="Q296" s="74">
        <f t="shared" si="84"/>
        <v>1926.583333</v>
      </c>
      <c r="R296" s="35">
        <f t="shared" si="1"/>
        <v>23119</v>
      </c>
      <c r="S296" s="243">
        <f t="shared" si="2"/>
        <v>5779.75</v>
      </c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</row>
    <row r="297" ht="12.75" customHeight="1">
      <c r="A297" s="238" t="s">
        <v>741</v>
      </c>
      <c r="B297" s="8" t="s">
        <v>89</v>
      </c>
      <c r="C297" s="241" t="s">
        <v>738</v>
      </c>
      <c r="D297" s="241" t="s">
        <v>312</v>
      </c>
      <c r="E297" s="8" t="s">
        <v>82</v>
      </c>
      <c r="F297" s="151">
        <v>1000.0</v>
      </c>
      <c r="G297" s="74">
        <v>1000.0</v>
      </c>
      <c r="H297" s="74">
        <v>1000.0</v>
      </c>
      <c r="I297" s="74">
        <v>1000.0</v>
      </c>
      <c r="J297" s="74">
        <v>1000.0</v>
      </c>
      <c r="K297" s="74">
        <v>1000.0</v>
      </c>
      <c r="L297" s="74">
        <v>1000.0</v>
      </c>
      <c r="M297" s="74">
        <v>1000.0</v>
      </c>
      <c r="N297" s="74">
        <v>1000.0</v>
      </c>
      <c r="O297" s="74">
        <v>1000.0</v>
      </c>
      <c r="P297" s="74">
        <v>1000.0</v>
      </c>
      <c r="Q297" s="74">
        <v>1000.0</v>
      </c>
      <c r="R297" s="35">
        <f t="shared" si="1"/>
        <v>12000</v>
      </c>
      <c r="S297" s="243">
        <f t="shared" si="2"/>
        <v>3000</v>
      </c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</row>
    <row r="298" ht="12.75" customHeight="1">
      <c r="A298" s="238" t="s">
        <v>737</v>
      </c>
      <c r="B298" s="8" t="s">
        <v>332</v>
      </c>
      <c r="C298" s="241" t="s">
        <v>738</v>
      </c>
      <c r="D298" s="241" t="s">
        <v>333</v>
      </c>
      <c r="E298" s="8" t="s">
        <v>82</v>
      </c>
      <c r="F298" s="246">
        <v>0.0</v>
      </c>
      <c r="G298" s="35">
        <v>0.0</v>
      </c>
      <c r="H298" s="35">
        <v>0.0</v>
      </c>
      <c r="I298" s="242">
        <v>0.0</v>
      </c>
      <c r="J298" s="35">
        <v>0.0</v>
      </c>
      <c r="K298" s="35">
        <v>0.0</v>
      </c>
      <c r="L298" s="35">
        <v>0.0</v>
      </c>
      <c r="M298" s="35">
        <v>0.0</v>
      </c>
      <c r="N298" s="35">
        <v>0.0</v>
      </c>
      <c r="O298" s="35">
        <v>0.0</v>
      </c>
      <c r="P298" s="35">
        <v>0.0</v>
      </c>
      <c r="Q298" s="35">
        <v>0.0</v>
      </c>
      <c r="R298" s="242">
        <f t="shared" si="1"/>
        <v>0</v>
      </c>
      <c r="S298" s="243">
        <f t="shared" si="2"/>
        <v>0</v>
      </c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</row>
    <row r="299" ht="12.75" customHeight="1">
      <c r="A299" s="238" t="s">
        <v>742</v>
      </c>
      <c r="B299" s="8" t="s">
        <v>343</v>
      </c>
      <c r="C299" s="241" t="s">
        <v>738</v>
      </c>
      <c r="D299" s="241" t="s">
        <v>333</v>
      </c>
      <c r="E299" s="8" t="s">
        <v>82</v>
      </c>
      <c r="F299" s="246">
        <v>0.0</v>
      </c>
      <c r="G299" s="35">
        <v>0.0</v>
      </c>
      <c r="H299" s="35">
        <v>0.0</v>
      </c>
      <c r="I299" s="35">
        <v>0.0</v>
      </c>
      <c r="J299" s="35">
        <v>0.0</v>
      </c>
      <c r="K299" s="35">
        <v>0.0</v>
      </c>
      <c r="L299" s="35">
        <v>0.0</v>
      </c>
      <c r="M299" s="35">
        <v>0.0</v>
      </c>
      <c r="N299" s="35">
        <v>0.0</v>
      </c>
      <c r="O299" s="35">
        <v>0.0</v>
      </c>
      <c r="P299" s="35">
        <v>0.0</v>
      </c>
      <c r="Q299" s="35">
        <v>0.0</v>
      </c>
      <c r="R299" s="35">
        <f t="shared" si="1"/>
        <v>0</v>
      </c>
      <c r="S299" s="243">
        <f t="shared" si="2"/>
        <v>0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</row>
    <row r="300" ht="12.75" customHeight="1">
      <c r="A300" s="238" t="s">
        <v>743</v>
      </c>
      <c r="B300" s="8" t="s">
        <v>345</v>
      </c>
      <c r="C300" s="241" t="s">
        <v>738</v>
      </c>
      <c r="D300" s="241" t="s">
        <v>333</v>
      </c>
      <c r="E300" s="8" t="s">
        <v>82</v>
      </c>
      <c r="F300" s="246">
        <v>225.0</v>
      </c>
      <c r="G300" s="35">
        <v>225.0</v>
      </c>
      <c r="H300" s="35">
        <v>225.0</v>
      </c>
      <c r="I300" s="35">
        <v>225.0</v>
      </c>
      <c r="J300" s="35">
        <v>225.0</v>
      </c>
      <c r="K300" s="35">
        <v>225.0</v>
      </c>
      <c r="L300" s="35">
        <v>225.0</v>
      </c>
      <c r="M300" s="35">
        <v>225.0</v>
      </c>
      <c r="N300" s="35">
        <v>225.0</v>
      </c>
      <c r="O300" s="35">
        <v>225.0</v>
      </c>
      <c r="P300" s="35">
        <v>225.0</v>
      </c>
      <c r="Q300" s="35">
        <v>225.0</v>
      </c>
      <c r="R300" s="35">
        <f t="shared" si="1"/>
        <v>2700</v>
      </c>
      <c r="S300" s="243">
        <f t="shared" si="2"/>
        <v>675</v>
      </c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</row>
    <row r="301" ht="12.75" customHeight="1">
      <c r="A301" s="238" t="s">
        <v>744</v>
      </c>
      <c r="B301" s="8" t="s">
        <v>349</v>
      </c>
      <c r="C301" s="241" t="s">
        <v>738</v>
      </c>
      <c r="D301" s="241" t="s">
        <v>333</v>
      </c>
      <c r="E301" s="8" t="s">
        <v>82</v>
      </c>
      <c r="F301" s="246">
        <v>325.0</v>
      </c>
      <c r="G301" s="35">
        <v>325.0</v>
      </c>
      <c r="H301" s="35">
        <v>325.0</v>
      </c>
      <c r="I301" s="35">
        <v>325.0</v>
      </c>
      <c r="J301" s="35">
        <v>325.0</v>
      </c>
      <c r="K301" s="35">
        <v>325.0</v>
      </c>
      <c r="L301" s="35">
        <v>325.0</v>
      </c>
      <c r="M301" s="35">
        <v>325.0</v>
      </c>
      <c r="N301" s="35">
        <v>325.0</v>
      </c>
      <c r="O301" s="35">
        <v>325.0</v>
      </c>
      <c r="P301" s="35">
        <v>325.0</v>
      </c>
      <c r="Q301" s="35">
        <v>325.0</v>
      </c>
      <c r="R301" s="35">
        <f t="shared" si="1"/>
        <v>3900</v>
      </c>
      <c r="S301" s="243">
        <f t="shared" si="2"/>
        <v>975</v>
      </c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</row>
    <row r="302" ht="12.75" customHeight="1">
      <c r="A302" s="8" t="s">
        <v>745</v>
      </c>
      <c r="B302" s="8" t="s">
        <v>332</v>
      </c>
      <c r="C302" s="241" t="s">
        <v>746</v>
      </c>
      <c r="D302" s="241" t="s">
        <v>333</v>
      </c>
      <c r="E302" s="8" t="s">
        <v>121</v>
      </c>
      <c r="F302" s="246">
        <v>0.0</v>
      </c>
      <c r="G302" s="35">
        <v>0.0</v>
      </c>
      <c r="H302" s="35">
        <v>0.0</v>
      </c>
      <c r="I302" s="35">
        <v>0.0</v>
      </c>
      <c r="J302" s="35">
        <v>0.0</v>
      </c>
      <c r="K302" s="35">
        <v>0.0</v>
      </c>
      <c r="L302" s="35">
        <v>0.0</v>
      </c>
      <c r="M302" s="35">
        <v>0.0</v>
      </c>
      <c r="N302" s="35">
        <v>0.0</v>
      </c>
      <c r="O302" s="35">
        <v>0.0</v>
      </c>
      <c r="P302" s="35">
        <v>0.0</v>
      </c>
      <c r="Q302" s="35">
        <v>0.0</v>
      </c>
      <c r="R302" s="35">
        <f t="shared" si="1"/>
        <v>0</v>
      </c>
      <c r="S302" s="243">
        <f t="shared" si="2"/>
        <v>0</v>
      </c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</row>
    <row r="303" ht="12.75" customHeight="1">
      <c r="A303" s="8" t="s">
        <v>747</v>
      </c>
      <c r="B303" s="8" t="s">
        <v>339</v>
      </c>
      <c r="C303" s="241" t="s">
        <v>746</v>
      </c>
      <c r="D303" s="241" t="s">
        <v>333</v>
      </c>
      <c r="E303" s="8" t="s">
        <v>121</v>
      </c>
      <c r="F303" s="246">
        <v>0.0</v>
      </c>
      <c r="G303" s="35">
        <v>0.0</v>
      </c>
      <c r="H303" s="35">
        <v>0.0</v>
      </c>
      <c r="I303" s="35">
        <v>0.0</v>
      </c>
      <c r="J303" s="35">
        <v>0.0</v>
      </c>
      <c r="K303" s="35">
        <v>0.0</v>
      </c>
      <c r="L303" s="35">
        <v>0.0</v>
      </c>
      <c r="M303" s="35">
        <v>0.0</v>
      </c>
      <c r="N303" s="35">
        <v>0.0</v>
      </c>
      <c r="O303" s="35">
        <v>0.0</v>
      </c>
      <c r="P303" s="35">
        <v>0.0</v>
      </c>
      <c r="Q303" s="35">
        <v>0.0</v>
      </c>
      <c r="R303" s="35">
        <f t="shared" si="1"/>
        <v>0</v>
      </c>
      <c r="S303" s="243">
        <f t="shared" si="2"/>
        <v>0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</row>
    <row r="304" ht="12.75" customHeight="1">
      <c r="A304" s="8" t="s">
        <v>748</v>
      </c>
      <c r="B304" s="8" t="s">
        <v>108</v>
      </c>
      <c r="C304" s="241" t="s">
        <v>746</v>
      </c>
      <c r="D304" s="241" t="s">
        <v>312</v>
      </c>
      <c r="E304" s="8" t="s">
        <v>121</v>
      </c>
      <c r="F304" s="259">
        <v>0.0</v>
      </c>
      <c r="G304" s="74">
        <v>0.0</v>
      </c>
      <c r="H304" s="74">
        <v>0.0</v>
      </c>
      <c r="I304" s="74">
        <v>0.0</v>
      </c>
      <c r="J304" s="74">
        <v>0.0</v>
      </c>
      <c r="K304" s="74">
        <v>0.0</v>
      </c>
      <c r="L304" s="74">
        <v>0.0</v>
      </c>
      <c r="M304" s="74">
        <v>0.0</v>
      </c>
      <c r="N304" s="74">
        <v>0.0</v>
      </c>
      <c r="O304" s="74">
        <v>0.0</v>
      </c>
      <c r="P304" s="74">
        <v>0.0</v>
      </c>
      <c r="Q304" s="74">
        <v>0.0</v>
      </c>
      <c r="R304" s="35">
        <f t="shared" si="1"/>
        <v>0</v>
      </c>
      <c r="S304" s="243">
        <f t="shared" si="2"/>
        <v>0</v>
      </c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</row>
    <row r="305" ht="12.75" customHeight="1">
      <c r="A305" s="8" t="s">
        <v>749</v>
      </c>
      <c r="B305" s="8" t="s">
        <v>89</v>
      </c>
      <c r="C305" s="241" t="s">
        <v>746</v>
      </c>
      <c r="D305" s="241" t="s">
        <v>312</v>
      </c>
      <c r="E305" s="8" t="s">
        <v>121</v>
      </c>
      <c r="F305" s="259">
        <v>0.0</v>
      </c>
      <c r="G305" s="74">
        <v>0.0</v>
      </c>
      <c r="H305" s="74">
        <v>0.0</v>
      </c>
      <c r="I305" s="74">
        <v>0.0</v>
      </c>
      <c r="J305" s="74">
        <v>0.0</v>
      </c>
      <c r="K305" s="74">
        <v>0.0</v>
      </c>
      <c r="L305" s="74">
        <v>0.0</v>
      </c>
      <c r="M305" s="74">
        <v>0.0</v>
      </c>
      <c r="N305" s="74">
        <v>0.0</v>
      </c>
      <c r="O305" s="74">
        <v>0.0</v>
      </c>
      <c r="P305" s="74">
        <v>0.0</v>
      </c>
      <c r="Q305" s="74">
        <v>0.0</v>
      </c>
      <c r="R305" s="35">
        <f t="shared" si="1"/>
        <v>0</v>
      </c>
      <c r="S305" s="243">
        <f t="shared" si="2"/>
        <v>0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>
        <f>SUM(AQ305:BB305)</f>
        <v>0</v>
      </c>
    </row>
    <row r="306" ht="12.75" customHeight="1">
      <c r="A306" s="8" t="s">
        <v>745</v>
      </c>
      <c r="B306" s="8" t="s">
        <v>332</v>
      </c>
      <c r="C306" s="241" t="s">
        <v>746</v>
      </c>
      <c r="D306" s="241" t="s">
        <v>333</v>
      </c>
      <c r="E306" s="8" t="s">
        <v>121</v>
      </c>
      <c r="F306" s="246">
        <v>0.0</v>
      </c>
      <c r="G306" s="35">
        <v>0.0</v>
      </c>
      <c r="H306" s="35">
        <v>0.0</v>
      </c>
      <c r="I306" s="242">
        <v>0.0</v>
      </c>
      <c r="J306" s="35">
        <v>0.0</v>
      </c>
      <c r="K306" s="35">
        <v>0.0</v>
      </c>
      <c r="L306" s="35">
        <v>0.0</v>
      </c>
      <c r="M306" s="35">
        <v>0.0</v>
      </c>
      <c r="N306" s="35">
        <v>0.0</v>
      </c>
      <c r="O306" s="35">
        <v>0.0</v>
      </c>
      <c r="P306" s="35">
        <v>0.0</v>
      </c>
      <c r="Q306" s="35">
        <v>0.0</v>
      </c>
      <c r="R306" s="242">
        <f t="shared" si="1"/>
        <v>0</v>
      </c>
      <c r="S306" s="243">
        <f t="shared" si="2"/>
        <v>0</v>
      </c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</row>
    <row r="307" ht="12.75" customHeight="1">
      <c r="A307" s="8" t="s">
        <v>750</v>
      </c>
      <c r="B307" s="8" t="s">
        <v>343</v>
      </c>
      <c r="C307" s="241" t="s">
        <v>746</v>
      </c>
      <c r="D307" s="241" t="s">
        <v>333</v>
      </c>
      <c r="E307" s="8" t="s">
        <v>121</v>
      </c>
      <c r="F307" s="246">
        <v>0.0</v>
      </c>
      <c r="G307" s="35">
        <v>0.0</v>
      </c>
      <c r="H307" s="35">
        <v>0.0</v>
      </c>
      <c r="I307" s="35">
        <v>0.0</v>
      </c>
      <c r="J307" s="35">
        <v>0.0</v>
      </c>
      <c r="K307" s="35">
        <v>0.0</v>
      </c>
      <c r="L307" s="35">
        <v>0.0</v>
      </c>
      <c r="M307" s="35">
        <v>0.0</v>
      </c>
      <c r="N307" s="35">
        <v>0.0</v>
      </c>
      <c r="O307" s="35">
        <v>0.0</v>
      </c>
      <c r="P307" s="35">
        <v>0.0</v>
      </c>
      <c r="Q307" s="35">
        <v>0.0</v>
      </c>
      <c r="R307" s="35">
        <f t="shared" si="1"/>
        <v>0</v>
      </c>
      <c r="S307" s="243">
        <f t="shared" si="2"/>
        <v>0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</row>
    <row r="308" ht="12.75" customHeight="1">
      <c r="A308" s="8" t="s">
        <v>751</v>
      </c>
      <c r="B308" s="8" t="s">
        <v>345</v>
      </c>
      <c r="C308" s="241" t="s">
        <v>746</v>
      </c>
      <c r="D308" s="241" t="s">
        <v>333</v>
      </c>
      <c r="E308" s="8" t="s">
        <v>121</v>
      </c>
      <c r="F308" s="246">
        <v>0.0</v>
      </c>
      <c r="G308" s="35">
        <v>0.0</v>
      </c>
      <c r="H308" s="35">
        <v>0.0</v>
      </c>
      <c r="I308" s="35">
        <v>0.0</v>
      </c>
      <c r="J308" s="35">
        <v>0.0</v>
      </c>
      <c r="K308" s="35">
        <v>0.0</v>
      </c>
      <c r="L308" s="35">
        <v>0.0</v>
      </c>
      <c r="M308" s="35">
        <v>0.0</v>
      </c>
      <c r="N308" s="35">
        <v>0.0</v>
      </c>
      <c r="O308" s="35">
        <v>0.0</v>
      </c>
      <c r="P308" s="35">
        <v>0.0</v>
      </c>
      <c r="Q308" s="35">
        <v>0.0</v>
      </c>
      <c r="R308" s="35">
        <f t="shared" si="1"/>
        <v>0</v>
      </c>
      <c r="S308" s="243">
        <f t="shared" si="2"/>
        <v>0</v>
      </c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</row>
    <row r="309" ht="12.75" customHeight="1">
      <c r="A309" s="8" t="s">
        <v>752</v>
      </c>
      <c r="B309" s="8" t="s">
        <v>349</v>
      </c>
      <c r="C309" s="241" t="s">
        <v>746</v>
      </c>
      <c r="D309" s="241" t="s">
        <v>333</v>
      </c>
      <c r="E309" s="8" t="s">
        <v>121</v>
      </c>
      <c r="F309" s="246">
        <v>0.0</v>
      </c>
      <c r="G309" s="35">
        <v>0.0</v>
      </c>
      <c r="H309" s="35">
        <v>0.0</v>
      </c>
      <c r="I309" s="35">
        <v>0.0</v>
      </c>
      <c r="J309" s="35">
        <v>0.0</v>
      </c>
      <c r="K309" s="35">
        <v>0.0</v>
      </c>
      <c r="L309" s="35">
        <v>0.0</v>
      </c>
      <c r="M309" s="35">
        <v>0.0</v>
      </c>
      <c r="N309" s="35">
        <v>0.0</v>
      </c>
      <c r="O309" s="35">
        <v>0.0</v>
      </c>
      <c r="P309" s="35">
        <v>0.0</v>
      </c>
      <c r="Q309" s="35">
        <v>0.0</v>
      </c>
      <c r="R309" s="35">
        <f t="shared" si="1"/>
        <v>0</v>
      </c>
      <c r="S309" s="243">
        <f t="shared" si="2"/>
        <v>0</v>
      </c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</row>
    <row r="310" ht="12.75" customHeight="1">
      <c r="A310" s="238" t="s">
        <v>753</v>
      </c>
      <c r="B310" s="8" t="s">
        <v>332</v>
      </c>
      <c r="C310" s="241" t="s">
        <v>754</v>
      </c>
      <c r="D310" s="241" t="s">
        <v>333</v>
      </c>
      <c r="E310" s="8" t="s">
        <v>85</v>
      </c>
      <c r="F310" s="246">
        <f t="shared" ref="F310:Q310" si="85">5304/12</f>
        <v>442</v>
      </c>
      <c r="G310" s="35">
        <f t="shared" si="85"/>
        <v>442</v>
      </c>
      <c r="H310" s="35">
        <f t="shared" si="85"/>
        <v>442</v>
      </c>
      <c r="I310" s="35">
        <f t="shared" si="85"/>
        <v>442</v>
      </c>
      <c r="J310" s="35">
        <f t="shared" si="85"/>
        <v>442</v>
      </c>
      <c r="K310" s="35">
        <f t="shared" si="85"/>
        <v>442</v>
      </c>
      <c r="L310" s="35">
        <f t="shared" si="85"/>
        <v>442</v>
      </c>
      <c r="M310" s="35">
        <f t="shared" si="85"/>
        <v>442</v>
      </c>
      <c r="N310" s="35">
        <f t="shared" si="85"/>
        <v>442</v>
      </c>
      <c r="O310" s="35">
        <f t="shared" si="85"/>
        <v>442</v>
      </c>
      <c r="P310" s="35">
        <f t="shared" si="85"/>
        <v>442</v>
      </c>
      <c r="Q310" s="35">
        <f t="shared" si="85"/>
        <v>442</v>
      </c>
      <c r="R310" s="35">
        <f t="shared" si="1"/>
        <v>5304</v>
      </c>
      <c r="S310" s="243">
        <f t="shared" si="2"/>
        <v>1326</v>
      </c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>
        <f t="shared" ref="BC310:BC318" si="86">SUM(AQ310:BB310)</f>
        <v>0</v>
      </c>
    </row>
    <row r="311" ht="12.75" customHeight="1">
      <c r="A311" s="238" t="s">
        <v>755</v>
      </c>
      <c r="B311" s="8" t="s">
        <v>339</v>
      </c>
      <c r="C311" s="241" t="s">
        <v>754</v>
      </c>
      <c r="D311" s="241" t="s">
        <v>333</v>
      </c>
      <c r="E311" s="8" t="s">
        <v>85</v>
      </c>
      <c r="F311" s="246">
        <v>0.0</v>
      </c>
      <c r="G311" s="35">
        <v>0.0</v>
      </c>
      <c r="H311" s="35">
        <v>0.0</v>
      </c>
      <c r="I311" s="35">
        <v>0.0</v>
      </c>
      <c r="J311" s="35">
        <v>0.0</v>
      </c>
      <c r="K311" s="35">
        <v>0.0</v>
      </c>
      <c r="L311" s="35">
        <v>0.0</v>
      </c>
      <c r="M311" s="35">
        <v>0.0</v>
      </c>
      <c r="N311" s="35">
        <v>0.0</v>
      </c>
      <c r="O311" s="35">
        <v>0.0</v>
      </c>
      <c r="P311" s="35">
        <v>0.0</v>
      </c>
      <c r="Q311" s="35">
        <v>0.0</v>
      </c>
      <c r="R311" s="35">
        <f t="shared" si="1"/>
        <v>0</v>
      </c>
      <c r="S311" s="243">
        <f t="shared" si="2"/>
        <v>0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>
        <f t="shared" si="86"/>
        <v>0</v>
      </c>
    </row>
    <row r="312" ht="12.75" customHeight="1">
      <c r="A312" s="238" t="s">
        <v>756</v>
      </c>
      <c r="B312" s="8" t="s">
        <v>108</v>
      </c>
      <c r="C312" s="241" t="s">
        <v>754</v>
      </c>
      <c r="D312" s="241" t="s">
        <v>312</v>
      </c>
      <c r="E312" s="8" t="s">
        <v>85</v>
      </c>
      <c r="F312" s="259">
        <v>0.0</v>
      </c>
      <c r="G312" s="74">
        <v>0.0</v>
      </c>
      <c r="H312" s="74">
        <v>0.0</v>
      </c>
      <c r="I312" s="74">
        <v>0.0</v>
      </c>
      <c r="J312" s="74">
        <v>0.0</v>
      </c>
      <c r="K312" s="74">
        <v>0.0</v>
      </c>
      <c r="L312" s="74">
        <v>0.0</v>
      </c>
      <c r="M312" s="74">
        <v>0.0</v>
      </c>
      <c r="N312" s="74">
        <v>0.0</v>
      </c>
      <c r="O312" s="74">
        <v>0.0</v>
      </c>
      <c r="P312" s="74">
        <v>0.0</v>
      </c>
      <c r="Q312" s="74">
        <v>0.0</v>
      </c>
      <c r="R312" s="35">
        <f t="shared" si="1"/>
        <v>0</v>
      </c>
      <c r="S312" s="243">
        <f t="shared" si="2"/>
        <v>0</v>
      </c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>
        <f t="shared" si="86"/>
        <v>0</v>
      </c>
    </row>
    <row r="313" ht="12.75" customHeight="1">
      <c r="A313" s="238" t="s">
        <v>757</v>
      </c>
      <c r="B313" s="8" t="s">
        <v>89</v>
      </c>
      <c r="C313" s="241" t="s">
        <v>754</v>
      </c>
      <c r="D313" s="241" t="s">
        <v>312</v>
      </c>
      <c r="E313" s="8" t="s">
        <v>85</v>
      </c>
      <c r="F313" s="151">
        <v>725.0</v>
      </c>
      <c r="G313" s="74">
        <v>725.0</v>
      </c>
      <c r="H313" s="74">
        <v>725.0</v>
      </c>
      <c r="I313" s="74">
        <v>725.0</v>
      </c>
      <c r="J313" s="74">
        <v>725.0</v>
      </c>
      <c r="K313" s="74">
        <v>725.0</v>
      </c>
      <c r="L313" s="74">
        <v>725.0</v>
      </c>
      <c r="M313" s="74">
        <v>725.0</v>
      </c>
      <c r="N313" s="74">
        <v>725.0</v>
      </c>
      <c r="O313" s="74">
        <v>725.0</v>
      </c>
      <c r="P313" s="74">
        <v>725.0</v>
      </c>
      <c r="Q313" s="74">
        <v>725.0</v>
      </c>
      <c r="R313" s="35">
        <f t="shared" si="1"/>
        <v>8700</v>
      </c>
      <c r="S313" s="243">
        <f t="shared" si="2"/>
        <v>2175</v>
      </c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>
        <f t="shared" si="86"/>
        <v>0</v>
      </c>
    </row>
    <row r="314" ht="12.75" customHeight="1">
      <c r="A314" s="238" t="s">
        <v>753</v>
      </c>
      <c r="B314" s="8" t="s">
        <v>332</v>
      </c>
      <c r="C314" s="241" t="s">
        <v>754</v>
      </c>
      <c r="D314" s="241" t="s">
        <v>333</v>
      </c>
      <c r="E314" s="8" t="s">
        <v>85</v>
      </c>
      <c r="F314" s="246">
        <v>0.0</v>
      </c>
      <c r="G314" s="35">
        <v>0.0</v>
      </c>
      <c r="H314" s="35">
        <v>0.0</v>
      </c>
      <c r="I314" s="242">
        <v>0.0</v>
      </c>
      <c r="J314" s="35">
        <v>0.0</v>
      </c>
      <c r="K314" s="35">
        <v>0.0</v>
      </c>
      <c r="L314" s="35">
        <v>0.0</v>
      </c>
      <c r="M314" s="35">
        <v>0.0</v>
      </c>
      <c r="N314" s="35">
        <v>0.0</v>
      </c>
      <c r="O314" s="35">
        <v>0.0</v>
      </c>
      <c r="P314" s="35">
        <v>0.0</v>
      </c>
      <c r="Q314" s="35">
        <v>0.0</v>
      </c>
      <c r="R314" s="242">
        <f t="shared" si="1"/>
        <v>0</v>
      </c>
      <c r="S314" s="243">
        <f t="shared" si="2"/>
        <v>0</v>
      </c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>
        <f t="shared" si="86"/>
        <v>0</v>
      </c>
    </row>
    <row r="315" ht="12.75" customHeight="1">
      <c r="A315" s="238" t="s">
        <v>758</v>
      </c>
      <c r="B315" s="8" t="s">
        <v>343</v>
      </c>
      <c r="C315" s="241" t="s">
        <v>754</v>
      </c>
      <c r="D315" s="241" t="s">
        <v>333</v>
      </c>
      <c r="E315" s="8" t="s">
        <v>85</v>
      </c>
      <c r="F315" s="246">
        <v>0.0</v>
      </c>
      <c r="G315" s="35">
        <v>0.0</v>
      </c>
      <c r="H315" s="35">
        <v>0.0</v>
      </c>
      <c r="I315" s="35">
        <v>0.0</v>
      </c>
      <c r="J315" s="35">
        <v>0.0</v>
      </c>
      <c r="K315" s="35">
        <v>0.0</v>
      </c>
      <c r="L315" s="35">
        <v>0.0</v>
      </c>
      <c r="M315" s="35">
        <v>0.0</v>
      </c>
      <c r="N315" s="35">
        <v>0.0</v>
      </c>
      <c r="O315" s="35">
        <v>0.0</v>
      </c>
      <c r="P315" s="35">
        <v>0.0</v>
      </c>
      <c r="Q315" s="35">
        <v>0.0</v>
      </c>
      <c r="R315" s="35">
        <f t="shared" si="1"/>
        <v>0</v>
      </c>
      <c r="S315" s="243">
        <f t="shared" si="2"/>
        <v>0</v>
      </c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>
        <f t="shared" si="86"/>
        <v>0</v>
      </c>
    </row>
    <row r="316" ht="12.75" customHeight="1">
      <c r="A316" s="238" t="s">
        <v>759</v>
      </c>
      <c r="B316" s="8" t="s">
        <v>345</v>
      </c>
      <c r="C316" s="241" t="s">
        <v>754</v>
      </c>
      <c r="D316" s="241" t="s">
        <v>333</v>
      </c>
      <c r="E316" s="8" t="s">
        <v>85</v>
      </c>
      <c r="F316" s="246">
        <v>708.3333333333334</v>
      </c>
      <c r="G316" s="35">
        <v>708.3333333333334</v>
      </c>
      <c r="H316" s="35">
        <v>708.3333333333334</v>
      </c>
      <c r="I316" s="35">
        <v>708.3333333333334</v>
      </c>
      <c r="J316" s="35">
        <v>708.3333333333334</v>
      </c>
      <c r="K316" s="35">
        <v>708.3333333333334</v>
      </c>
      <c r="L316" s="35">
        <v>708.3333333333334</v>
      </c>
      <c r="M316" s="35">
        <v>708.3333333333334</v>
      </c>
      <c r="N316" s="35">
        <v>708.3333333333334</v>
      </c>
      <c r="O316" s="35">
        <v>708.3333333333334</v>
      </c>
      <c r="P316" s="35">
        <v>708.3333333333334</v>
      </c>
      <c r="Q316" s="35">
        <v>708.3333333333334</v>
      </c>
      <c r="R316" s="35">
        <f t="shared" si="1"/>
        <v>8500</v>
      </c>
      <c r="S316" s="243">
        <f t="shared" si="2"/>
        <v>2125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>
        <f t="shared" si="86"/>
        <v>0</v>
      </c>
    </row>
    <row r="317" ht="12.75" customHeight="1">
      <c r="A317" s="238" t="s">
        <v>760</v>
      </c>
      <c r="B317" s="8" t="s">
        <v>349</v>
      </c>
      <c r="C317" s="241" t="s">
        <v>754</v>
      </c>
      <c r="D317" s="241" t="s">
        <v>333</v>
      </c>
      <c r="E317" s="8" t="s">
        <v>85</v>
      </c>
      <c r="F317" s="246">
        <v>0.0</v>
      </c>
      <c r="G317" s="35">
        <v>0.0</v>
      </c>
      <c r="H317" s="35">
        <v>0.0</v>
      </c>
      <c r="I317" s="35">
        <v>0.0</v>
      </c>
      <c r="J317" s="35">
        <v>0.0</v>
      </c>
      <c r="K317" s="35">
        <v>0.0</v>
      </c>
      <c r="L317" s="35">
        <v>0.0</v>
      </c>
      <c r="M317" s="35">
        <v>0.0</v>
      </c>
      <c r="N317" s="35">
        <v>0.0</v>
      </c>
      <c r="O317" s="35">
        <v>0.0</v>
      </c>
      <c r="P317" s="35">
        <v>0.0</v>
      </c>
      <c r="Q317" s="35">
        <v>0.0</v>
      </c>
      <c r="R317" s="35">
        <f t="shared" si="1"/>
        <v>0</v>
      </c>
      <c r="S317" s="243">
        <f t="shared" si="2"/>
        <v>0</v>
      </c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>
        <f t="shared" si="86"/>
        <v>0</v>
      </c>
    </row>
    <row r="318" ht="12.75" customHeight="1">
      <c r="A318" s="238" t="s">
        <v>761</v>
      </c>
      <c r="B318" s="8" t="s">
        <v>332</v>
      </c>
      <c r="C318" s="241" t="s">
        <v>762</v>
      </c>
      <c r="D318" s="241" t="s">
        <v>333</v>
      </c>
      <c r="E318" s="8" t="s">
        <v>124</v>
      </c>
      <c r="F318" s="246">
        <v>225.0</v>
      </c>
      <c r="G318" s="35">
        <v>225.0</v>
      </c>
      <c r="H318" s="35">
        <v>225.0</v>
      </c>
      <c r="I318" s="35">
        <v>225.0</v>
      </c>
      <c r="J318" s="35">
        <v>225.0</v>
      </c>
      <c r="K318" s="35">
        <v>225.0</v>
      </c>
      <c r="L318" s="35">
        <v>225.0</v>
      </c>
      <c r="M318" s="35">
        <v>225.0</v>
      </c>
      <c r="N318" s="35">
        <v>225.0</v>
      </c>
      <c r="O318" s="35">
        <v>225.0</v>
      </c>
      <c r="P318" s="35">
        <v>225.0</v>
      </c>
      <c r="Q318" s="35">
        <v>225.0</v>
      </c>
      <c r="R318" s="35">
        <f t="shared" si="1"/>
        <v>2700</v>
      </c>
      <c r="S318" s="243">
        <f t="shared" si="2"/>
        <v>675</v>
      </c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>
        <f t="shared" si="86"/>
        <v>0</v>
      </c>
    </row>
    <row r="319" ht="12.75" customHeight="1">
      <c r="A319" s="238" t="s">
        <v>763</v>
      </c>
      <c r="B319" s="8" t="s">
        <v>339</v>
      </c>
      <c r="C319" s="241" t="s">
        <v>762</v>
      </c>
      <c r="D319" s="241" t="s">
        <v>333</v>
      </c>
      <c r="E319" s="8" t="s">
        <v>124</v>
      </c>
      <c r="F319" s="246">
        <v>0.0</v>
      </c>
      <c r="G319" s="35">
        <v>0.0</v>
      </c>
      <c r="H319" s="35">
        <v>0.0</v>
      </c>
      <c r="I319" s="35">
        <v>0.0</v>
      </c>
      <c r="J319" s="35">
        <v>0.0</v>
      </c>
      <c r="K319" s="35">
        <v>0.0</v>
      </c>
      <c r="L319" s="35">
        <v>0.0</v>
      </c>
      <c r="M319" s="35">
        <v>0.0</v>
      </c>
      <c r="N319" s="35">
        <v>0.0</v>
      </c>
      <c r="O319" s="35">
        <v>0.0</v>
      </c>
      <c r="P319" s="35">
        <v>0.0</v>
      </c>
      <c r="Q319" s="35">
        <v>0.0</v>
      </c>
      <c r="R319" s="35">
        <f t="shared" si="1"/>
        <v>0</v>
      </c>
      <c r="S319" s="243">
        <f t="shared" si="2"/>
        <v>0</v>
      </c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</row>
    <row r="320" ht="12.75" customHeight="1">
      <c r="A320" s="238" t="s">
        <v>764</v>
      </c>
      <c r="B320" s="8" t="s">
        <v>108</v>
      </c>
      <c r="C320" s="241" t="s">
        <v>762</v>
      </c>
      <c r="D320" s="241" t="s">
        <v>312</v>
      </c>
      <c r="E320" s="8" t="s">
        <v>124</v>
      </c>
      <c r="F320" s="151">
        <v>412.5</v>
      </c>
      <c r="G320" s="74">
        <v>412.5</v>
      </c>
      <c r="H320" s="74">
        <v>412.5</v>
      </c>
      <c r="I320" s="74">
        <v>412.5</v>
      </c>
      <c r="J320" s="74">
        <v>412.5</v>
      </c>
      <c r="K320" s="74">
        <v>412.5</v>
      </c>
      <c r="L320" s="74">
        <v>412.5</v>
      </c>
      <c r="M320" s="74">
        <v>412.5</v>
      </c>
      <c r="N320" s="74">
        <v>412.5</v>
      </c>
      <c r="O320" s="74">
        <v>412.5</v>
      </c>
      <c r="P320" s="74">
        <v>412.5</v>
      </c>
      <c r="Q320" s="74">
        <v>412.5</v>
      </c>
      <c r="R320" s="35">
        <f t="shared" si="1"/>
        <v>4950</v>
      </c>
      <c r="S320" s="243">
        <f t="shared" si="2"/>
        <v>1237.5</v>
      </c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</row>
    <row r="321" ht="12.75" customHeight="1">
      <c r="A321" s="238" t="s">
        <v>765</v>
      </c>
      <c r="B321" s="8" t="s">
        <v>89</v>
      </c>
      <c r="C321" s="241" t="s">
        <v>762</v>
      </c>
      <c r="D321" s="241" t="s">
        <v>312</v>
      </c>
      <c r="E321" s="8" t="s">
        <v>124</v>
      </c>
      <c r="F321" s="151">
        <v>337.5</v>
      </c>
      <c r="G321" s="74">
        <v>337.5</v>
      </c>
      <c r="H321" s="74">
        <v>337.5</v>
      </c>
      <c r="I321" s="74">
        <v>337.5</v>
      </c>
      <c r="J321" s="74">
        <v>337.5</v>
      </c>
      <c r="K321" s="74">
        <v>337.5</v>
      </c>
      <c r="L321" s="74">
        <v>337.5</v>
      </c>
      <c r="M321" s="74">
        <v>337.5</v>
      </c>
      <c r="N321" s="74">
        <v>337.5</v>
      </c>
      <c r="O321" s="74">
        <v>337.5</v>
      </c>
      <c r="P321" s="74">
        <v>337.5</v>
      </c>
      <c r="Q321" s="74">
        <v>337.5</v>
      </c>
      <c r="R321" s="35">
        <f t="shared" si="1"/>
        <v>4050</v>
      </c>
      <c r="S321" s="243">
        <f t="shared" si="2"/>
        <v>1012.5</v>
      </c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</row>
    <row r="322" ht="12.75" customHeight="1">
      <c r="A322" s="238" t="s">
        <v>761</v>
      </c>
      <c r="B322" s="8" t="s">
        <v>332</v>
      </c>
      <c r="C322" s="241" t="s">
        <v>762</v>
      </c>
      <c r="D322" s="241" t="s">
        <v>333</v>
      </c>
      <c r="E322" s="8" t="s">
        <v>124</v>
      </c>
      <c r="F322" s="246">
        <v>0.0</v>
      </c>
      <c r="G322" s="35">
        <v>0.0</v>
      </c>
      <c r="H322" s="35">
        <v>0.0</v>
      </c>
      <c r="I322" s="242">
        <v>0.0</v>
      </c>
      <c r="J322" s="35">
        <v>0.0</v>
      </c>
      <c r="K322" s="35">
        <v>0.0</v>
      </c>
      <c r="L322" s="35">
        <v>0.0</v>
      </c>
      <c r="M322" s="35">
        <v>0.0</v>
      </c>
      <c r="N322" s="35">
        <v>0.0</v>
      </c>
      <c r="O322" s="35">
        <v>0.0</v>
      </c>
      <c r="P322" s="35">
        <v>0.0</v>
      </c>
      <c r="Q322" s="35">
        <v>0.0</v>
      </c>
      <c r="R322" s="242">
        <f t="shared" si="1"/>
        <v>0</v>
      </c>
      <c r="S322" s="243">
        <f t="shared" si="2"/>
        <v>0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</row>
    <row r="323" ht="12.75" customHeight="1">
      <c r="A323" s="238" t="s">
        <v>766</v>
      </c>
      <c r="B323" s="8" t="s">
        <v>343</v>
      </c>
      <c r="C323" s="241" t="s">
        <v>762</v>
      </c>
      <c r="D323" s="241" t="s">
        <v>333</v>
      </c>
      <c r="E323" s="8" t="s">
        <v>124</v>
      </c>
      <c r="F323" s="246">
        <v>0.0</v>
      </c>
      <c r="G323" s="35">
        <v>0.0</v>
      </c>
      <c r="H323" s="35">
        <v>0.0</v>
      </c>
      <c r="I323" s="35">
        <v>0.0</v>
      </c>
      <c r="J323" s="35">
        <v>0.0</v>
      </c>
      <c r="K323" s="35">
        <v>0.0</v>
      </c>
      <c r="L323" s="35">
        <v>0.0</v>
      </c>
      <c r="M323" s="35">
        <v>0.0</v>
      </c>
      <c r="N323" s="35">
        <v>0.0</v>
      </c>
      <c r="O323" s="35">
        <v>0.0</v>
      </c>
      <c r="P323" s="35">
        <v>0.0</v>
      </c>
      <c r="Q323" s="35">
        <v>0.0</v>
      </c>
      <c r="R323" s="35">
        <f t="shared" si="1"/>
        <v>0</v>
      </c>
      <c r="S323" s="243">
        <f t="shared" si="2"/>
        <v>0</v>
      </c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>
        <f t="shared" ref="BC323:BC378" si="87">SUM(AQ323:BB323)</f>
        <v>0</v>
      </c>
    </row>
    <row r="324" ht="12.75" customHeight="1">
      <c r="A324" s="238" t="s">
        <v>767</v>
      </c>
      <c r="B324" s="8" t="s">
        <v>345</v>
      </c>
      <c r="C324" s="241" t="s">
        <v>762</v>
      </c>
      <c r="D324" s="241" t="s">
        <v>333</v>
      </c>
      <c r="E324" s="8" t="s">
        <v>124</v>
      </c>
      <c r="F324" s="246">
        <v>250.0</v>
      </c>
      <c r="G324" s="35">
        <v>250.0</v>
      </c>
      <c r="H324" s="35">
        <v>250.0</v>
      </c>
      <c r="I324" s="35">
        <v>250.0</v>
      </c>
      <c r="J324" s="35">
        <v>250.0</v>
      </c>
      <c r="K324" s="35">
        <v>250.0</v>
      </c>
      <c r="L324" s="35">
        <v>250.0</v>
      </c>
      <c r="M324" s="35">
        <v>250.0</v>
      </c>
      <c r="N324" s="35">
        <v>250.0</v>
      </c>
      <c r="O324" s="35">
        <v>250.0</v>
      </c>
      <c r="P324" s="35">
        <v>250.0</v>
      </c>
      <c r="Q324" s="35">
        <v>250.0</v>
      </c>
      <c r="R324" s="35">
        <f t="shared" si="1"/>
        <v>3000</v>
      </c>
      <c r="S324" s="243">
        <f t="shared" si="2"/>
        <v>750</v>
      </c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>
        <f t="shared" si="87"/>
        <v>0</v>
      </c>
    </row>
    <row r="325" ht="12.75" customHeight="1">
      <c r="A325" s="238" t="s">
        <v>768</v>
      </c>
      <c r="B325" s="8" t="s">
        <v>349</v>
      </c>
      <c r="C325" s="241" t="s">
        <v>762</v>
      </c>
      <c r="D325" s="241" t="s">
        <v>333</v>
      </c>
      <c r="E325" s="8" t="s">
        <v>124</v>
      </c>
      <c r="F325" s="246">
        <v>116.66666666666667</v>
      </c>
      <c r="G325" s="35">
        <v>116.66666666666667</v>
      </c>
      <c r="H325" s="35">
        <v>116.66666666666667</v>
      </c>
      <c r="I325" s="35">
        <v>116.66666666666667</v>
      </c>
      <c r="J325" s="35">
        <v>116.66666666666667</v>
      </c>
      <c r="K325" s="35">
        <v>116.66666666666667</v>
      </c>
      <c r="L325" s="35">
        <v>116.66666666666667</v>
      </c>
      <c r="M325" s="35">
        <v>116.66666666666667</v>
      </c>
      <c r="N325" s="35">
        <v>116.66666666666667</v>
      </c>
      <c r="O325" s="35">
        <v>116.66666666666667</v>
      </c>
      <c r="P325" s="35">
        <v>116.66666666666667</v>
      </c>
      <c r="Q325" s="35">
        <v>116.66666666666667</v>
      </c>
      <c r="R325" s="35">
        <f t="shared" si="1"/>
        <v>1400</v>
      </c>
      <c r="S325" s="243">
        <f t="shared" si="2"/>
        <v>350</v>
      </c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>
        <f t="shared" si="87"/>
        <v>0</v>
      </c>
    </row>
    <row r="326" ht="12.75" customHeight="1">
      <c r="A326" s="238" t="s">
        <v>769</v>
      </c>
      <c r="B326" s="8" t="s">
        <v>332</v>
      </c>
      <c r="C326" s="241" t="s">
        <v>770</v>
      </c>
      <c r="D326" s="241" t="s">
        <v>333</v>
      </c>
      <c r="E326" s="8" t="s">
        <v>129</v>
      </c>
      <c r="F326" s="246">
        <f t="shared" ref="F326:Q326" si="88">210577/12</f>
        <v>17548.08333</v>
      </c>
      <c r="G326" s="35">
        <f t="shared" si="88"/>
        <v>17548.08333</v>
      </c>
      <c r="H326" s="35">
        <f t="shared" si="88"/>
        <v>17548.08333</v>
      </c>
      <c r="I326" s="35">
        <f t="shared" si="88"/>
        <v>17548.08333</v>
      </c>
      <c r="J326" s="35">
        <f t="shared" si="88"/>
        <v>17548.08333</v>
      </c>
      <c r="K326" s="35">
        <f t="shared" si="88"/>
        <v>17548.08333</v>
      </c>
      <c r="L326" s="35">
        <f t="shared" si="88"/>
        <v>17548.08333</v>
      </c>
      <c r="M326" s="35">
        <f t="shared" si="88"/>
        <v>17548.08333</v>
      </c>
      <c r="N326" s="35">
        <f t="shared" si="88"/>
        <v>17548.08333</v>
      </c>
      <c r="O326" s="35">
        <f t="shared" si="88"/>
        <v>17548.08333</v>
      </c>
      <c r="P326" s="35">
        <f t="shared" si="88"/>
        <v>17548.08333</v>
      </c>
      <c r="Q326" s="35">
        <f t="shared" si="88"/>
        <v>17548.08333</v>
      </c>
      <c r="R326" s="35">
        <f t="shared" si="1"/>
        <v>210577</v>
      </c>
      <c r="S326" s="243">
        <f t="shared" si="2"/>
        <v>52644.25</v>
      </c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>
        <f t="shared" si="87"/>
        <v>0</v>
      </c>
    </row>
    <row r="327" ht="12.75" customHeight="1">
      <c r="A327" s="238" t="s">
        <v>771</v>
      </c>
      <c r="B327" s="8" t="s">
        <v>339</v>
      </c>
      <c r="C327" s="241" t="s">
        <v>770</v>
      </c>
      <c r="D327" s="241" t="s">
        <v>333</v>
      </c>
      <c r="E327" s="8" t="s">
        <v>129</v>
      </c>
      <c r="F327" s="246">
        <v>0.0</v>
      </c>
      <c r="G327" s="35">
        <v>0.0</v>
      </c>
      <c r="H327" s="35">
        <v>0.0</v>
      </c>
      <c r="I327" s="35">
        <v>0.0</v>
      </c>
      <c r="J327" s="35">
        <v>0.0</v>
      </c>
      <c r="K327" s="35">
        <v>0.0</v>
      </c>
      <c r="L327" s="35">
        <v>0.0</v>
      </c>
      <c r="M327" s="35">
        <v>0.0</v>
      </c>
      <c r="N327" s="35">
        <v>0.0</v>
      </c>
      <c r="O327" s="35">
        <v>0.0</v>
      </c>
      <c r="P327" s="35">
        <v>0.0</v>
      </c>
      <c r="Q327" s="35">
        <v>0.0</v>
      </c>
      <c r="R327" s="35">
        <f t="shared" si="1"/>
        <v>0</v>
      </c>
      <c r="S327" s="243">
        <f t="shared" si="2"/>
        <v>0</v>
      </c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>
        <f t="shared" si="87"/>
        <v>0</v>
      </c>
    </row>
    <row r="328" ht="12.75" customHeight="1">
      <c r="A328" s="238" t="s">
        <v>772</v>
      </c>
      <c r="B328" s="8" t="s">
        <v>108</v>
      </c>
      <c r="C328" s="241" t="s">
        <v>770</v>
      </c>
      <c r="D328" s="241" t="s">
        <v>312</v>
      </c>
      <c r="E328" s="8" t="s">
        <v>129</v>
      </c>
      <c r="F328" s="259">
        <v>0.0</v>
      </c>
      <c r="G328" s="74">
        <v>0.0</v>
      </c>
      <c r="H328" s="74">
        <v>0.0</v>
      </c>
      <c r="I328" s="74">
        <v>0.0</v>
      </c>
      <c r="J328" s="74">
        <v>0.0</v>
      </c>
      <c r="K328" s="74">
        <v>0.0</v>
      </c>
      <c r="L328" s="74">
        <v>0.0</v>
      </c>
      <c r="M328" s="74">
        <v>0.0</v>
      </c>
      <c r="N328" s="74">
        <v>0.0</v>
      </c>
      <c r="O328" s="74">
        <v>0.0</v>
      </c>
      <c r="P328" s="74">
        <v>0.0</v>
      </c>
      <c r="Q328" s="74">
        <v>0.0</v>
      </c>
      <c r="R328" s="35">
        <f t="shared" si="1"/>
        <v>0</v>
      </c>
      <c r="S328" s="243">
        <f t="shared" si="2"/>
        <v>0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>
        <f t="shared" si="87"/>
        <v>0</v>
      </c>
    </row>
    <row r="329" ht="12.75" customHeight="1">
      <c r="A329" s="238" t="s">
        <v>773</v>
      </c>
      <c r="B329" s="8" t="s">
        <v>89</v>
      </c>
      <c r="C329" s="241" t="s">
        <v>770</v>
      </c>
      <c r="D329" s="241" t="s">
        <v>312</v>
      </c>
      <c r="E329" s="8" t="s">
        <v>129</v>
      </c>
      <c r="F329" s="259">
        <v>0.0</v>
      </c>
      <c r="G329" s="74">
        <v>0.0</v>
      </c>
      <c r="H329" s="74">
        <v>0.0</v>
      </c>
      <c r="I329" s="74">
        <v>0.0</v>
      </c>
      <c r="J329" s="74">
        <v>0.0</v>
      </c>
      <c r="K329" s="74">
        <v>0.0</v>
      </c>
      <c r="L329" s="74">
        <v>0.0</v>
      </c>
      <c r="M329" s="74">
        <v>0.0</v>
      </c>
      <c r="N329" s="74">
        <v>0.0</v>
      </c>
      <c r="O329" s="74">
        <v>0.0</v>
      </c>
      <c r="P329" s="74">
        <v>0.0</v>
      </c>
      <c r="Q329" s="74">
        <v>0.0</v>
      </c>
      <c r="R329" s="35">
        <f t="shared" si="1"/>
        <v>0</v>
      </c>
      <c r="S329" s="243">
        <f t="shared" si="2"/>
        <v>0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>
        <f t="shared" si="87"/>
        <v>0</v>
      </c>
    </row>
    <row r="330" ht="12.75" customHeight="1">
      <c r="A330" s="238" t="s">
        <v>769</v>
      </c>
      <c r="B330" s="8" t="s">
        <v>332</v>
      </c>
      <c r="C330" s="241" t="s">
        <v>770</v>
      </c>
      <c r="D330" s="241" t="s">
        <v>333</v>
      </c>
      <c r="E330" s="8" t="s">
        <v>129</v>
      </c>
      <c r="F330" s="246">
        <v>0.0</v>
      </c>
      <c r="G330" s="35">
        <v>0.0</v>
      </c>
      <c r="H330" s="35">
        <v>0.0</v>
      </c>
      <c r="I330" s="242">
        <v>0.0</v>
      </c>
      <c r="J330" s="35">
        <v>0.0</v>
      </c>
      <c r="K330" s="35">
        <v>0.0</v>
      </c>
      <c r="L330" s="35">
        <v>0.0</v>
      </c>
      <c r="M330" s="35">
        <v>0.0</v>
      </c>
      <c r="N330" s="35">
        <v>0.0</v>
      </c>
      <c r="O330" s="35">
        <v>0.0</v>
      </c>
      <c r="P330" s="35">
        <v>0.0</v>
      </c>
      <c r="Q330" s="35">
        <v>0.0</v>
      </c>
      <c r="R330" s="242">
        <f t="shared" si="1"/>
        <v>0</v>
      </c>
      <c r="S330" s="243">
        <f t="shared" si="2"/>
        <v>0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>
        <f t="shared" si="87"/>
        <v>0</v>
      </c>
    </row>
    <row r="331" ht="12.75" customHeight="1">
      <c r="A331" s="238" t="s">
        <v>774</v>
      </c>
      <c r="B331" s="8" t="s">
        <v>343</v>
      </c>
      <c r="C331" s="241" t="s">
        <v>770</v>
      </c>
      <c r="D331" s="241" t="s">
        <v>333</v>
      </c>
      <c r="E331" s="8" t="s">
        <v>129</v>
      </c>
      <c r="F331" s="246">
        <v>0.0</v>
      </c>
      <c r="G331" s="35">
        <v>0.0</v>
      </c>
      <c r="H331" s="35">
        <v>0.0</v>
      </c>
      <c r="I331" s="35">
        <v>0.0</v>
      </c>
      <c r="J331" s="35">
        <v>0.0</v>
      </c>
      <c r="K331" s="35">
        <v>0.0</v>
      </c>
      <c r="L331" s="35">
        <v>0.0</v>
      </c>
      <c r="M331" s="35">
        <v>0.0</v>
      </c>
      <c r="N331" s="35">
        <v>0.0</v>
      </c>
      <c r="O331" s="35">
        <v>0.0</v>
      </c>
      <c r="P331" s="35">
        <v>0.0</v>
      </c>
      <c r="Q331" s="35">
        <v>0.0</v>
      </c>
      <c r="R331" s="35">
        <f t="shared" si="1"/>
        <v>0</v>
      </c>
      <c r="S331" s="243">
        <f t="shared" si="2"/>
        <v>0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>
        <f t="shared" si="87"/>
        <v>0</v>
      </c>
    </row>
    <row r="332" ht="12.75" customHeight="1">
      <c r="A332" s="238" t="s">
        <v>775</v>
      </c>
      <c r="B332" s="8" t="s">
        <v>345</v>
      </c>
      <c r="C332" s="241" t="s">
        <v>770</v>
      </c>
      <c r="D332" s="241" t="s">
        <v>333</v>
      </c>
      <c r="E332" s="8" t="s">
        <v>129</v>
      </c>
      <c r="F332" s="246">
        <v>0.0</v>
      </c>
      <c r="G332" s="35">
        <v>0.0</v>
      </c>
      <c r="H332" s="35">
        <v>0.0</v>
      </c>
      <c r="I332" s="35">
        <v>0.0</v>
      </c>
      <c r="J332" s="35">
        <v>0.0</v>
      </c>
      <c r="K332" s="35">
        <v>0.0</v>
      </c>
      <c r="L332" s="35">
        <v>0.0</v>
      </c>
      <c r="M332" s="35">
        <v>0.0</v>
      </c>
      <c r="N332" s="35">
        <v>0.0</v>
      </c>
      <c r="O332" s="35">
        <v>0.0</v>
      </c>
      <c r="P332" s="35">
        <v>0.0</v>
      </c>
      <c r="Q332" s="35">
        <v>0.0</v>
      </c>
      <c r="R332" s="35">
        <f t="shared" si="1"/>
        <v>0</v>
      </c>
      <c r="S332" s="243">
        <f t="shared" si="2"/>
        <v>0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>
        <f t="shared" si="87"/>
        <v>0</v>
      </c>
    </row>
    <row r="333" ht="12.75" customHeight="1">
      <c r="A333" s="238" t="s">
        <v>776</v>
      </c>
      <c r="B333" s="8" t="s">
        <v>349</v>
      </c>
      <c r="C333" s="241" t="s">
        <v>770</v>
      </c>
      <c r="D333" s="241" t="s">
        <v>333</v>
      </c>
      <c r="E333" s="8" t="s">
        <v>129</v>
      </c>
      <c r="F333" s="246">
        <v>0.0</v>
      </c>
      <c r="G333" s="35">
        <v>0.0</v>
      </c>
      <c r="H333" s="35">
        <v>0.0</v>
      </c>
      <c r="I333" s="35">
        <v>0.0</v>
      </c>
      <c r="J333" s="35">
        <v>0.0</v>
      </c>
      <c r="K333" s="35">
        <v>0.0</v>
      </c>
      <c r="L333" s="35">
        <v>0.0</v>
      </c>
      <c r="M333" s="35">
        <v>0.0</v>
      </c>
      <c r="N333" s="35">
        <v>0.0</v>
      </c>
      <c r="O333" s="35">
        <v>0.0</v>
      </c>
      <c r="P333" s="35">
        <v>0.0</v>
      </c>
      <c r="Q333" s="35">
        <v>0.0</v>
      </c>
      <c r="R333" s="35">
        <f t="shared" si="1"/>
        <v>0</v>
      </c>
      <c r="S333" s="243">
        <f t="shared" si="2"/>
        <v>0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>
        <f t="shared" si="87"/>
        <v>0</v>
      </c>
    </row>
    <row r="334" ht="12.75" customHeight="1">
      <c r="A334" s="238" t="s">
        <v>777</v>
      </c>
      <c r="B334" s="8" t="s">
        <v>332</v>
      </c>
      <c r="C334" s="241" t="s">
        <v>778</v>
      </c>
      <c r="D334" s="241" t="s">
        <v>333</v>
      </c>
      <c r="E334" s="8" t="s">
        <v>131</v>
      </c>
      <c r="F334" s="246">
        <f t="shared" ref="F334:Q334" si="89">26558/12</f>
        <v>2213.166667</v>
      </c>
      <c r="G334" s="35">
        <f t="shared" si="89"/>
        <v>2213.166667</v>
      </c>
      <c r="H334" s="35">
        <f t="shared" si="89"/>
        <v>2213.166667</v>
      </c>
      <c r="I334" s="35">
        <f t="shared" si="89"/>
        <v>2213.166667</v>
      </c>
      <c r="J334" s="35">
        <f t="shared" si="89"/>
        <v>2213.166667</v>
      </c>
      <c r="K334" s="35">
        <f t="shared" si="89"/>
        <v>2213.166667</v>
      </c>
      <c r="L334" s="35">
        <f t="shared" si="89"/>
        <v>2213.166667</v>
      </c>
      <c r="M334" s="35">
        <f t="shared" si="89"/>
        <v>2213.166667</v>
      </c>
      <c r="N334" s="35">
        <f t="shared" si="89"/>
        <v>2213.166667</v>
      </c>
      <c r="O334" s="35">
        <f t="shared" si="89"/>
        <v>2213.166667</v>
      </c>
      <c r="P334" s="35">
        <f t="shared" si="89"/>
        <v>2213.166667</v>
      </c>
      <c r="Q334" s="35">
        <f t="shared" si="89"/>
        <v>2213.166667</v>
      </c>
      <c r="R334" s="35">
        <f t="shared" si="1"/>
        <v>26558</v>
      </c>
      <c r="S334" s="243">
        <f t="shared" si="2"/>
        <v>6639.5</v>
      </c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>
        <f t="shared" si="87"/>
        <v>0</v>
      </c>
    </row>
    <row r="335" ht="12.75" customHeight="1">
      <c r="A335" s="238" t="s">
        <v>779</v>
      </c>
      <c r="B335" s="8" t="s">
        <v>339</v>
      </c>
      <c r="C335" s="241" t="s">
        <v>778</v>
      </c>
      <c r="D335" s="241" t="s">
        <v>333</v>
      </c>
      <c r="E335" s="8" t="s">
        <v>131</v>
      </c>
      <c r="F335" s="246">
        <v>0.0</v>
      </c>
      <c r="G335" s="35">
        <v>0.0</v>
      </c>
      <c r="H335" s="35">
        <v>0.0</v>
      </c>
      <c r="I335" s="35">
        <v>0.0</v>
      </c>
      <c r="J335" s="35">
        <v>0.0</v>
      </c>
      <c r="K335" s="35">
        <v>0.0</v>
      </c>
      <c r="L335" s="35">
        <v>0.0</v>
      </c>
      <c r="M335" s="35">
        <v>0.0</v>
      </c>
      <c r="N335" s="35">
        <v>0.0</v>
      </c>
      <c r="O335" s="35">
        <v>0.0</v>
      </c>
      <c r="P335" s="35">
        <v>0.0</v>
      </c>
      <c r="Q335" s="35">
        <v>0.0</v>
      </c>
      <c r="R335" s="35">
        <f t="shared" si="1"/>
        <v>0</v>
      </c>
      <c r="S335" s="243">
        <f t="shared" si="2"/>
        <v>0</v>
      </c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>
        <f t="shared" si="87"/>
        <v>0</v>
      </c>
    </row>
    <row r="336" ht="12.75" customHeight="1">
      <c r="A336" s="238" t="s">
        <v>780</v>
      </c>
      <c r="B336" s="8" t="s">
        <v>108</v>
      </c>
      <c r="C336" s="241" t="s">
        <v>778</v>
      </c>
      <c r="D336" s="241" t="s">
        <v>312</v>
      </c>
      <c r="E336" s="8" t="s">
        <v>131</v>
      </c>
      <c r="F336" s="259">
        <v>0.0</v>
      </c>
      <c r="G336" s="74">
        <v>0.0</v>
      </c>
      <c r="H336" s="74">
        <v>0.0</v>
      </c>
      <c r="I336" s="74">
        <v>0.0</v>
      </c>
      <c r="J336" s="74">
        <v>0.0</v>
      </c>
      <c r="K336" s="74">
        <v>0.0</v>
      </c>
      <c r="L336" s="74">
        <v>0.0</v>
      </c>
      <c r="M336" s="74">
        <v>0.0</v>
      </c>
      <c r="N336" s="74">
        <v>0.0</v>
      </c>
      <c r="O336" s="74">
        <v>0.0</v>
      </c>
      <c r="P336" s="74">
        <v>0.0</v>
      </c>
      <c r="Q336" s="74">
        <v>0.0</v>
      </c>
      <c r="R336" s="35">
        <f t="shared" si="1"/>
        <v>0</v>
      </c>
      <c r="S336" s="243">
        <f t="shared" si="2"/>
        <v>0</v>
      </c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>
        <f t="shared" si="87"/>
        <v>0</v>
      </c>
    </row>
    <row r="337" ht="12.75" customHeight="1">
      <c r="A337" s="238" t="s">
        <v>781</v>
      </c>
      <c r="B337" s="8" t="s">
        <v>89</v>
      </c>
      <c r="C337" s="241" t="s">
        <v>778</v>
      </c>
      <c r="D337" s="241" t="s">
        <v>312</v>
      </c>
      <c r="E337" s="8" t="s">
        <v>131</v>
      </c>
      <c r="F337" s="259">
        <v>0.0</v>
      </c>
      <c r="G337" s="74">
        <v>0.0</v>
      </c>
      <c r="H337" s="74">
        <v>0.0</v>
      </c>
      <c r="I337" s="74">
        <v>0.0</v>
      </c>
      <c r="J337" s="74">
        <v>0.0</v>
      </c>
      <c r="K337" s="74">
        <v>0.0</v>
      </c>
      <c r="L337" s="74">
        <v>0.0</v>
      </c>
      <c r="M337" s="74">
        <v>0.0</v>
      </c>
      <c r="N337" s="74">
        <v>0.0</v>
      </c>
      <c r="O337" s="74">
        <v>0.0</v>
      </c>
      <c r="P337" s="74">
        <v>0.0</v>
      </c>
      <c r="Q337" s="74">
        <v>0.0</v>
      </c>
      <c r="R337" s="35">
        <f t="shared" si="1"/>
        <v>0</v>
      </c>
      <c r="S337" s="243">
        <f t="shared" si="2"/>
        <v>0</v>
      </c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>
        <f t="shared" si="87"/>
        <v>0</v>
      </c>
    </row>
    <row r="338" ht="12.75" customHeight="1">
      <c r="A338" s="238" t="s">
        <v>777</v>
      </c>
      <c r="B338" s="8" t="s">
        <v>332</v>
      </c>
      <c r="C338" s="241" t="s">
        <v>778</v>
      </c>
      <c r="D338" s="241" t="s">
        <v>333</v>
      </c>
      <c r="E338" s="8" t="s">
        <v>131</v>
      </c>
      <c r="F338" s="246">
        <v>0.0</v>
      </c>
      <c r="G338" s="35">
        <v>0.0</v>
      </c>
      <c r="H338" s="35">
        <v>0.0</v>
      </c>
      <c r="I338" s="242">
        <v>0.0</v>
      </c>
      <c r="J338" s="35">
        <v>0.0</v>
      </c>
      <c r="K338" s="35">
        <v>0.0</v>
      </c>
      <c r="L338" s="35">
        <v>0.0</v>
      </c>
      <c r="M338" s="35">
        <v>0.0</v>
      </c>
      <c r="N338" s="35">
        <v>0.0</v>
      </c>
      <c r="O338" s="35">
        <v>0.0</v>
      </c>
      <c r="P338" s="35">
        <v>0.0</v>
      </c>
      <c r="Q338" s="35">
        <v>0.0</v>
      </c>
      <c r="R338" s="242">
        <f t="shared" si="1"/>
        <v>0</v>
      </c>
      <c r="S338" s="243">
        <f t="shared" si="2"/>
        <v>0</v>
      </c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>
        <f t="shared" si="87"/>
        <v>0</v>
      </c>
    </row>
    <row r="339" ht="12.75" customHeight="1">
      <c r="A339" s="238" t="s">
        <v>782</v>
      </c>
      <c r="B339" s="8" t="s">
        <v>343</v>
      </c>
      <c r="C339" s="241" t="s">
        <v>778</v>
      </c>
      <c r="D339" s="241" t="s">
        <v>333</v>
      </c>
      <c r="E339" s="8" t="s">
        <v>131</v>
      </c>
      <c r="F339" s="246">
        <v>0.0</v>
      </c>
      <c r="G339" s="35">
        <v>0.0</v>
      </c>
      <c r="H339" s="35">
        <v>0.0</v>
      </c>
      <c r="I339" s="35">
        <v>0.0</v>
      </c>
      <c r="J339" s="35">
        <v>0.0</v>
      </c>
      <c r="K339" s="35">
        <v>0.0</v>
      </c>
      <c r="L339" s="35">
        <v>0.0</v>
      </c>
      <c r="M339" s="35">
        <v>0.0</v>
      </c>
      <c r="N339" s="35">
        <v>0.0</v>
      </c>
      <c r="O339" s="35">
        <v>0.0</v>
      </c>
      <c r="P339" s="35">
        <v>0.0</v>
      </c>
      <c r="Q339" s="35">
        <v>0.0</v>
      </c>
      <c r="R339" s="35">
        <f t="shared" si="1"/>
        <v>0</v>
      </c>
      <c r="S339" s="243">
        <f t="shared" si="2"/>
        <v>0</v>
      </c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>
        <f t="shared" si="87"/>
        <v>0</v>
      </c>
    </row>
    <row r="340" ht="12.75" customHeight="1">
      <c r="A340" s="238" t="s">
        <v>783</v>
      </c>
      <c r="B340" s="8" t="s">
        <v>345</v>
      </c>
      <c r="C340" s="241" t="s">
        <v>778</v>
      </c>
      <c r="D340" s="241" t="s">
        <v>333</v>
      </c>
      <c r="E340" s="8" t="s">
        <v>131</v>
      </c>
      <c r="F340" s="246">
        <v>416.6666666666667</v>
      </c>
      <c r="G340" s="35">
        <v>416.6666666666667</v>
      </c>
      <c r="H340" s="35">
        <v>416.6666666666667</v>
      </c>
      <c r="I340" s="35">
        <v>416.6666666666667</v>
      </c>
      <c r="J340" s="35">
        <v>416.6666666666667</v>
      </c>
      <c r="K340" s="35">
        <v>416.6666666666667</v>
      </c>
      <c r="L340" s="35">
        <v>416.6666666666667</v>
      </c>
      <c r="M340" s="35">
        <v>416.6666666666667</v>
      </c>
      <c r="N340" s="35">
        <v>416.6666666666667</v>
      </c>
      <c r="O340" s="35">
        <v>416.6666666666667</v>
      </c>
      <c r="P340" s="35">
        <v>416.6666666666667</v>
      </c>
      <c r="Q340" s="35">
        <v>416.6666666666667</v>
      </c>
      <c r="R340" s="35">
        <f t="shared" si="1"/>
        <v>5000</v>
      </c>
      <c r="S340" s="243">
        <f t="shared" si="2"/>
        <v>1250</v>
      </c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>
        <f t="shared" si="87"/>
        <v>0</v>
      </c>
    </row>
    <row r="341" ht="12.75" customHeight="1">
      <c r="A341" s="238" t="s">
        <v>784</v>
      </c>
      <c r="B341" s="8" t="s">
        <v>349</v>
      </c>
      <c r="C341" s="241" t="s">
        <v>778</v>
      </c>
      <c r="D341" s="241" t="s">
        <v>333</v>
      </c>
      <c r="E341" s="8" t="s">
        <v>131</v>
      </c>
      <c r="F341" s="246">
        <v>0.0</v>
      </c>
      <c r="G341" s="35">
        <v>0.0</v>
      </c>
      <c r="H341" s="35">
        <v>0.0</v>
      </c>
      <c r="I341" s="35">
        <v>0.0</v>
      </c>
      <c r="J341" s="35">
        <v>0.0</v>
      </c>
      <c r="K341" s="35">
        <v>0.0</v>
      </c>
      <c r="L341" s="35">
        <v>0.0</v>
      </c>
      <c r="M341" s="35">
        <v>0.0</v>
      </c>
      <c r="N341" s="35">
        <v>0.0</v>
      </c>
      <c r="O341" s="35">
        <v>0.0</v>
      </c>
      <c r="P341" s="35">
        <v>0.0</v>
      </c>
      <c r="Q341" s="35">
        <v>0.0</v>
      </c>
      <c r="R341" s="35">
        <f t="shared" si="1"/>
        <v>0</v>
      </c>
      <c r="S341" s="243">
        <f t="shared" si="2"/>
        <v>0</v>
      </c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>
        <f t="shared" si="87"/>
        <v>0</v>
      </c>
    </row>
    <row r="342" ht="12.75" customHeight="1">
      <c r="A342" s="238" t="s">
        <v>785</v>
      </c>
      <c r="B342" s="8" t="s">
        <v>332</v>
      </c>
      <c r="C342" s="241" t="s">
        <v>786</v>
      </c>
      <c r="D342" s="241" t="s">
        <v>333</v>
      </c>
      <c r="E342" s="8" t="s">
        <v>133</v>
      </c>
      <c r="F342" s="246">
        <v>8000.0</v>
      </c>
      <c r="G342" s="35">
        <v>8000.0</v>
      </c>
      <c r="H342" s="35">
        <v>8000.0</v>
      </c>
      <c r="I342" s="35">
        <v>8000.0</v>
      </c>
      <c r="J342" s="35">
        <v>8000.0</v>
      </c>
      <c r="K342" s="35">
        <v>8000.0</v>
      </c>
      <c r="L342" s="35">
        <v>8000.0</v>
      </c>
      <c r="M342" s="35">
        <v>8000.0</v>
      </c>
      <c r="N342" s="35">
        <v>8000.0</v>
      </c>
      <c r="O342" s="35">
        <v>8000.0</v>
      </c>
      <c r="P342" s="35">
        <v>8000.0</v>
      </c>
      <c r="Q342" s="35">
        <v>8000.0</v>
      </c>
      <c r="R342" s="35">
        <f t="shared" si="1"/>
        <v>96000</v>
      </c>
      <c r="S342" s="243">
        <f t="shared" si="2"/>
        <v>24000</v>
      </c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>
        <f t="shared" si="87"/>
        <v>0</v>
      </c>
    </row>
    <row r="343" ht="12.75" customHeight="1">
      <c r="A343" s="238" t="s">
        <v>787</v>
      </c>
      <c r="B343" s="8" t="s">
        <v>339</v>
      </c>
      <c r="C343" s="241" t="s">
        <v>786</v>
      </c>
      <c r="D343" s="241" t="s">
        <v>333</v>
      </c>
      <c r="E343" s="8" t="s">
        <v>133</v>
      </c>
      <c r="F343" s="246">
        <f t="shared" ref="F343:Q343" si="90">89572/12</f>
        <v>7464.333333</v>
      </c>
      <c r="G343" s="35">
        <f t="shared" si="90"/>
        <v>7464.333333</v>
      </c>
      <c r="H343" s="35">
        <f t="shared" si="90"/>
        <v>7464.333333</v>
      </c>
      <c r="I343" s="35">
        <f t="shared" si="90"/>
        <v>7464.333333</v>
      </c>
      <c r="J343" s="35">
        <f t="shared" si="90"/>
        <v>7464.333333</v>
      </c>
      <c r="K343" s="35">
        <f t="shared" si="90"/>
        <v>7464.333333</v>
      </c>
      <c r="L343" s="35">
        <f t="shared" si="90"/>
        <v>7464.333333</v>
      </c>
      <c r="M343" s="35">
        <f t="shared" si="90"/>
        <v>7464.333333</v>
      </c>
      <c r="N343" s="35">
        <f t="shared" si="90"/>
        <v>7464.333333</v>
      </c>
      <c r="O343" s="35">
        <f t="shared" si="90"/>
        <v>7464.333333</v>
      </c>
      <c r="P343" s="35">
        <f t="shared" si="90"/>
        <v>7464.333333</v>
      </c>
      <c r="Q343" s="35">
        <f t="shared" si="90"/>
        <v>7464.333333</v>
      </c>
      <c r="R343" s="35">
        <f t="shared" si="1"/>
        <v>89572</v>
      </c>
      <c r="S343" s="243">
        <f t="shared" si="2"/>
        <v>22393</v>
      </c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>
        <f t="shared" si="87"/>
        <v>0</v>
      </c>
    </row>
    <row r="344" ht="12.75" customHeight="1">
      <c r="A344" s="238" t="s">
        <v>788</v>
      </c>
      <c r="B344" s="8" t="s">
        <v>108</v>
      </c>
      <c r="C344" s="241" t="s">
        <v>786</v>
      </c>
      <c r="D344" s="241" t="s">
        <v>312</v>
      </c>
      <c r="E344" s="8" t="s">
        <v>133</v>
      </c>
      <c r="F344" s="259">
        <v>0.0</v>
      </c>
      <c r="G344" s="74">
        <v>0.0</v>
      </c>
      <c r="H344" s="74">
        <v>0.0</v>
      </c>
      <c r="I344" s="74">
        <v>0.0</v>
      </c>
      <c r="J344" s="74">
        <v>0.0</v>
      </c>
      <c r="K344" s="74">
        <v>0.0</v>
      </c>
      <c r="L344" s="74">
        <v>0.0</v>
      </c>
      <c r="M344" s="74">
        <v>0.0</v>
      </c>
      <c r="N344" s="74">
        <v>0.0</v>
      </c>
      <c r="O344" s="74">
        <v>0.0</v>
      </c>
      <c r="P344" s="74">
        <v>0.0</v>
      </c>
      <c r="Q344" s="74">
        <v>0.0</v>
      </c>
      <c r="R344" s="35">
        <f t="shared" si="1"/>
        <v>0</v>
      </c>
      <c r="S344" s="243">
        <f t="shared" si="2"/>
        <v>0</v>
      </c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>
        <f t="shared" si="87"/>
        <v>0</v>
      </c>
    </row>
    <row r="345" ht="12.75" customHeight="1">
      <c r="A345" s="238" t="s">
        <v>789</v>
      </c>
      <c r="B345" s="8" t="s">
        <v>89</v>
      </c>
      <c r="C345" s="241" t="s">
        <v>786</v>
      </c>
      <c r="D345" s="241" t="s">
        <v>312</v>
      </c>
      <c r="E345" s="8" t="s">
        <v>133</v>
      </c>
      <c r="F345" s="259">
        <v>0.0</v>
      </c>
      <c r="G345" s="74">
        <v>0.0</v>
      </c>
      <c r="H345" s="74">
        <v>0.0</v>
      </c>
      <c r="I345" s="74">
        <v>0.0</v>
      </c>
      <c r="J345" s="74">
        <v>0.0</v>
      </c>
      <c r="K345" s="74">
        <v>0.0</v>
      </c>
      <c r="L345" s="74">
        <v>0.0</v>
      </c>
      <c r="M345" s="74">
        <v>0.0</v>
      </c>
      <c r="N345" s="74">
        <v>0.0</v>
      </c>
      <c r="O345" s="74">
        <v>0.0</v>
      </c>
      <c r="P345" s="74">
        <v>0.0</v>
      </c>
      <c r="Q345" s="74">
        <v>0.0</v>
      </c>
      <c r="R345" s="35">
        <f t="shared" si="1"/>
        <v>0</v>
      </c>
      <c r="S345" s="243">
        <f t="shared" si="2"/>
        <v>0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>
        <f t="shared" si="87"/>
        <v>0</v>
      </c>
    </row>
    <row r="346" ht="12.75" customHeight="1">
      <c r="A346" s="238" t="s">
        <v>785</v>
      </c>
      <c r="B346" s="8" t="s">
        <v>332</v>
      </c>
      <c r="C346" s="241" t="s">
        <v>786</v>
      </c>
      <c r="D346" s="241" t="s">
        <v>333</v>
      </c>
      <c r="E346" s="8" t="s">
        <v>133</v>
      </c>
      <c r="F346" s="246">
        <v>83.33333333333333</v>
      </c>
      <c r="G346" s="35">
        <v>83.33333333333333</v>
      </c>
      <c r="H346" s="35">
        <v>83.33333333333333</v>
      </c>
      <c r="I346" s="242">
        <v>83.33333333333333</v>
      </c>
      <c r="J346" s="35">
        <v>83.33333333333333</v>
      </c>
      <c r="K346" s="35">
        <v>83.33333333333333</v>
      </c>
      <c r="L346" s="35">
        <v>83.33333333333333</v>
      </c>
      <c r="M346" s="35">
        <v>83.33333333333333</v>
      </c>
      <c r="N346" s="35">
        <v>83.33333333333333</v>
      </c>
      <c r="O346" s="35">
        <v>83.33333333333333</v>
      </c>
      <c r="P346" s="35">
        <v>83.33333333333333</v>
      </c>
      <c r="Q346" s="35">
        <v>83.33333333333333</v>
      </c>
      <c r="R346" s="242">
        <f t="shared" si="1"/>
        <v>1000</v>
      </c>
      <c r="S346" s="243">
        <f t="shared" si="2"/>
        <v>250</v>
      </c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>
        <f t="shared" si="87"/>
        <v>0</v>
      </c>
    </row>
    <row r="347" ht="12.75" customHeight="1">
      <c r="A347" s="238" t="s">
        <v>790</v>
      </c>
      <c r="B347" s="8" t="s">
        <v>343</v>
      </c>
      <c r="C347" s="241" t="s">
        <v>786</v>
      </c>
      <c r="D347" s="241" t="s">
        <v>333</v>
      </c>
      <c r="E347" s="8" t="s">
        <v>133</v>
      </c>
      <c r="F347" s="246">
        <v>0.0</v>
      </c>
      <c r="G347" s="35">
        <v>0.0</v>
      </c>
      <c r="H347" s="35">
        <v>0.0</v>
      </c>
      <c r="I347" s="35">
        <v>0.0</v>
      </c>
      <c r="J347" s="35">
        <v>0.0</v>
      </c>
      <c r="K347" s="35">
        <v>0.0</v>
      </c>
      <c r="L347" s="35">
        <v>0.0</v>
      </c>
      <c r="M347" s="35">
        <v>0.0</v>
      </c>
      <c r="N347" s="35">
        <v>0.0</v>
      </c>
      <c r="O347" s="35">
        <v>0.0</v>
      </c>
      <c r="P347" s="35">
        <v>0.0</v>
      </c>
      <c r="Q347" s="35">
        <v>0.0</v>
      </c>
      <c r="R347" s="35">
        <f t="shared" si="1"/>
        <v>0</v>
      </c>
      <c r="S347" s="243">
        <f t="shared" si="2"/>
        <v>0</v>
      </c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>
        <f t="shared" si="87"/>
        <v>0</v>
      </c>
    </row>
    <row r="348" ht="12.75" customHeight="1">
      <c r="A348" s="238" t="s">
        <v>791</v>
      </c>
      <c r="B348" s="8" t="s">
        <v>345</v>
      </c>
      <c r="C348" s="241" t="s">
        <v>786</v>
      </c>
      <c r="D348" s="241" t="s">
        <v>333</v>
      </c>
      <c r="E348" s="8" t="s">
        <v>133</v>
      </c>
      <c r="F348" s="246">
        <v>166.66666666666666</v>
      </c>
      <c r="G348" s="35">
        <v>166.66666666666666</v>
      </c>
      <c r="H348" s="35">
        <v>166.66666666666666</v>
      </c>
      <c r="I348" s="35">
        <v>166.66666666666666</v>
      </c>
      <c r="J348" s="35">
        <v>166.66666666666666</v>
      </c>
      <c r="K348" s="35">
        <v>166.66666666666666</v>
      </c>
      <c r="L348" s="35">
        <v>166.66666666666666</v>
      </c>
      <c r="M348" s="35">
        <v>166.66666666666666</v>
      </c>
      <c r="N348" s="35">
        <v>166.66666666666666</v>
      </c>
      <c r="O348" s="35">
        <v>166.66666666666666</v>
      </c>
      <c r="P348" s="35">
        <v>166.66666666666666</v>
      </c>
      <c r="Q348" s="35">
        <v>166.66666666666666</v>
      </c>
      <c r="R348" s="35">
        <f t="shared" si="1"/>
        <v>2000</v>
      </c>
      <c r="S348" s="243">
        <f t="shared" si="2"/>
        <v>500</v>
      </c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>
        <f t="shared" si="87"/>
        <v>0</v>
      </c>
    </row>
    <row r="349" ht="12.75" customHeight="1">
      <c r="A349" s="238" t="s">
        <v>792</v>
      </c>
      <c r="B349" s="8" t="s">
        <v>349</v>
      </c>
      <c r="C349" s="241" t="s">
        <v>786</v>
      </c>
      <c r="D349" s="241" t="s">
        <v>333</v>
      </c>
      <c r="E349" s="8" t="s">
        <v>133</v>
      </c>
      <c r="F349" s="246">
        <v>0.0</v>
      </c>
      <c r="G349" s="35">
        <v>0.0</v>
      </c>
      <c r="H349" s="35">
        <v>0.0</v>
      </c>
      <c r="I349" s="35">
        <v>0.0</v>
      </c>
      <c r="J349" s="35">
        <v>0.0</v>
      </c>
      <c r="K349" s="35">
        <v>0.0</v>
      </c>
      <c r="L349" s="35">
        <v>0.0</v>
      </c>
      <c r="M349" s="35">
        <v>0.0</v>
      </c>
      <c r="N349" s="35">
        <v>0.0</v>
      </c>
      <c r="O349" s="35">
        <v>0.0</v>
      </c>
      <c r="P349" s="35">
        <v>0.0</v>
      </c>
      <c r="Q349" s="35">
        <v>0.0</v>
      </c>
      <c r="R349" s="35">
        <f t="shared" si="1"/>
        <v>0</v>
      </c>
      <c r="S349" s="243">
        <f t="shared" si="2"/>
        <v>0</v>
      </c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>
        <f t="shared" si="87"/>
        <v>0</v>
      </c>
    </row>
    <row r="350" ht="12.75" customHeight="1">
      <c r="A350" s="238" t="s">
        <v>529</v>
      </c>
      <c r="B350" s="8" t="s">
        <v>332</v>
      </c>
      <c r="C350" s="241" t="s">
        <v>793</v>
      </c>
      <c r="D350" s="241" t="s">
        <v>333</v>
      </c>
      <c r="E350" s="8" t="s">
        <v>135</v>
      </c>
      <c r="F350" s="246">
        <f t="shared" ref="F350:Q350" si="91">85000/12</f>
        <v>7083.333333</v>
      </c>
      <c r="G350" s="35">
        <f t="shared" si="91"/>
        <v>7083.333333</v>
      </c>
      <c r="H350" s="35">
        <f t="shared" si="91"/>
        <v>7083.333333</v>
      </c>
      <c r="I350" s="35">
        <f t="shared" si="91"/>
        <v>7083.333333</v>
      </c>
      <c r="J350" s="35">
        <f t="shared" si="91"/>
        <v>7083.333333</v>
      </c>
      <c r="K350" s="35">
        <f t="shared" si="91"/>
        <v>7083.333333</v>
      </c>
      <c r="L350" s="35">
        <f t="shared" si="91"/>
        <v>7083.333333</v>
      </c>
      <c r="M350" s="35">
        <f t="shared" si="91"/>
        <v>7083.333333</v>
      </c>
      <c r="N350" s="35">
        <f t="shared" si="91"/>
        <v>7083.333333</v>
      </c>
      <c r="O350" s="35">
        <f t="shared" si="91"/>
        <v>7083.333333</v>
      </c>
      <c r="P350" s="35">
        <f t="shared" si="91"/>
        <v>7083.333333</v>
      </c>
      <c r="Q350" s="35">
        <f t="shared" si="91"/>
        <v>7083.333333</v>
      </c>
      <c r="R350" s="35">
        <f t="shared" si="1"/>
        <v>85000</v>
      </c>
      <c r="S350" s="243">
        <f t="shared" si="2"/>
        <v>21250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>
        <f t="shared" si="87"/>
        <v>0</v>
      </c>
    </row>
    <row r="351" ht="12.75" customHeight="1">
      <c r="A351" s="238" t="s">
        <v>794</v>
      </c>
      <c r="B351" s="8" t="s">
        <v>339</v>
      </c>
      <c r="C351" s="241" t="s">
        <v>793</v>
      </c>
      <c r="D351" s="241" t="s">
        <v>333</v>
      </c>
      <c r="E351" s="8" t="s">
        <v>135</v>
      </c>
      <c r="F351" s="246">
        <v>0.0</v>
      </c>
      <c r="G351" s="35">
        <v>0.0</v>
      </c>
      <c r="H351" s="35">
        <v>0.0</v>
      </c>
      <c r="I351" s="35">
        <v>0.0</v>
      </c>
      <c r="J351" s="35">
        <v>0.0</v>
      </c>
      <c r="K351" s="35">
        <v>0.0</v>
      </c>
      <c r="L351" s="35">
        <v>0.0</v>
      </c>
      <c r="M351" s="35">
        <v>0.0</v>
      </c>
      <c r="N351" s="35">
        <v>0.0</v>
      </c>
      <c r="O351" s="35">
        <v>0.0</v>
      </c>
      <c r="P351" s="35">
        <v>0.0</v>
      </c>
      <c r="Q351" s="35">
        <v>0.0</v>
      </c>
      <c r="R351" s="35">
        <f t="shared" si="1"/>
        <v>0</v>
      </c>
      <c r="S351" s="243">
        <f t="shared" si="2"/>
        <v>0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>
        <f t="shared" si="87"/>
        <v>0</v>
      </c>
    </row>
    <row r="352" ht="12.75" customHeight="1">
      <c r="A352" s="238" t="s">
        <v>525</v>
      </c>
      <c r="B352" s="8" t="s">
        <v>108</v>
      </c>
      <c r="C352" s="241" t="s">
        <v>793</v>
      </c>
      <c r="D352" s="241" t="s">
        <v>312</v>
      </c>
      <c r="E352" s="8" t="s">
        <v>135</v>
      </c>
      <c r="F352" s="259">
        <v>0.0</v>
      </c>
      <c r="G352" s="74">
        <v>0.0</v>
      </c>
      <c r="H352" s="74">
        <v>0.0</v>
      </c>
      <c r="I352" s="74">
        <v>0.0</v>
      </c>
      <c r="J352" s="74">
        <v>0.0</v>
      </c>
      <c r="K352" s="74">
        <v>0.0</v>
      </c>
      <c r="L352" s="74">
        <v>0.0</v>
      </c>
      <c r="M352" s="74">
        <v>0.0</v>
      </c>
      <c r="N352" s="74">
        <v>0.0</v>
      </c>
      <c r="O352" s="74">
        <v>0.0</v>
      </c>
      <c r="P352" s="74">
        <v>0.0</v>
      </c>
      <c r="Q352" s="74">
        <v>0.0</v>
      </c>
      <c r="R352" s="35">
        <f t="shared" si="1"/>
        <v>0</v>
      </c>
      <c r="S352" s="243">
        <f t="shared" si="2"/>
        <v>0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>
        <f t="shared" si="87"/>
        <v>0</v>
      </c>
    </row>
    <row r="353" ht="12.75" customHeight="1">
      <c r="A353" s="238" t="s">
        <v>527</v>
      </c>
      <c r="B353" s="8" t="s">
        <v>89</v>
      </c>
      <c r="C353" s="241" t="s">
        <v>793</v>
      </c>
      <c r="D353" s="241" t="s">
        <v>312</v>
      </c>
      <c r="E353" s="8" t="s">
        <v>135</v>
      </c>
      <c r="F353" s="259">
        <v>0.0</v>
      </c>
      <c r="G353" s="74">
        <v>0.0</v>
      </c>
      <c r="H353" s="74">
        <v>0.0</v>
      </c>
      <c r="I353" s="74">
        <v>0.0</v>
      </c>
      <c r="J353" s="74">
        <v>0.0</v>
      </c>
      <c r="K353" s="74">
        <v>0.0</v>
      </c>
      <c r="L353" s="74">
        <v>0.0</v>
      </c>
      <c r="M353" s="74">
        <v>0.0</v>
      </c>
      <c r="N353" s="74">
        <v>0.0</v>
      </c>
      <c r="O353" s="74">
        <v>0.0</v>
      </c>
      <c r="P353" s="74">
        <v>0.0</v>
      </c>
      <c r="Q353" s="74">
        <v>0.0</v>
      </c>
      <c r="R353" s="35">
        <f t="shared" si="1"/>
        <v>0</v>
      </c>
      <c r="S353" s="243">
        <f t="shared" si="2"/>
        <v>0</v>
      </c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>
        <f t="shared" si="87"/>
        <v>0</v>
      </c>
    </row>
    <row r="354" ht="12.75" customHeight="1">
      <c r="A354" s="238" t="s">
        <v>529</v>
      </c>
      <c r="B354" s="8" t="s">
        <v>332</v>
      </c>
      <c r="C354" s="241" t="s">
        <v>793</v>
      </c>
      <c r="D354" s="241" t="s">
        <v>333</v>
      </c>
      <c r="E354" s="8" t="s">
        <v>135</v>
      </c>
      <c r="F354" s="246">
        <v>0.0</v>
      </c>
      <c r="G354" s="35">
        <v>0.0</v>
      </c>
      <c r="H354" s="35">
        <v>0.0</v>
      </c>
      <c r="I354" s="242">
        <v>0.0</v>
      </c>
      <c r="J354" s="35">
        <v>0.0</v>
      </c>
      <c r="K354" s="35">
        <v>0.0</v>
      </c>
      <c r="L354" s="35">
        <v>0.0</v>
      </c>
      <c r="M354" s="35">
        <v>0.0</v>
      </c>
      <c r="N354" s="35">
        <v>0.0</v>
      </c>
      <c r="O354" s="35">
        <v>0.0</v>
      </c>
      <c r="P354" s="35">
        <v>0.0</v>
      </c>
      <c r="Q354" s="35">
        <v>0.0</v>
      </c>
      <c r="R354" s="242">
        <f t="shared" si="1"/>
        <v>0</v>
      </c>
      <c r="S354" s="243">
        <f t="shared" si="2"/>
        <v>0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>
        <f t="shared" si="87"/>
        <v>0</v>
      </c>
    </row>
    <row r="355" ht="12.75" customHeight="1">
      <c r="A355" s="238" t="s">
        <v>795</v>
      </c>
      <c r="B355" s="8" t="s">
        <v>343</v>
      </c>
      <c r="C355" s="241" t="s">
        <v>793</v>
      </c>
      <c r="D355" s="241" t="s">
        <v>333</v>
      </c>
      <c r="E355" s="8" t="s">
        <v>135</v>
      </c>
      <c r="F355" s="246">
        <v>0.0</v>
      </c>
      <c r="G355" s="35">
        <v>0.0</v>
      </c>
      <c r="H355" s="35">
        <v>0.0</v>
      </c>
      <c r="I355" s="35">
        <v>0.0</v>
      </c>
      <c r="J355" s="35">
        <v>0.0</v>
      </c>
      <c r="K355" s="35">
        <v>0.0</v>
      </c>
      <c r="L355" s="35">
        <v>0.0</v>
      </c>
      <c r="M355" s="35">
        <v>0.0</v>
      </c>
      <c r="N355" s="35">
        <v>0.0</v>
      </c>
      <c r="O355" s="35">
        <v>0.0</v>
      </c>
      <c r="P355" s="35">
        <v>0.0</v>
      </c>
      <c r="Q355" s="35">
        <v>0.0</v>
      </c>
      <c r="R355" s="35">
        <f t="shared" si="1"/>
        <v>0</v>
      </c>
      <c r="S355" s="243">
        <f t="shared" si="2"/>
        <v>0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>
        <f t="shared" si="87"/>
        <v>0</v>
      </c>
    </row>
    <row r="356" ht="12.75" customHeight="1">
      <c r="A356" s="238" t="s">
        <v>796</v>
      </c>
      <c r="B356" s="8" t="s">
        <v>345</v>
      </c>
      <c r="C356" s="241" t="s">
        <v>793</v>
      </c>
      <c r="D356" s="241" t="s">
        <v>333</v>
      </c>
      <c r="E356" s="8" t="s">
        <v>135</v>
      </c>
      <c r="F356" s="246">
        <v>0.0</v>
      </c>
      <c r="G356" s="35">
        <v>0.0</v>
      </c>
      <c r="H356" s="35">
        <v>0.0</v>
      </c>
      <c r="I356" s="35">
        <v>0.0</v>
      </c>
      <c r="J356" s="35">
        <v>0.0</v>
      </c>
      <c r="K356" s="35">
        <v>0.0</v>
      </c>
      <c r="L356" s="35">
        <v>0.0</v>
      </c>
      <c r="M356" s="35">
        <v>0.0</v>
      </c>
      <c r="N356" s="35">
        <v>0.0</v>
      </c>
      <c r="O356" s="35">
        <v>0.0</v>
      </c>
      <c r="P356" s="35">
        <v>0.0</v>
      </c>
      <c r="Q356" s="35">
        <v>0.0</v>
      </c>
      <c r="R356" s="35">
        <f t="shared" si="1"/>
        <v>0</v>
      </c>
      <c r="S356" s="243">
        <f t="shared" si="2"/>
        <v>0</v>
      </c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>
        <f t="shared" si="87"/>
        <v>0</v>
      </c>
    </row>
    <row r="357" ht="12.75" customHeight="1">
      <c r="A357" s="238" t="s">
        <v>797</v>
      </c>
      <c r="B357" s="8" t="s">
        <v>349</v>
      </c>
      <c r="C357" s="241" t="s">
        <v>793</v>
      </c>
      <c r="D357" s="241" t="s">
        <v>333</v>
      </c>
      <c r="E357" s="8" t="s">
        <v>135</v>
      </c>
      <c r="F357" s="246">
        <v>0.0</v>
      </c>
      <c r="G357" s="35">
        <v>0.0</v>
      </c>
      <c r="H357" s="35">
        <v>0.0</v>
      </c>
      <c r="I357" s="35">
        <v>0.0</v>
      </c>
      <c r="J357" s="35">
        <v>0.0</v>
      </c>
      <c r="K357" s="35">
        <v>0.0</v>
      </c>
      <c r="L357" s="35">
        <v>0.0</v>
      </c>
      <c r="M357" s="35">
        <v>0.0</v>
      </c>
      <c r="N357" s="35">
        <v>0.0</v>
      </c>
      <c r="O357" s="35">
        <v>0.0</v>
      </c>
      <c r="P357" s="35">
        <v>0.0</v>
      </c>
      <c r="Q357" s="35">
        <v>0.0</v>
      </c>
      <c r="R357" s="35">
        <f t="shared" si="1"/>
        <v>0</v>
      </c>
      <c r="S357" s="243">
        <f t="shared" si="2"/>
        <v>0</v>
      </c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>
        <f t="shared" si="87"/>
        <v>0</v>
      </c>
    </row>
    <row r="358" ht="12.75" customHeight="1">
      <c r="A358" s="238" t="s">
        <v>798</v>
      </c>
      <c r="B358" s="8" t="s">
        <v>332</v>
      </c>
      <c r="C358" s="241" t="s">
        <v>799</v>
      </c>
      <c r="D358" s="241" t="s">
        <v>333</v>
      </c>
      <c r="E358" s="8" t="s">
        <v>87</v>
      </c>
      <c r="F358" s="246">
        <f t="shared" ref="F358:Q358" si="92">4164/12</f>
        <v>347</v>
      </c>
      <c r="G358" s="35">
        <f t="shared" si="92"/>
        <v>347</v>
      </c>
      <c r="H358" s="35">
        <f t="shared" si="92"/>
        <v>347</v>
      </c>
      <c r="I358" s="35">
        <f t="shared" si="92"/>
        <v>347</v>
      </c>
      <c r="J358" s="35">
        <f t="shared" si="92"/>
        <v>347</v>
      </c>
      <c r="K358" s="35">
        <f t="shared" si="92"/>
        <v>347</v>
      </c>
      <c r="L358" s="35">
        <f t="shared" si="92"/>
        <v>347</v>
      </c>
      <c r="M358" s="35">
        <f t="shared" si="92"/>
        <v>347</v>
      </c>
      <c r="N358" s="35">
        <f t="shared" si="92"/>
        <v>347</v>
      </c>
      <c r="O358" s="35">
        <f t="shared" si="92"/>
        <v>347</v>
      </c>
      <c r="P358" s="35">
        <f t="shared" si="92"/>
        <v>347</v>
      </c>
      <c r="Q358" s="35">
        <f t="shared" si="92"/>
        <v>347</v>
      </c>
      <c r="R358" s="35">
        <f t="shared" si="1"/>
        <v>4164</v>
      </c>
      <c r="S358" s="243">
        <f t="shared" si="2"/>
        <v>1041</v>
      </c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>
        <f t="shared" si="87"/>
        <v>0</v>
      </c>
    </row>
    <row r="359" ht="12.75" customHeight="1">
      <c r="A359" s="238" t="s">
        <v>800</v>
      </c>
      <c r="B359" s="8" t="s">
        <v>339</v>
      </c>
      <c r="C359" s="241" t="s">
        <v>799</v>
      </c>
      <c r="D359" s="241" t="s">
        <v>333</v>
      </c>
      <c r="E359" s="8" t="s">
        <v>87</v>
      </c>
      <c r="F359" s="246">
        <v>0.0</v>
      </c>
      <c r="G359" s="35">
        <v>0.0</v>
      </c>
      <c r="H359" s="35">
        <v>0.0</v>
      </c>
      <c r="I359" s="35">
        <v>0.0</v>
      </c>
      <c r="J359" s="35">
        <v>0.0</v>
      </c>
      <c r="K359" s="35">
        <v>0.0</v>
      </c>
      <c r="L359" s="35">
        <v>0.0</v>
      </c>
      <c r="M359" s="35">
        <v>0.0</v>
      </c>
      <c r="N359" s="35">
        <v>0.0</v>
      </c>
      <c r="O359" s="35">
        <v>0.0</v>
      </c>
      <c r="P359" s="35">
        <v>0.0</v>
      </c>
      <c r="Q359" s="35">
        <v>0.0</v>
      </c>
      <c r="R359" s="35">
        <f t="shared" si="1"/>
        <v>0</v>
      </c>
      <c r="S359" s="243">
        <f t="shared" si="2"/>
        <v>0</v>
      </c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>
        <f t="shared" si="87"/>
        <v>0</v>
      </c>
    </row>
    <row r="360" ht="12.75" customHeight="1">
      <c r="A360" s="238" t="s">
        <v>801</v>
      </c>
      <c r="B360" s="8" t="s">
        <v>108</v>
      </c>
      <c r="C360" s="241" t="s">
        <v>799</v>
      </c>
      <c r="D360" s="241" t="s">
        <v>312</v>
      </c>
      <c r="E360" s="8" t="s">
        <v>87</v>
      </c>
      <c r="F360" s="259">
        <v>0.0</v>
      </c>
      <c r="G360" s="74">
        <v>0.0</v>
      </c>
      <c r="H360" s="74">
        <v>0.0</v>
      </c>
      <c r="I360" s="74">
        <v>0.0</v>
      </c>
      <c r="J360" s="74">
        <v>0.0</v>
      </c>
      <c r="K360" s="74">
        <v>0.0</v>
      </c>
      <c r="L360" s="74">
        <v>0.0</v>
      </c>
      <c r="M360" s="74">
        <v>0.0</v>
      </c>
      <c r="N360" s="74">
        <v>0.0</v>
      </c>
      <c r="O360" s="74">
        <v>0.0</v>
      </c>
      <c r="P360" s="74">
        <v>0.0</v>
      </c>
      <c r="Q360" s="74">
        <v>0.0</v>
      </c>
      <c r="R360" s="35">
        <f t="shared" si="1"/>
        <v>0</v>
      </c>
      <c r="S360" s="243">
        <f t="shared" si="2"/>
        <v>0</v>
      </c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>
        <f t="shared" si="87"/>
        <v>0</v>
      </c>
    </row>
    <row r="361" ht="12.75" customHeight="1">
      <c r="A361" s="238" t="s">
        <v>802</v>
      </c>
      <c r="B361" s="8" t="s">
        <v>89</v>
      </c>
      <c r="C361" s="241" t="s">
        <v>799</v>
      </c>
      <c r="D361" s="241" t="s">
        <v>312</v>
      </c>
      <c r="E361" s="8" t="s">
        <v>87</v>
      </c>
      <c r="F361" s="151">
        <v>133.33333333333334</v>
      </c>
      <c r="G361" s="74">
        <v>133.33333333333334</v>
      </c>
      <c r="H361" s="74">
        <v>133.33333333333334</v>
      </c>
      <c r="I361" s="74">
        <v>133.33333333333334</v>
      </c>
      <c r="J361" s="74">
        <v>133.33333333333334</v>
      </c>
      <c r="K361" s="74">
        <v>133.33333333333334</v>
      </c>
      <c r="L361" s="74">
        <v>133.33333333333334</v>
      </c>
      <c r="M361" s="74">
        <v>133.33333333333334</v>
      </c>
      <c r="N361" s="74">
        <v>133.33333333333334</v>
      </c>
      <c r="O361" s="74">
        <v>133.33333333333334</v>
      </c>
      <c r="P361" s="74">
        <v>133.33333333333334</v>
      </c>
      <c r="Q361" s="74">
        <v>133.33333333333334</v>
      </c>
      <c r="R361" s="35">
        <f t="shared" si="1"/>
        <v>1600</v>
      </c>
      <c r="S361" s="243">
        <f t="shared" si="2"/>
        <v>400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>
        <f t="shared" si="87"/>
        <v>0</v>
      </c>
    </row>
    <row r="362" ht="12.75" customHeight="1">
      <c r="A362" s="238" t="s">
        <v>798</v>
      </c>
      <c r="B362" s="8" t="s">
        <v>332</v>
      </c>
      <c r="C362" s="241" t="s">
        <v>799</v>
      </c>
      <c r="D362" s="241" t="s">
        <v>333</v>
      </c>
      <c r="E362" s="8" t="s">
        <v>87</v>
      </c>
      <c r="F362" s="246">
        <v>0.0</v>
      </c>
      <c r="G362" s="35">
        <v>0.0</v>
      </c>
      <c r="H362" s="35">
        <v>0.0</v>
      </c>
      <c r="I362" s="242">
        <v>0.0</v>
      </c>
      <c r="J362" s="35">
        <v>0.0</v>
      </c>
      <c r="K362" s="35">
        <v>0.0</v>
      </c>
      <c r="L362" s="35">
        <v>0.0</v>
      </c>
      <c r="M362" s="35">
        <v>0.0</v>
      </c>
      <c r="N362" s="35">
        <v>0.0</v>
      </c>
      <c r="O362" s="35">
        <v>0.0</v>
      </c>
      <c r="P362" s="35">
        <v>0.0</v>
      </c>
      <c r="Q362" s="35">
        <v>0.0</v>
      </c>
      <c r="R362" s="242">
        <f t="shared" si="1"/>
        <v>0</v>
      </c>
      <c r="S362" s="243">
        <f t="shared" si="2"/>
        <v>0</v>
      </c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>
        <f t="shared" si="87"/>
        <v>0</v>
      </c>
    </row>
    <row r="363" ht="12.75" customHeight="1">
      <c r="A363" s="238" t="s">
        <v>803</v>
      </c>
      <c r="B363" s="8" t="s">
        <v>343</v>
      </c>
      <c r="C363" s="241" t="s">
        <v>799</v>
      </c>
      <c r="D363" s="241" t="s">
        <v>333</v>
      </c>
      <c r="E363" s="8" t="s">
        <v>87</v>
      </c>
      <c r="F363" s="246">
        <v>0.0</v>
      </c>
      <c r="G363" s="35">
        <v>0.0</v>
      </c>
      <c r="H363" s="35">
        <v>0.0</v>
      </c>
      <c r="I363" s="35">
        <v>0.0</v>
      </c>
      <c r="J363" s="35">
        <v>0.0</v>
      </c>
      <c r="K363" s="35">
        <v>0.0</v>
      </c>
      <c r="L363" s="35">
        <v>0.0</v>
      </c>
      <c r="M363" s="35">
        <v>0.0</v>
      </c>
      <c r="N363" s="35">
        <v>0.0</v>
      </c>
      <c r="O363" s="35">
        <v>0.0</v>
      </c>
      <c r="P363" s="35">
        <v>0.0</v>
      </c>
      <c r="Q363" s="35">
        <v>0.0</v>
      </c>
      <c r="R363" s="35">
        <f t="shared" si="1"/>
        <v>0</v>
      </c>
      <c r="S363" s="243">
        <f t="shared" si="2"/>
        <v>0</v>
      </c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>
        <f t="shared" si="87"/>
        <v>0</v>
      </c>
    </row>
    <row r="364" ht="12.75" customHeight="1">
      <c r="A364" s="238" t="s">
        <v>804</v>
      </c>
      <c r="B364" s="8" t="s">
        <v>345</v>
      </c>
      <c r="C364" s="241" t="s">
        <v>799</v>
      </c>
      <c r="D364" s="241" t="s">
        <v>333</v>
      </c>
      <c r="E364" s="8" t="s">
        <v>87</v>
      </c>
      <c r="F364" s="246">
        <v>0.0</v>
      </c>
      <c r="G364" s="35">
        <v>0.0</v>
      </c>
      <c r="H364" s="35">
        <v>0.0</v>
      </c>
      <c r="I364" s="35">
        <v>0.0</v>
      </c>
      <c r="J364" s="35">
        <v>0.0</v>
      </c>
      <c r="K364" s="35">
        <v>0.0</v>
      </c>
      <c r="L364" s="35">
        <v>0.0</v>
      </c>
      <c r="M364" s="35">
        <v>0.0</v>
      </c>
      <c r="N364" s="35">
        <v>0.0</v>
      </c>
      <c r="O364" s="35">
        <v>0.0</v>
      </c>
      <c r="P364" s="35">
        <v>0.0</v>
      </c>
      <c r="Q364" s="35">
        <v>0.0</v>
      </c>
      <c r="R364" s="35">
        <f t="shared" si="1"/>
        <v>0</v>
      </c>
      <c r="S364" s="243">
        <f t="shared" si="2"/>
        <v>0</v>
      </c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>
        <f t="shared" si="87"/>
        <v>0</v>
      </c>
    </row>
    <row r="365" ht="12.75" customHeight="1">
      <c r="A365" s="238" t="s">
        <v>805</v>
      </c>
      <c r="B365" s="8" t="s">
        <v>349</v>
      </c>
      <c r="C365" s="241" t="s">
        <v>799</v>
      </c>
      <c r="D365" s="241" t="s">
        <v>333</v>
      </c>
      <c r="E365" s="8" t="s">
        <v>87</v>
      </c>
      <c r="F365" s="246">
        <v>0.0</v>
      </c>
      <c r="G365" s="35">
        <v>0.0</v>
      </c>
      <c r="H365" s="35">
        <v>0.0</v>
      </c>
      <c r="I365" s="35">
        <v>0.0</v>
      </c>
      <c r="J365" s="35">
        <v>0.0</v>
      </c>
      <c r="K365" s="35">
        <v>0.0</v>
      </c>
      <c r="L365" s="35">
        <v>0.0</v>
      </c>
      <c r="M365" s="35">
        <v>0.0</v>
      </c>
      <c r="N365" s="35">
        <v>0.0</v>
      </c>
      <c r="O365" s="35">
        <v>0.0</v>
      </c>
      <c r="P365" s="35">
        <v>0.0</v>
      </c>
      <c r="Q365" s="35">
        <v>0.0</v>
      </c>
      <c r="R365" s="35">
        <f t="shared" si="1"/>
        <v>0</v>
      </c>
      <c r="S365" s="243">
        <f t="shared" si="2"/>
        <v>0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>
        <f t="shared" si="87"/>
        <v>0</v>
      </c>
    </row>
    <row r="366" ht="12.75" customHeight="1">
      <c r="A366" s="238" t="s">
        <v>806</v>
      </c>
      <c r="B366" s="8" t="s">
        <v>332</v>
      </c>
      <c r="C366" s="241" t="s">
        <v>807</v>
      </c>
      <c r="D366" s="241" t="s">
        <v>333</v>
      </c>
      <c r="E366" s="8" t="s">
        <v>88</v>
      </c>
      <c r="F366" s="246">
        <f t="shared" ref="F366:Q366" si="93">61476/12</f>
        <v>5123</v>
      </c>
      <c r="G366" s="35">
        <f t="shared" si="93"/>
        <v>5123</v>
      </c>
      <c r="H366" s="35">
        <f t="shared" si="93"/>
        <v>5123</v>
      </c>
      <c r="I366" s="35">
        <f t="shared" si="93"/>
        <v>5123</v>
      </c>
      <c r="J366" s="35">
        <f t="shared" si="93"/>
        <v>5123</v>
      </c>
      <c r="K366" s="35">
        <f t="shared" si="93"/>
        <v>5123</v>
      </c>
      <c r="L366" s="35">
        <f t="shared" si="93"/>
        <v>5123</v>
      </c>
      <c r="M366" s="35">
        <f t="shared" si="93"/>
        <v>5123</v>
      </c>
      <c r="N366" s="35">
        <f t="shared" si="93"/>
        <v>5123</v>
      </c>
      <c r="O366" s="35">
        <f t="shared" si="93"/>
        <v>5123</v>
      </c>
      <c r="P366" s="35">
        <f t="shared" si="93"/>
        <v>5123</v>
      </c>
      <c r="Q366" s="35">
        <f t="shared" si="93"/>
        <v>5123</v>
      </c>
      <c r="R366" s="35">
        <f t="shared" si="1"/>
        <v>61476</v>
      </c>
      <c r="S366" s="243">
        <f t="shared" si="2"/>
        <v>15369</v>
      </c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>
        <f t="shared" si="87"/>
        <v>0</v>
      </c>
    </row>
    <row r="367" ht="12.75" customHeight="1">
      <c r="A367" s="238" t="s">
        <v>808</v>
      </c>
      <c r="B367" s="8" t="s">
        <v>339</v>
      </c>
      <c r="C367" s="241" t="s">
        <v>807</v>
      </c>
      <c r="D367" s="241" t="s">
        <v>333</v>
      </c>
      <c r="E367" s="8" t="s">
        <v>88</v>
      </c>
      <c r="F367" s="246">
        <v>0.0</v>
      </c>
      <c r="G367" s="35">
        <v>0.0</v>
      </c>
      <c r="H367" s="35">
        <v>0.0</v>
      </c>
      <c r="I367" s="35">
        <v>0.0</v>
      </c>
      <c r="J367" s="35">
        <v>0.0</v>
      </c>
      <c r="K367" s="35">
        <v>0.0</v>
      </c>
      <c r="L367" s="35">
        <v>0.0</v>
      </c>
      <c r="M367" s="35">
        <v>0.0</v>
      </c>
      <c r="N367" s="35">
        <v>0.0</v>
      </c>
      <c r="O367" s="35">
        <v>0.0</v>
      </c>
      <c r="P367" s="35">
        <v>0.0</v>
      </c>
      <c r="Q367" s="35">
        <v>0.0</v>
      </c>
      <c r="R367" s="35">
        <f t="shared" si="1"/>
        <v>0</v>
      </c>
      <c r="S367" s="243">
        <f t="shared" si="2"/>
        <v>0</v>
      </c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>
        <f t="shared" si="87"/>
        <v>0</v>
      </c>
    </row>
    <row r="368" ht="12.75" customHeight="1">
      <c r="A368" s="238" t="s">
        <v>809</v>
      </c>
      <c r="B368" s="8" t="s">
        <v>108</v>
      </c>
      <c r="C368" s="241" t="s">
        <v>807</v>
      </c>
      <c r="D368" s="241" t="s">
        <v>312</v>
      </c>
      <c r="E368" s="8" t="s">
        <v>88</v>
      </c>
      <c r="F368" s="259">
        <v>0.0</v>
      </c>
      <c r="G368" s="74">
        <v>0.0</v>
      </c>
      <c r="H368" s="74">
        <v>0.0</v>
      </c>
      <c r="I368" s="74">
        <v>0.0</v>
      </c>
      <c r="J368" s="74">
        <v>0.0</v>
      </c>
      <c r="K368" s="74">
        <v>0.0</v>
      </c>
      <c r="L368" s="74">
        <v>0.0</v>
      </c>
      <c r="M368" s="74">
        <v>0.0</v>
      </c>
      <c r="N368" s="74">
        <v>0.0</v>
      </c>
      <c r="O368" s="74">
        <v>0.0</v>
      </c>
      <c r="P368" s="74">
        <v>0.0</v>
      </c>
      <c r="Q368" s="74">
        <v>0.0</v>
      </c>
      <c r="R368" s="35">
        <f t="shared" si="1"/>
        <v>0</v>
      </c>
      <c r="S368" s="243">
        <f t="shared" si="2"/>
        <v>0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>
        <f t="shared" si="87"/>
        <v>0</v>
      </c>
    </row>
    <row r="369" ht="12.75" customHeight="1">
      <c r="A369" s="238" t="s">
        <v>810</v>
      </c>
      <c r="B369" s="8" t="s">
        <v>89</v>
      </c>
      <c r="C369" s="241" t="s">
        <v>807</v>
      </c>
      <c r="D369" s="241" t="s">
        <v>312</v>
      </c>
      <c r="E369" s="8" t="s">
        <v>88</v>
      </c>
      <c r="F369" s="259">
        <v>0.0</v>
      </c>
      <c r="G369" s="74">
        <v>0.0</v>
      </c>
      <c r="H369" s="74">
        <v>0.0</v>
      </c>
      <c r="I369" s="74">
        <v>0.0</v>
      </c>
      <c r="J369" s="74">
        <v>0.0</v>
      </c>
      <c r="K369" s="74">
        <v>0.0</v>
      </c>
      <c r="L369" s="74">
        <v>0.0</v>
      </c>
      <c r="M369" s="74">
        <v>0.0</v>
      </c>
      <c r="N369" s="74">
        <v>0.0</v>
      </c>
      <c r="O369" s="74">
        <v>0.0</v>
      </c>
      <c r="P369" s="74">
        <v>0.0</v>
      </c>
      <c r="Q369" s="74">
        <v>0.0</v>
      </c>
      <c r="R369" s="35">
        <f t="shared" si="1"/>
        <v>0</v>
      </c>
      <c r="S369" s="243">
        <f t="shared" si="2"/>
        <v>0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>
        <f t="shared" si="87"/>
        <v>0</v>
      </c>
    </row>
    <row r="370" ht="12.75" customHeight="1">
      <c r="A370" s="238" t="s">
        <v>806</v>
      </c>
      <c r="B370" s="8" t="s">
        <v>332</v>
      </c>
      <c r="C370" s="241" t="s">
        <v>807</v>
      </c>
      <c r="D370" s="241" t="s">
        <v>333</v>
      </c>
      <c r="E370" s="8" t="s">
        <v>88</v>
      </c>
      <c r="F370" s="246">
        <v>17.5</v>
      </c>
      <c r="G370" s="35">
        <v>17.5</v>
      </c>
      <c r="H370" s="35">
        <v>17.5</v>
      </c>
      <c r="I370" s="242">
        <v>17.5</v>
      </c>
      <c r="J370" s="35">
        <v>17.5</v>
      </c>
      <c r="K370" s="35">
        <v>17.5</v>
      </c>
      <c r="L370" s="35">
        <v>17.5</v>
      </c>
      <c r="M370" s="35">
        <v>17.5</v>
      </c>
      <c r="N370" s="35">
        <v>17.5</v>
      </c>
      <c r="O370" s="35">
        <v>17.5</v>
      </c>
      <c r="P370" s="35">
        <v>17.5</v>
      </c>
      <c r="Q370" s="35">
        <v>17.5</v>
      </c>
      <c r="R370" s="242">
        <f t="shared" si="1"/>
        <v>210</v>
      </c>
      <c r="S370" s="243">
        <f t="shared" si="2"/>
        <v>52.5</v>
      </c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>
        <f t="shared" si="87"/>
        <v>0</v>
      </c>
    </row>
    <row r="371" ht="12.75" customHeight="1">
      <c r="A371" s="238" t="s">
        <v>811</v>
      </c>
      <c r="B371" s="8" t="s">
        <v>343</v>
      </c>
      <c r="C371" s="241" t="s">
        <v>807</v>
      </c>
      <c r="D371" s="241" t="s">
        <v>333</v>
      </c>
      <c r="E371" s="8" t="s">
        <v>88</v>
      </c>
      <c r="F371" s="246">
        <v>0.0</v>
      </c>
      <c r="G371" s="35">
        <v>0.0</v>
      </c>
      <c r="H371" s="35">
        <v>0.0</v>
      </c>
      <c r="I371" s="35">
        <v>0.0</v>
      </c>
      <c r="J371" s="35">
        <v>0.0</v>
      </c>
      <c r="K371" s="35">
        <v>0.0</v>
      </c>
      <c r="L371" s="35">
        <v>0.0</v>
      </c>
      <c r="M371" s="35">
        <v>0.0</v>
      </c>
      <c r="N371" s="35">
        <v>0.0</v>
      </c>
      <c r="O371" s="35">
        <v>0.0</v>
      </c>
      <c r="P371" s="35">
        <v>0.0</v>
      </c>
      <c r="Q371" s="35">
        <v>0.0</v>
      </c>
      <c r="R371" s="35">
        <f t="shared" si="1"/>
        <v>0</v>
      </c>
      <c r="S371" s="243">
        <f t="shared" si="2"/>
        <v>0</v>
      </c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>
        <f t="shared" si="87"/>
        <v>0</v>
      </c>
    </row>
    <row r="372" ht="12.75" customHeight="1">
      <c r="A372" s="238" t="s">
        <v>812</v>
      </c>
      <c r="B372" s="8" t="s">
        <v>345</v>
      </c>
      <c r="C372" s="241" t="s">
        <v>807</v>
      </c>
      <c r="D372" s="241" t="s">
        <v>333</v>
      </c>
      <c r="E372" s="8" t="s">
        <v>88</v>
      </c>
      <c r="F372" s="246">
        <v>0.0</v>
      </c>
      <c r="G372" s="35">
        <v>0.0</v>
      </c>
      <c r="H372" s="35">
        <v>0.0</v>
      </c>
      <c r="I372" s="35">
        <v>0.0</v>
      </c>
      <c r="J372" s="35">
        <v>0.0</v>
      </c>
      <c r="K372" s="35">
        <v>0.0</v>
      </c>
      <c r="L372" s="35">
        <v>0.0</v>
      </c>
      <c r="M372" s="35">
        <v>0.0</v>
      </c>
      <c r="N372" s="35">
        <v>0.0</v>
      </c>
      <c r="O372" s="35">
        <v>0.0</v>
      </c>
      <c r="P372" s="35">
        <v>0.0</v>
      </c>
      <c r="Q372" s="35">
        <v>0.0</v>
      </c>
      <c r="R372" s="35">
        <f t="shared" si="1"/>
        <v>0</v>
      </c>
      <c r="S372" s="243">
        <f t="shared" si="2"/>
        <v>0</v>
      </c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>
        <f t="shared" si="87"/>
        <v>0</v>
      </c>
    </row>
    <row r="373" ht="12.75" customHeight="1">
      <c r="A373" s="238" t="s">
        <v>813</v>
      </c>
      <c r="B373" s="8" t="s">
        <v>349</v>
      </c>
      <c r="C373" s="241" t="s">
        <v>807</v>
      </c>
      <c r="D373" s="241" t="s">
        <v>333</v>
      </c>
      <c r="E373" s="8" t="s">
        <v>88</v>
      </c>
      <c r="F373" s="246">
        <v>0.0</v>
      </c>
      <c r="G373" s="35">
        <v>0.0</v>
      </c>
      <c r="H373" s="35">
        <v>0.0</v>
      </c>
      <c r="I373" s="35">
        <v>0.0</v>
      </c>
      <c r="J373" s="35">
        <v>0.0</v>
      </c>
      <c r="K373" s="35">
        <v>0.0</v>
      </c>
      <c r="L373" s="35">
        <v>0.0</v>
      </c>
      <c r="M373" s="35">
        <v>0.0</v>
      </c>
      <c r="N373" s="35">
        <v>0.0</v>
      </c>
      <c r="O373" s="35">
        <v>0.0</v>
      </c>
      <c r="P373" s="35">
        <v>0.0</v>
      </c>
      <c r="Q373" s="35">
        <v>0.0</v>
      </c>
      <c r="R373" s="35">
        <f t="shared" si="1"/>
        <v>0</v>
      </c>
      <c r="S373" s="243">
        <f t="shared" si="2"/>
        <v>0</v>
      </c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>
        <f t="shared" si="87"/>
        <v>0</v>
      </c>
    </row>
    <row r="374" ht="12.75" customHeight="1">
      <c r="A374" s="238" t="s">
        <v>814</v>
      </c>
      <c r="B374" s="8" t="s">
        <v>332</v>
      </c>
      <c r="C374" s="241" t="s">
        <v>815</v>
      </c>
      <c r="D374" s="241" t="s">
        <v>333</v>
      </c>
      <c r="E374" s="8" t="s">
        <v>141</v>
      </c>
      <c r="F374" s="246">
        <f t="shared" ref="F374:Q374" si="94">31433/12</f>
        <v>2619.416667</v>
      </c>
      <c r="G374" s="35">
        <f t="shared" si="94"/>
        <v>2619.416667</v>
      </c>
      <c r="H374" s="35">
        <f t="shared" si="94"/>
        <v>2619.416667</v>
      </c>
      <c r="I374" s="35">
        <f t="shared" si="94"/>
        <v>2619.416667</v>
      </c>
      <c r="J374" s="35">
        <f t="shared" si="94"/>
        <v>2619.416667</v>
      </c>
      <c r="K374" s="35">
        <f t="shared" si="94"/>
        <v>2619.416667</v>
      </c>
      <c r="L374" s="35">
        <f t="shared" si="94"/>
        <v>2619.416667</v>
      </c>
      <c r="M374" s="35">
        <f t="shared" si="94"/>
        <v>2619.416667</v>
      </c>
      <c r="N374" s="35">
        <f t="shared" si="94"/>
        <v>2619.416667</v>
      </c>
      <c r="O374" s="35">
        <f t="shared" si="94"/>
        <v>2619.416667</v>
      </c>
      <c r="P374" s="35">
        <f t="shared" si="94"/>
        <v>2619.416667</v>
      </c>
      <c r="Q374" s="35">
        <f t="shared" si="94"/>
        <v>2619.416667</v>
      </c>
      <c r="R374" s="35">
        <f t="shared" si="1"/>
        <v>31433</v>
      </c>
      <c r="S374" s="243">
        <f t="shared" si="2"/>
        <v>7858.25</v>
      </c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>
        <f t="shared" si="87"/>
        <v>0</v>
      </c>
    </row>
    <row r="375" ht="12.75" customHeight="1">
      <c r="A375" s="238" t="s">
        <v>816</v>
      </c>
      <c r="B375" s="8" t="s">
        <v>339</v>
      </c>
      <c r="C375" s="241" t="s">
        <v>815</v>
      </c>
      <c r="D375" s="241" t="s">
        <v>333</v>
      </c>
      <c r="E375" s="8" t="s">
        <v>141</v>
      </c>
      <c r="F375" s="246">
        <v>0.0</v>
      </c>
      <c r="G375" s="35">
        <v>0.0</v>
      </c>
      <c r="H375" s="35">
        <v>0.0</v>
      </c>
      <c r="I375" s="35">
        <v>0.0</v>
      </c>
      <c r="J375" s="35">
        <v>0.0</v>
      </c>
      <c r="K375" s="35">
        <v>0.0</v>
      </c>
      <c r="L375" s="35">
        <v>0.0</v>
      </c>
      <c r="M375" s="35">
        <v>0.0</v>
      </c>
      <c r="N375" s="35">
        <v>0.0</v>
      </c>
      <c r="O375" s="35">
        <v>0.0</v>
      </c>
      <c r="P375" s="35">
        <v>0.0</v>
      </c>
      <c r="Q375" s="35">
        <v>0.0</v>
      </c>
      <c r="R375" s="35">
        <f t="shared" si="1"/>
        <v>0</v>
      </c>
      <c r="S375" s="243">
        <f t="shared" si="2"/>
        <v>0</v>
      </c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>
        <f t="shared" si="87"/>
        <v>0</v>
      </c>
    </row>
    <row r="376" ht="12.75" customHeight="1">
      <c r="A376" s="238" t="s">
        <v>817</v>
      </c>
      <c r="B376" s="8" t="s">
        <v>108</v>
      </c>
      <c r="C376" s="241" t="s">
        <v>815</v>
      </c>
      <c r="D376" s="241" t="s">
        <v>312</v>
      </c>
      <c r="E376" s="8" t="s">
        <v>141</v>
      </c>
      <c r="F376" s="259">
        <v>0.0</v>
      </c>
      <c r="G376" s="74">
        <v>0.0</v>
      </c>
      <c r="H376" s="74">
        <v>0.0</v>
      </c>
      <c r="I376" s="74">
        <v>0.0</v>
      </c>
      <c r="J376" s="74">
        <v>0.0</v>
      </c>
      <c r="K376" s="74">
        <v>0.0</v>
      </c>
      <c r="L376" s="74">
        <v>0.0</v>
      </c>
      <c r="M376" s="74">
        <v>0.0</v>
      </c>
      <c r="N376" s="74">
        <v>0.0</v>
      </c>
      <c r="O376" s="74">
        <v>0.0</v>
      </c>
      <c r="P376" s="74">
        <v>0.0</v>
      </c>
      <c r="Q376" s="74">
        <v>0.0</v>
      </c>
      <c r="R376" s="35">
        <f t="shared" si="1"/>
        <v>0</v>
      </c>
      <c r="S376" s="243">
        <f t="shared" si="2"/>
        <v>0</v>
      </c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>
        <f t="shared" si="87"/>
        <v>0</v>
      </c>
    </row>
    <row r="377" ht="12.75" customHeight="1">
      <c r="A377" s="238" t="s">
        <v>818</v>
      </c>
      <c r="B377" s="8" t="s">
        <v>89</v>
      </c>
      <c r="C377" s="241" t="s">
        <v>815</v>
      </c>
      <c r="D377" s="241" t="s">
        <v>312</v>
      </c>
      <c r="E377" s="8" t="s">
        <v>141</v>
      </c>
      <c r="F377" s="259">
        <v>0.0</v>
      </c>
      <c r="G377" s="74">
        <v>0.0</v>
      </c>
      <c r="H377" s="74">
        <v>0.0</v>
      </c>
      <c r="I377" s="74">
        <v>0.0</v>
      </c>
      <c r="J377" s="74">
        <v>0.0</v>
      </c>
      <c r="K377" s="74">
        <v>0.0</v>
      </c>
      <c r="L377" s="74">
        <v>0.0</v>
      </c>
      <c r="M377" s="74">
        <v>0.0</v>
      </c>
      <c r="N377" s="74">
        <v>0.0</v>
      </c>
      <c r="O377" s="74">
        <v>0.0</v>
      </c>
      <c r="P377" s="74">
        <v>0.0</v>
      </c>
      <c r="Q377" s="74">
        <v>0.0</v>
      </c>
      <c r="R377" s="35">
        <f t="shared" si="1"/>
        <v>0</v>
      </c>
      <c r="S377" s="243">
        <f t="shared" si="2"/>
        <v>0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>
        <f t="shared" si="87"/>
        <v>0</v>
      </c>
    </row>
    <row r="378" ht="12.75" customHeight="1">
      <c r="A378" s="238" t="s">
        <v>814</v>
      </c>
      <c r="B378" s="8" t="s">
        <v>332</v>
      </c>
      <c r="C378" s="241" t="s">
        <v>815</v>
      </c>
      <c r="D378" s="241" t="s">
        <v>333</v>
      </c>
      <c r="E378" s="8" t="s">
        <v>141</v>
      </c>
      <c r="F378" s="246">
        <v>0.0</v>
      </c>
      <c r="G378" s="35">
        <v>0.0</v>
      </c>
      <c r="H378" s="35">
        <v>0.0</v>
      </c>
      <c r="I378" s="242">
        <v>0.0</v>
      </c>
      <c r="J378" s="35">
        <v>0.0</v>
      </c>
      <c r="K378" s="35">
        <v>0.0</v>
      </c>
      <c r="L378" s="35">
        <v>0.0</v>
      </c>
      <c r="M378" s="35">
        <v>0.0</v>
      </c>
      <c r="N378" s="35">
        <v>0.0</v>
      </c>
      <c r="O378" s="35">
        <v>0.0</v>
      </c>
      <c r="P378" s="35">
        <v>0.0</v>
      </c>
      <c r="Q378" s="35">
        <v>0.0</v>
      </c>
      <c r="R378" s="242">
        <f t="shared" si="1"/>
        <v>0</v>
      </c>
      <c r="S378" s="243">
        <f t="shared" si="2"/>
        <v>0</v>
      </c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>
        <f t="shared" si="87"/>
        <v>0</v>
      </c>
    </row>
    <row r="379" ht="12.75" customHeight="1">
      <c r="A379" s="238" t="s">
        <v>819</v>
      </c>
      <c r="B379" s="8" t="s">
        <v>343</v>
      </c>
      <c r="C379" s="241" t="s">
        <v>815</v>
      </c>
      <c r="D379" s="241" t="s">
        <v>333</v>
      </c>
      <c r="E379" s="8" t="s">
        <v>141</v>
      </c>
      <c r="F379" s="246">
        <v>0.0</v>
      </c>
      <c r="G379" s="35">
        <v>0.0</v>
      </c>
      <c r="H379" s="35">
        <v>0.0</v>
      </c>
      <c r="I379" s="35">
        <v>0.0</v>
      </c>
      <c r="J379" s="35">
        <v>0.0</v>
      </c>
      <c r="K379" s="35">
        <v>0.0</v>
      </c>
      <c r="L379" s="35">
        <v>0.0</v>
      </c>
      <c r="M379" s="35">
        <v>0.0</v>
      </c>
      <c r="N379" s="35">
        <v>0.0</v>
      </c>
      <c r="O379" s="35">
        <v>0.0</v>
      </c>
      <c r="P379" s="35">
        <v>0.0</v>
      </c>
      <c r="Q379" s="35">
        <v>0.0</v>
      </c>
      <c r="R379" s="35">
        <f t="shared" si="1"/>
        <v>0</v>
      </c>
      <c r="S379" s="243">
        <f t="shared" si="2"/>
        <v>0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</row>
    <row r="380" ht="12.75" customHeight="1">
      <c r="A380" s="238" t="s">
        <v>820</v>
      </c>
      <c r="B380" s="8" t="s">
        <v>345</v>
      </c>
      <c r="C380" s="241" t="s">
        <v>815</v>
      </c>
      <c r="D380" s="241" t="s">
        <v>333</v>
      </c>
      <c r="E380" s="8" t="s">
        <v>141</v>
      </c>
      <c r="F380" s="246">
        <v>0.0</v>
      </c>
      <c r="G380" s="35">
        <v>0.0</v>
      </c>
      <c r="H380" s="35">
        <v>0.0</v>
      </c>
      <c r="I380" s="35">
        <v>0.0</v>
      </c>
      <c r="J380" s="35">
        <v>0.0</v>
      </c>
      <c r="K380" s="35">
        <v>0.0</v>
      </c>
      <c r="L380" s="35">
        <v>0.0</v>
      </c>
      <c r="M380" s="35">
        <v>0.0</v>
      </c>
      <c r="N380" s="35">
        <v>0.0</v>
      </c>
      <c r="O380" s="35">
        <v>0.0</v>
      </c>
      <c r="P380" s="35">
        <v>0.0</v>
      </c>
      <c r="Q380" s="35">
        <v>0.0</v>
      </c>
      <c r="R380" s="35">
        <f t="shared" si="1"/>
        <v>0</v>
      </c>
      <c r="S380" s="243">
        <f t="shared" si="2"/>
        <v>0</v>
      </c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</row>
    <row r="381" ht="12.75" customHeight="1">
      <c r="A381" s="238" t="s">
        <v>821</v>
      </c>
      <c r="B381" s="8" t="s">
        <v>349</v>
      </c>
      <c r="C381" s="241" t="s">
        <v>815</v>
      </c>
      <c r="D381" s="241" t="s">
        <v>333</v>
      </c>
      <c r="E381" s="8" t="s">
        <v>141</v>
      </c>
      <c r="F381" s="246">
        <v>0.0</v>
      </c>
      <c r="G381" s="35">
        <v>0.0</v>
      </c>
      <c r="H381" s="35">
        <v>0.0</v>
      </c>
      <c r="I381" s="35">
        <v>0.0</v>
      </c>
      <c r="J381" s="35">
        <v>0.0</v>
      </c>
      <c r="K381" s="35">
        <v>0.0</v>
      </c>
      <c r="L381" s="35">
        <v>0.0</v>
      </c>
      <c r="M381" s="35">
        <v>0.0</v>
      </c>
      <c r="N381" s="35">
        <v>0.0</v>
      </c>
      <c r="O381" s="35">
        <v>0.0</v>
      </c>
      <c r="P381" s="35">
        <v>0.0</v>
      </c>
      <c r="Q381" s="35">
        <v>0.0</v>
      </c>
      <c r="R381" s="35">
        <f t="shared" si="1"/>
        <v>0</v>
      </c>
      <c r="S381" s="243">
        <f t="shared" si="2"/>
        <v>0</v>
      </c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</row>
    <row r="382" ht="12.75" customHeight="1">
      <c r="A382" s="238" t="s">
        <v>822</v>
      </c>
      <c r="B382" s="8" t="s">
        <v>332</v>
      </c>
      <c r="C382" s="241" t="s">
        <v>823</v>
      </c>
      <c r="D382" s="241" t="s">
        <v>333</v>
      </c>
      <c r="E382" s="8" t="s">
        <v>143</v>
      </c>
      <c r="F382" s="246">
        <f t="shared" ref="F382:Q382" si="95">-999/12</f>
        <v>-83.25</v>
      </c>
      <c r="G382" s="35">
        <f t="shared" si="95"/>
        <v>-83.25</v>
      </c>
      <c r="H382" s="35">
        <f t="shared" si="95"/>
        <v>-83.25</v>
      </c>
      <c r="I382" s="35">
        <f t="shared" si="95"/>
        <v>-83.25</v>
      </c>
      <c r="J382" s="35">
        <f t="shared" si="95"/>
        <v>-83.25</v>
      </c>
      <c r="K382" s="35">
        <f t="shared" si="95"/>
        <v>-83.25</v>
      </c>
      <c r="L382" s="35">
        <f t="shared" si="95"/>
        <v>-83.25</v>
      </c>
      <c r="M382" s="35">
        <f t="shared" si="95"/>
        <v>-83.25</v>
      </c>
      <c r="N382" s="35">
        <f t="shared" si="95"/>
        <v>-83.25</v>
      </c>
      <c r="O382" s="35">
        <f t="shared" si="95"/>
        <v>-83.25</v>
      </c>
      <c r="P382" s="35">
        <f t="shared" si="95"/>
        <v>-83.25</v>
      </c>
      <c r="Q382" s="35">
        <f t="shared" si="95"/>
        <v>-83.25</v>
      </c>
      <c r="R382" s="35">
        <f t="shared" si="1"/>
        <v>-999</v>
      </c>
      <c r="S382" s="243">
        <f t="shared" si="2"/>
        <v>-249.75</v>
      </c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</row>
    <row r="383" ht="12.75" customHeight="1">
      <c r="A383" s="238" t="s">
        <v>824</v>
      </c>
      <c r="B383" s="8" t="s">
        <v>339</v>
      </c>
      <c r="C383" s="241" t="s">
        <v>823</v>
      </c>
      <c r="D383" s="241" t="s">
        <v>333</v>
      </c>
      <c r="E383" s="8" t="s">
        <v>143</v>
      </c>
      <c r="F383" s="246">
        <v>0.0</v>
      </c>
      <c r="G383" s="35">
        <v>0.0</v>
      </c>
      <c r="H383" s="35">
        <v>0.0</v>
      </c>
      <c r="I383" s="35">
        <v>0.0</v>
      </c>
      <c r="J383" s="35">
        <v>0.0</v>
      </c>
      <c r="K383" s="35">
        <v>0.0</v>
      </c>
      <c r="L383" s="35">
        <v>0.0</v>
      </c>
      <c r="M383" s="35">
        <v>0.0</v>
      </c>
      <c r="N383" s="35">
        <v>0.0</v>
      </c>
      <c r="O383" s="35">
        <v>0.0</v>
      </c>
      <c r="P383" s="35">
        <v>0.0</v>
      </c>
      <c r="Q383" s="35">
        <v>0.0</v>
      </c>
      <c r="R383" s="35">
        <f t="shared" si="1"/>
        <v>0</v>
      </c>
      <c r="S383" s="243">
        <f t="shared" si="2"/>
        <v>0</v>
      </c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>
        <f>SUM(AQ383:BB383)</f>
        <v>0</v>
      </c>
    </row>
    <row r="384" ht="12.75" customHeight="1">
      <c r="A384" s="238" t="s">
        <v>825</v>
      </c>
      <c r="B384" s="8" t="s">
        <v>108</v>
      </c>
      <c r="C384" s="241" t="s">
        <v>823</v>
      </c>
      <c r="D384" s="241" t="s">
        <v>312</v>
      </c>
      <c r="E384" s="8" t="s">
        <v>143</v>
      </c>
      <c r="F384" s="259">
        <v>0.0</v>
      </c>
      <c r="G384" s="74">
        <v>0.0</v>
      </c>
      <c r="H384" s="74">
        <v>0.0</v>
      </c>
      <c r="I384" s="74">
        <v>0.0</v>
      </c>
      <c r="J384" s="74">
        <v>0.0</v>
      </c>
      <c r="K384" s="74">
        <v>0.0</v>
      </c>
      <c r="L384" s="74">
        <v>0.0</v>
      </c>
      <c r="M384" s="74">
        <v>0.0</v>
      </c>
      <c r="N384" s="74">
        <v>0.0</v>
      </c>
      <c r="O384" s="74">
        <v>0.0</v>
      </c>
      <c r="P384" s="74">
        <v>0.0</v>
      </c>
      <c r="Q384" s="74">
        <v>0.0</v>
      </c>
      <c r="R384" s="35">
        <f t="shared" si="1"/>
        <v>0</v>
      </c>
      <c r="S384" s="243">
        <f t="shared" si="2"/>
        <v>0</v>
      </c>
      <c r="T384" s="35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</row>
    <row r="385" ht="12.75" customHeight="1">
      <c r="A385" s="238" t="s">
        <v>826</v>
      </c>
      <c r="B385" s="8" t="s">
        <v>89</v>
      </c>
      <c r="C385" s="241" t="s">
        <v>823</v>
      </c>
      <c r="D385" s="241" t="s">
        <v>312</v>
      </c>
      <c r="E385" s="8" t="s">
        <v>143</v>
      </c>
      <c r="F385" s="259">
        <v>0.0</v>
      </c>
      <c r="G385" s="74">
        <v>0.0</v>
      </c>
      <c r="H385" s="74">
        <v>0.0</v>
      </c>
      <c r="I385" s="74">
        <v>0.0</v>
      </c>
      <c r="J385" s="74">
        <v>0.0</v>
      </c>
      <c r="K385" s="74">
        <v>0.0</v>
      </c>
      <c r="L385" s="74">
        <v>0.0</v>
      </c>
      <c r="M385" s="74">
        <v>0.0</v>
      </c>
      <c r="N385" s="74">
        <v>0.0</v>
      </c>
      <c r="O385" s="74">
        <v>0.0</v>
      </c>
      <c r="P385" s="74">
        <v>0.0</v>
      </c>
      <c r="Q385" s="74">
        <v>0.0</v>
      </c>
      <c r="R385" s="35">
        <f t="shared" si="1"/>
        <v>0</v>
      </c>
      <c r="S385" s="243">
        <f t="shared" si="2"/>
        <v>0</v>
      </c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>
        <f t="shared" ref="BC385:BC392" si="96">SUM(AQ385:BB385)</f>
        <v>0</v>
      </c>
    </row>
    <row r="386" ht="12.75" customHeight="1">
      <c r="A386" s="238" t="s">
        <v>822</v>
      </c>
      <c r="B386" s="8" t="s">
        <v>332</v>
      </c>
      <c r="C386" s="241" t="s">
        <v>823</v>
      </c>
      <c r="D386" s="241" t="s">
        <v>333</v>
      </c>
      <c r="E386" s="8" t="s">
        <v>143</v>
      </c>
      <c r="F386" s="246">
        <v>0.0</v>
      </c>
      <c r="G386" s="35">
        <v>0.0</v>
      </c>
      <c r="H386" s="35">
        <v>0.0</v>
      </c>
      <c r="I386" s="242">
        <v>0.0</v>
      </c>
      <c r="J386" s="35">
        <v>0.0</v>
      </c>
      <c r="K386" s="35">
        <v>0.0</v>
      </c>
      <c r="L386" s="35">
        <v>0.0</v>
      </c>
      <c r="M386" s="35">
        <v>0.0</v>
      </c>
      <c r="N386" s="35">
        <v>0.0</v>
      </c>
      <c r="O386" s="35">
        <v>0.0</v>
      </c>
      <c r="P386" s="35">
        <v>0.0</v>
      </c>
      <c r="Q386" s="35">
        <v>0.0</v>
      </c>
      <c r="R386" s="242">
        <f t="shared" si="1"/>
        <v>0</v>
      </c>
      <c r="S386" s="243">
        <f t="shared" si="2"/>
        <v>0</v>
      </c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>
        <f t="shared" si="96"/>
        <v>0</v>
      </c>
    </row>
    <row r="387" ht="12.75" customHeight="1">
      <c r="A387" s="238" t="s">
        <v>827</v>
      </c>
      <c r="B387" s="8" t="s">
        <v>343</v>
      </c>
      <c r="C387" s="241" t="s">
        <v>823</v>
      </c>
      <c r="D387" s="241" t="s">
        <v>333</v>
      </c>
      <c r="E387" s="8" t="s">
        <v>143</v>
      </c>
      <c r="F387" s="246">
        <v>0.0</v>
      </c>
      <c r="G387" s="35">
        <v>0.0</v>
      </c>
      <c r="H387" s="35">
        <v>0.0</v>
      </c>
      <c r="I387" s="35">
        <v>0.0</v>
      </c>
      <c r="J387" s="35">
        <v>0.0</v>
      </c>
      <c r="K387" s="35">
        <v>0.0</v>
      </c>
      <c r="L387" s="35">
        <v>0.0</v>
      </c>
      <c r="M387" s="35">
        <v>0.0</v>
      </c>
      <c r="N387" s="35">
        <v>0.0</v>
      </c>
      <c r="O387" s="35">
        <v>0.0</v>
      </c>
      <c r="P387" s="35">
        <v>0.0</v>
      </c>
      <c r="Q387" s="35">
        <v>0.0</v>
      </c>
      <c r="R387" s="35">
        <f t="shared" si="1"/>
        <v>0</v>
      </c>
      <c r="S387" s="243">
        <f t="shared" si="2"/>
        <v>0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>
        <f t="shared" si="96"/>
        <v>0</v>
      </c>
    </row>
    <row r="388" ht="12.75" customHeight="1">
      <c r="A388" s="238" t="s">
        <v>828</v>
      </c>
      <c r="B388" s="8" t="s">
        <v>345</v>
      </c>
      <c r="C388" s="241" t="s">
        <v>823</v>
      </c>
      <c r="D388" s="241" t="s">
        <v>333</v>
      </c>
      <c r="E388" s="8" t="s">
        <v>143</v>
      </c>
      <c r="F388" s="246">
        <v>0.0</v>
      </c>
      <c r="G388" s="35">
        <v>0.0</v>
      </c>
      <c r="H388" s="35">
        <v>0.0</v>
      </c>
      <c r="I388" s="35">
        <v>0.0</v>
      </c>
      <c r="J388" s="35">
        <v>0.0</v>
      </c>
      <c r="K388" s="35">
        <v>0.0</v>
      </c>
      <c r="L388" s="35">
        <v>0.0</v>
      </c>
      <c r="M388" s="35">
        <v>0.0</v>
      </c>
      <c r="N388" s="35">
        <v>0.0</v>
      </c>
      <c r="O388" s="35">
        <v>0.0</v>
      </c>
      <c r="P388" s="35">
        <v>0.0</v>
      </c>
      <c r="Q388" s="35">
        <v>0.0</v>
      </c>
      <c r="R388" s="35">
        <f t="shared" si="1"/>
        <v>0</v>
      </c>
      <c r="S388" s="243">
        <f t="shared" si="2"/>
        <v>0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>
        <f t="shared" si="96"/>
        <v>0</v>
      </c>
    </row>
    <row r="389" ht="12.75" customHeight="1">
      <c r="A389" s="238" t="s">
        <v>829</v>
      </c>
      <c r="B389" s="8" t="s">
        <v>349</v>
      </c>
      <c r="C389" s="241" t="s">
        <v>823</v>
      </c>
      <c r="D389" s="241" t="s">
        <v>333</v>
      </c>
      <c r="E389" s="8" t="s">
        <v>143</v>
      </c>
      <c r="F389" s="246">
        <v>0.0</v>
      </c>
      <c r="G389" s="35">
        <v>0.0</v>
      </c>
      <c r="H389" s="35">
        <v>0.0</v>
      </c>
      <c r="I389" s="35">
        <v>0.0</v>
      </c>
      <c r="J389" s="35">
        <v>0.0</v>
      </c>
      <c r="K389" s="35">
        <v>0.0</v>
      </c>
      <c r="L389" s="35">
        <v>0.0</v>
      </c>
      <c r="M389" s="35">
        <v>0.0</v>
      </c>
      <c r="N389" s="35">
        <v>0.0</v>
      </c>
      <c r="O389" s="35">
        <v>0.0</v>
      </c>
      <c r="P389" s="35">
        <v>0.0</v>
      </c>
      <c r="Q389" s="35">
        <v>0.0</v>
      </c>
      <c r="R389" s="35">
        <f t="shared" si="1"/>
        <v>0</v>
      </c>
      <c r="S389" s="243">
        <f t="shared" si="2"/>
        <v>0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>
        <f t="shared" si="96"/>
        <v>0</v>
      </c>
    </row>
    <row r="390" ht="12.75" customHeight="1">
      <c r="A390" s="238" t="s">
        <v>830</v>
      </c>
      <c r="B390" s="8" t="s">
        <v>332</v>
      </c>
      <c r="C390" s="241" t="s">
        <v>831</v>
      </c>
      <c r="D390" s="241" t="s">
        <v>333</v>
      </c>
      <c r="E390" s="8" t="s">
        <v>94</v>
      </c>
      <c r="F390" s="246">
        <f t="shared" ref="F390:Q390" si="97">1891/12</f>
        <v>157.5833333</v>
      </c>
      <c r="G390" s="35">
        <f t="shared" si="97"/>
        <v>157.5833333</v>
      </c>
      <c r="H390" s="35">
        <f t="shared" si="97"/>
        <v>157.5833333</v>
      </c>
      <c r="I390" s="35">
        <f t="shared" si="97"/>
        <v>157.5833333</v>
      </c>
      <c r="J390" s="35">
        <f t="shared" si="97"/>
        <v>157.5833333</v>
      </c>
      <c r="K390" s="35">
        <f t="shared" si="97"/>
        <v>157.5833333</v>
      </c>
      <c r="L390" s="35">
        <f t="shared" si="97"/>
        <v>157.5833333</v>
      </c>
      <c r="M390" s="35">
        <f t="shared" si="97"/>
        <v>157.5833333</v>
      </c>
      <c r="N390" s="35">
        <f t="shared" si="97"/>
        <v>157.5833333</v>
      </c>
      <c r="O390" s="35">
        <f t="shared" si="97"/>
        <v>157.5833333</v>
      </c>
      <c r="P390" s="35">
        <f t="shared" si="97"/>
        <v>157.5833333</v>
      </c>
      <c r="Q390" s="35">
        <f t="shared" si="97"/>
        <v>157.5833333</v>
      </c>
      <c r="R390" s="35">
        <f t="shared" si="1"/>
        <v>1891</v>
      </c>
      <c r="S390" s="243">
        <f t="shared" si="2"/>
        <v>472.75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>
        <f t="shared" si="96"/>
        <v>0</v>
      </c>
    </row>
    <row r="391" ht="12.75" customHeight="1">
      <c r="A391" s="238" t="s">
        <v>832</v>
      </c>
      <c r="B391" s="8" t="s">
        <v>339</v>
      </c>
      <c r="C391" s="241" t="s">
        <v>831</v>
      </c>
      <c r="D391" s="241" t="s">
        <v>333</v>
      </c>
      <c r="E391" s="8" t="s">
        <v>94</v>
      </c>
      <c r="F391" s="246">
        <v>0.0</v>
      </c>
      <c r="G391" s="35">
        <v>0.0</v>
      </c>
      <c r="H391" s="35">
        <v>0.0</v>
      </c>
      <c r="I391" s="35">
        <v>0.0</v>
      </c>
      <c r="J391" s="35">
        <v>0.0</v>
      </c>
      <c r="K391" s="35">
        <v>0.0</v>
      </c>
      <c r="L391" s="35">
        <v>0.0</v>
      </c>
      <c r="M391" s="35">
        <v>0.0</v>
      </c>
      <c r="N391" s="35">
        <v>0.0</v>
      </c>
      <c r="O391" s="35">
        <v>0.0</v>
      </c>
      <c r="P391" s="35">
        <v>0.0</v>
      </c>
      <c r="Q391" s="35">
        <v>0.0</v>
      </c>
      <c r="R391" s="35">
        <f t="shared" si="1"/>
        <v>0</v>
      </c>
      <c r="S391" s="243">
        <f t="shared" si="2"/>
        <v>0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>
        <f t="shared" si="96"/>
        <v>0</v>
      </c>
    </row>
    <row r="392" ht="12.75" customHeight="1">
      <c r="A392" s="238" t="s">
        <v>833</v>
      </c>
      <c r="B392" s="8" t="s">
        <v>108</v>
      </c>
      <c r="C392" s="241" t="s">
        <v>831</v>
      </c>
      <c r="D392" s="241" t="s">
        <v>312</v>
      </c>
      <c r="E392" s="8" t="s">
        <v>94</v>
      </c>
      <c r="F392" s="259">
        <v>0.0</v>
      </c>
      <c r="G392" s="74">
        <v>0.0</v>
      </c>
      <c r="H392" s="74">
        <v>0.0</v>
      </c>
      <c r="I392" s="74">
        <v>0.0</v>
      </c>
      <c r="J392" s="74">
        <v>0.0</v>
      </c>
      <c r="K392" s="74">
        <v>0.0</v>
      </c>
      <c r="L392" s="74">
        <v>0.0</v>
      </c>
      <c r="M392" s="74">
        <v>0.0</v>
      </c>
      <c r="N392" s="74">
        <v>0.0</v>
      </c>
      <c r="O392" s="74">
        <v>0.0</v>
      </c>
      <c r="P392" s="74">
        <v>0.0</v>
      </c>
      <c r="Q392" s="74">
        <v>0.0</v>
      </c>
      <c r="R392" s="35">
        <f t="shared" si="1"/>
        <v>0</v>
      </c>
      <c r="S392" s="243">
        <f t="shared" si="2"/>
        <v>0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>
        <f t="shared" si="96"/>
        <v>0</v>
      </c>
    </row>
    <row r="393" ht="12.75" customHeight="1">
      <c r="A393" s="238" t="s">
        <v>834</v>
      </c>
      <c r="B393" s="8" t="s">
        <v>89</v>
      </c>
      <c r="C393" s="241" t="s">
        <v>831</v>
      </c>
      <c r="D393" s="241" t="s">
        <v>312</v>
      </c>
      <c r="E393" s="8" t="s">
        <v>94</v>
      </c>
      <c r="F393" s="151">
        <v>208.33333333333334</v>
      </c>
      <c r="G393" s="74">
        <v>208.33333333333334</v>
      </c>
      <c r="H393" s="74">
        <v>208.33333333333334</v>
      </c>
      <c r="I393" s="74">
        <v>208.33333333333334</v>
      </c>
      <c r="J393" s="74">
        <v>208.33333333333334</v>
      </c>
      <c r="K393" s="74">
        <v>208.33333333333334</v>
      </c>
      <c r="L393" s="74">
        <v>208.33333333333334</v>
      </c>
      <c r="M393" s="74">
        <v>208.33333333333334</v>
      </c>
      <c r="N393" s="74">
        <v>208.33333333333334</v>
      </c>
      <c r="O393" s="74">
        <v>208.33333333333334</v>
      </c>
      <c r="P393" s="74">
        <v>208.33333333333334</v>
      </c>
      <c r="Q393" s="74">
        <v>208.33333333333334</v>
      </c>
      <c r="R393" s="35">
        <f t="shared" si="1"/>
        <v>2500</v>
      </c>
      <c r="S393" s="243">
        <f t="shared" si="2"/>
        <v>625</v>
      </c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</row>
    <row r="394" ht="12.75" customHeight="1">
      <c r="A394" s="238" t="s">
        <v>830</v>
      </c>
      <c r="B394" s="8" t="s">
        <v>332</v>
      </c>
      <c r="C394" s="241" t="s">
        <v>831</v>
      </c>
      <c r="D394" s="241" t="s">
        <v>333</v>
      </c>
      <c r="E394" s="8" t="s">
        <v>94</v>
      </c>
      <c r="F394" s="246">
        <v>0.0</v>
      </c>
      <c r="G394" s="35">
        <v>0.0</v>
      </c>
      <c r="H394" s="35">
        <v>0.0</v>
      </c>
      <c r="I394" s="242">
        <v>0.0</v>
      </c>
      <c r="J394" s="35">
        <v>0.0</v>
      </c>
      <c r="K394" s="35">
        <v>0.0</v>
      </c>
      <c r="L394" s="35">
        <v>0.0</v>
      </c>
      <c r="M394" s="35">
        <v>0.0</v>
      </c>
      <c r="N394" s="35">
        <v>0.0</v>
      </c>
      <c r="O394" s="35">
        <v>0.0</v>
      </c>
      <c r="P394" s="35">
        <v>0.0</v>
      </c>
      <c r="Q394" s="35">
        <v>0.0</v>
      </c>
      <c r="R394" s="242">
        <f t="shared" si="1"/>
        <v>0</v>
      </c>
      <c r="S394" s="243">
        <f t="shared" si="2"/>
        <v>0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</row>
    <row r="395" ht="12.75" customHeight="1">
      <c r="A395" s="238" t="s">
        <v>835</v>
      </c>
      <c r="B395" s="8" t="s">
        <v>343</v>
      </c>
      <c r="C395" s="241" t="s">
        <v>831</v>
      </c>
      <c r="D395" s="241" t="s">
        <v>333</v>
      </c>
      <c r="E395" s="8" t="s">
        <v>94</v>
      </c>
      <c r="F395" s="246">
        <v>0.0</v>
      </c>
      <c r="G395" s="35">
        <v>0.0</v>
      </c>
      <c r="H395" s="35">
        <v>0.0</v>
      </c>
      <c r="I395" s="35">
        <v>0.0</v>
      </c>
      <c r="J395" s="35">
        <v>0.0</v>
      </c>
      <c r="K395" s="35">
        <v>0.0</v>
      </c>
      <c r="L395" s="35">
        <v>0.0</v>
      </c>
      <c r="M395" s="35">
        <v>0.0</v>
      </c>
      <c r="N395" s="35">
        <v>0.0</v>
      </c>
      <c r="O395" s="35">
        <v>0.0</v>
      </c>
      <c r="P395" s="35">
        <v>0.0</v>
      </c>
      <c r="Q395" s="35">
        <v>0.0</v>
      </c>
      <c r="R395" s="35">
        <f t="shared" si="1"/>
        <v>0</v>
      </c>
      <c r="S395" s="243">
        <f t="shared" si="2"/>
        <v>0</v>
      </c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</row>
    <row r="396" ht="12.75" customHeight="1">
      <c r="A396" s="238" t="s">
        <v>836</v>
      </c>
      <c r="B396" s="8" t="s">
        <v>345</v>
      </c>
      <c r="C396" s="241" t="s">
        <v>831</v>
      </c>
      <c r="D396" s="241" t="s">
        <v>333</v>
      </c>
      <c r="E396" s="8" t="s">
        <v>94</v>
      </c>
      <c r="F396" s="246">
        <v>0.0</v>
      </c>
      <c r="G396" s="35">
        <v>0.0</v>
      </c>
      <c r="H396" s="35">
        <v>0.0</v>
      </c>
      <c r="I396" s="35">
        <v>0.0</v>
      </c>
      <c r="J396" s="35">
        <v>0.0</v>
      </c>
      <c r="K396" s="35">
        <v>0.0</v>
      </c>
      <c r="L396" s="35">
        <v>0.0</v>
      </c>
      <c r="M396" s="35">
        <v>0.0</v>
      </c>
      <c r="N396" s="35">
        <v>0.0</v>
      </c>
      <c r="O396" s="35">
        <v>0.0</v>
      </c>
      <c r="P396" s="35">
        <v>0.0</v>
      </c>
      <c r="Q396" s="35">
        <v>0.0</v>
      </c>
      <c r="R396" s="35">
        <f t="shared" si="1"/>
        <v>0</v>
      </c>
      <c r="S396" s="243">
        <f t="shared" si="2"/>
        <v>0</v>
      </c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</row>
    <row r="397" ht="12.75" customHeight="1">
      <c r="A397" s="238" t="s">
        <v>837</v>
      </c>
      <c r="B397" s="8" t="s">
        <v>349</v>
      </c>
      <c r="C397" s="241" t="s">
        <v>831</v>
      </c>
      <c r="D397" s="241" t="s">
        <v>333</v>
      </c>
      <c r="E397" s="8" t="s">
        <v>94</v>
      </c>
      <c r="F397" s="246">
        <v>0.0</v>
      </c>
      <c r="G397" s="35">
        <v>0.0</v>
      </c>
      <c r="H397" s="35">
        <v>0.0</v>
      </c>
      <c r="I397" s="35">
        <v>0.0</v>
      </c>
      <c r="J397" s="35">
        <v>0.0</v>
      </c>
      <c r="K397" s="35">
        <v>0.0</v>
      </c>
      <c r="L397" s="35">
        <v>0.0</v>
      </c>
      <c r="M397" s="35">
        <v>0.0</v>
      </c>
      <c r="N397" s="35">
        <v>0.0</v>
      </c>
      <c r="O397" s="35">
        <v>0.0</v>
      </c>
      <c r="P397" s="35">
        <v>0.0</v>
      </c>
      <c r="Q397" s="35">
        <v>0.0</v>
      </c>
      <c r="R397" s="35">
        <f t="shared" si="1"/>
        <v>0</v>
      </c>
      <c r="S397" s="243">
        <f t="shared" si="2"/>
        <v>0</v>
      </c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>
        <f t="shared" ref="BC397:BC405" si="99">SUM(AQ397:BB397)</f>
        <v>0</v>
      </c>
    </row>
    <row r="398" ht="12.75" customHeight="1">
      <c r="A398" s="238" t="s">
        <v>838</v>
      </c>
      <c r="B398" s="8" t="s">
        <v>332</v>
      </c>
      <c r="C398" s="241" t="s">
        <v>839</v>
      </c>
      <c r="D398" s="241" t="s">
        <v>333</v>
      </c>
      <c r="E398" s="8" t="s">
        <v>95</v>
      </c>
      <c r="F398" s="246">
        <f t="shared" ref="F398:Q398" si="98">2731/12</f>
        <v>227.5833333</v>
      </c>
      <c r="G398" s="35">
        <f t="shared" si="98"/>
        <v>227.5833333</v>
      </c>
      <c r="H398" s="35">
        <f t="shared" si="98"/>
        <v>227.5833333</v>
      </c>
      <c r="I398" s="35">
        <f t="shared" si="98"/>
        <v>227.5833333</v>
      </c>
      <c r="J398" s="35">
        <f t="shared" si="98"/>
        <v>227.5833333</v>
      </c>
      <c r="K398" s="35">
        <f t="shared" si="98"/>
        <v>227.5833333</v>
      </c>
      <c r="L398" s="35">
        <f t="shared" si="98"/>
        <v>227.5833333</v>
      </c>
      <c r="M398" s="35">
        <f t="shared" si="98"/>
        <v>227.5833333</v>
      </c>
      <c r="N398" s="35">
        <f t="shared" si="98"/>
        <v>227.5833333</v>
      </c>
      <c r="O398" s="35">
        <f t="shared" si="98"/>
        <v>227.5833333</v>
      </c>
      <c r="P398" s="35">
        <f t="shared" si="98"/>
        <v>227.5833333</v>
      </c>
      <c r="Q398" s="35">
        <f t="shared" si="98"/>
        <v>227.5833333</v>
      </c>
      <c r="R398" s="35">
        <f t="shared" si="1"/>
        <v>2731</v>
      </c>
      <c r="S398" s="243">
        <f t="shared" si="2"/>
        <v>682.75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>
        <f t="shared" si="99"/>
        <v>0</v>
      </c>
    </row>
    <row r="399" ht="12.75" customHeight="1">
      <c r="A399" s="238" t="s">
        <v>840</v>
      </c>
      <c r="B399" s="8" t="s">
        <v>339</v>
      </c>
      <c r="C399" s="241" t="s">
        <v>839</v>
      </c>
      <c r="D399" s="241" t="s">
        <v>333</v>
      </c>
      <c r="E399" s="8" t="s">
        <v>95</v>
      </c>
      <c r="F399" s="246">
        <v>0.0</v>
      </c>
      <c r="G399" s="35">
        <v>0.0</v>
      </c>
      <c r="H399" s="35">
        <v>0.0</v>
      </c>
      <c r="I399" s="35">
        <v>0.0</v>
      </c>
      <c r="J399" s="35">
        <v>0.0</v>
      </c>
      <c r="K399" s="35">
        <v>0.0</v>
      </c>
      <c r="L399" s="35">
        <v>0.0</v>
      </c>
      <c r="M399" s="35">
        <v>0.0</v>
      </c>
      <c r="N399" s="35">
        <v>0.0</v>
      </c>
      <c r="O399" s="35">
        <v>0.0</v>
      </c>
      <c r="P399" s="35">
        <v>0.0</v>
      </c>
      <c r="Q399" s="35">
        <v>0.0</v>
      </c>
      <c r="R399" s="35">
        <f t="shared" si="1"/>
        <v>0</v>
      </c>
      <c r="S399" s="243">
        <f t="shared" si="2"/>
        <v>0</v>
      </c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>
        <f t="shared" si="99"/>
        <v>0</v>
      </c>
    </row>
    <row r="400" ht="12.75" customHeight="1">
      <c r="A400" s="238" t="s">
        <v>841</v>
      </c>
      <c r="B400" s="8" t="s">
        <v>108</v>
      </c>
      <c r="C400" s="241" t="s">
        <v>839</v>
      </c>
      <c r="D400" s="241" t="s">
        <v>312</v>
      </c>
      <c r="E400" s="8" t="s">
        <v>95</v>
      </c>
      <c r="F400" s="259">
        <v>0.0</v>
      </c>
      <c r="G400" s="74">
        <v>0.0</v>
      </c>
      <c r="H400" s="74">
        <v>0.0</v>
      </c>
      <c r="I400" s="74">
        <v>0.0</v>
      </c>
      <c r="J400" s="74">
        <v>0.0</v>
      </c>
      <c r="K400" s="74">
        <v>0.0</v>
      </c>
      <c r="L400" s="74">
        <v>0.0</v>
      </c>
      <c r="M400" s="74">
        <v>0.0</v>
      </c>
      <c r="N400" s="74">
        <v>0.0</v>
      </c>
      <c r="O400" s="74">
        <v>0.0</v>
      </c>
      <c r="P400" s="74">
        <v>0.0</v>
      </c>
      <c r="Q400" s="74">
        <v>0.0</v>
      </c>
      <c r="R400" s="35">
        <f t="shared" si="1"/>
        <v>0</v>
      </c>
      <c r="S400" s="243">
        <f t="shared" si="2"/>
        <v>0</v>
      </c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>
        <f t="shared" si="99"/>
        <v>0</v>
      </c>
    </row>
    <row r="401" ht="12.75" customHeight="1">
      <c r="A401" s="238" t="s">
        <v>842</v>
      </c>
      <c r="B401" s="8" t="s">
        <v>89</v>
      </c>
      <c r="C401" s="241" t="s">
        <v>839</v>
      </c>
      <c r="D401" s="241" t="s">
        <v>312</v>
      </c>
      <c r="E401" s="8" t="s">
        <v>95</v>
      </c>
      <c r="F401" s="151">
        <v>125.0</v>
      </c>
      <c r="G401" s="74">
        <v>125.0</v>
      </c>
      <c r="H401" s="74">
        <v>125.0</v>
      </c>
      <c r="I401" s="74">
        <v>125.0</v>
      </c>
      <c r="J401" s="74">
        <v>125.0</v>
      </c>
      <c r="K401" s="74">
        <v>125.0</v>
      </c>
      <c r="L401" s="74">
        <v>125.0</v>
      </c>
      <c r="M401" s="74">
        <v>125.0</v>
      </c>
      <c r="N401" s="74">
        <v>125.0</v>
      </c>
      <c r="O401" s="74">
        <v>125.0</v>
      </c>
      <c r="P401" s="74">
        <v>125.0</v>
      </c>
      <c r="Q401" s="74">
        <v>125.0</v>
      </c>
      <c r="R401" s="35">
        <f t="shared" si="1"/>
        <v>1500</v>
      </c>
      <c r="S401" s="243">
        <f t="shared" si="2"/>
        <v>375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>
        <f t="shared" si="99"/>
        <v>0</v>
      </c>
    </row>
    <row r="402" ht="12.75" customHeight="1">
      <c r="A402" s="238" t="s">
        <v>838</v>
      </c>
      <c r="B402" s="8" t="s">
        <v>332</v>
      </c>
      <c r="C402" s="241" t="s">
        <v>839</v>
      </c>
      <c r="D402" s="241" t="s">
        <v>333</v>
      </c>
      <c r="E402" s="8" t="s">
        <v>95</v>
      </c>
      <c r="F402" s="246">
        <v>0.0</v>
      </c>
      <c r="G402" s="35">
        <v>0.0</v>
      </c>
      <c r="H402" s="35">
        <v>0.0</v>
      </c>
      <c r="I402" s="242">
        <v>0.0</v>
      </c>
      <c r="J402" s="35">
        <v>0.0</v>
      </c>
      <c r="K402" s="35">
        <v>0.0</v>
      </c>
      <c r="L402" s="35">
        <v>0.0</v>
      </c>
      <c r="M402" s="35">
        <v>0.0</v>
      </c>
      <c r="N402" s="35">
        <v>0.0</v>
      </c>
      <c r="O402" s="35">
        <v>0.0</v>
      </c>
      <c r="P402" s="35">
        <v>0.0</v>
      </c>
      <c r="Q402" s="35">
        <v>0.0</v>
      </c>
      <c r="R402" s="242">
        <f t="shared" si="1"/>
        <v>0</v>
      </c>
      <c r="S402" s="243">
        <f t="shared" si="2"/>
        <v>0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>
        <f t="shared" si="99"/>
        <v>0</v>
      </c>
    </row>
    <row r="403" ht="12.75" customHeight="1">
      <c r="A403" s="238" t="s">
        <v>843</v>
      </c>
      <c r="B403" s="8" t="s">
        <v>343</v>
      </c>
      <c r="C403" s="241" t="s">
        <v>839</v>
      </c>
      <c r="D403" s="241" t="s">
        <v>333</v>
      </c>
      <c r="E403" s="8" t="s">
        <v>95</v>
      </c>
      <c r="F403" s="246">
        <v>0.0</v>
      </c>
      <c r="G403" s="35">
        <v>0.0</v>
      </c>
      <c r="H403" s="35">
        <v>0.0</v>
      </c>
      <c r="I403" s="35">
        <v>0.0</v>
      </c>
      <c r="J403" s="35">
        <v>0.0</v>
      </c>
      <c r="K403" s="35">
        <v>0.0</v>
      </c>
      <c r="L403" s="35">
        <v>0.0</v>
      </c>
      <c r="M403" s="35">
        <v>0.0</v>
      </c>
      <c r="N403" s="35">
        <v>0.0</v>
      </c>
      <c r="O403" s="35">
        <v>0.0</v>
      </c>
      <c r="P403" s="35">
        <v>0.0</v>
      </c>
      <c r="Q403" s="35">
        <v>0.0</v>
      </c>
      <c r="R403" s="35">
        <f t="shared" si="1"/>
        <v>0</v>
      </c>
      <c r="S403" s="243">
        <f t="shared" si="2"/>
        <v>0</v>
      </c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>
        <f t="shared" si="99"/>
        <v>0</v>
      </c>
    </row>
    <row r="404" ht="12.75" customHeight="1">
      <c r="A404" s="238" t="s">
        <v>844</v>
      </c>
      <c r="B404" s="8" t="s">
        <v>345</v>
      </c>
      <c r="C404" s="241" t="s">
        <v>839</v>
      </c>
      <c r="D404" s="241" t="s">
        <v>333</v>
      </c>
      <c r="E404" s="8" t="s">
        <v>95</v>
      </c>
      <c r="F404" s="246">
        <v>0.0</v>
      </c>
      <c r="G404" s="35">
        <v>0.0</v>
      </c>
      <c r="H404" s="35">
        <v>0.0</v>
      </c>
      <c r="I404" s="35">
        <v>0.0</v>
      </c>
      <c r="J404" s="35">
        <v>0.0</v>
      </c>
      <c r="K404" s="35">
        <v>0.0</v>
      </c>
      <c r="L404" s="35">
        <v>0.0</v>
      </c>
      <c r="M404" s="35">
        <v>0.0</v>
      </c>
      <c r="N404" s="35">
        <v>0.0</v>
      </c>
      <c r="O404" s="35">
        <v>0.0</v>
      </c>
      <c r="P404" s="35">
        <v>0.0</v>
      </c>
      <c r="Q404" s="35">
        <v>0.0</v>
      </c>
      <c r="R404" s="35">
        <f t="shared" si="1"/>
        <v>0</v>
      </c>
      <c r="S404" s="243">
        <f t="shared" si="2"/>
        <v>0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>
        <f t="shared" si="99"/>
        <v>0</v>
      </c>
    </row>
    <row r="405" ht="12.75" customHeight="1">
      <c r="A405" s="238" t="s">
        <v>845</v>
      </c>
      <c r="B405" s="8" t="s">
        <v>349</v>
      </c>
      <c r="C405" s="241" t="s">
        <v>839</v>
      </c>
      <c r="D405" s="241" t="s">
        <v>333</v>
      </c>
      <c r="E405" s="8" t="s">
        <v>95</v>
      </c>
      <c r="F405" s="246">
        <v>0.0</v>
      </c>
      <c r="G405" s="35">
        <v>0.0</v>
      </c>
      <c r="H405" s="35">
        <v>0.0</v>
      </c>
      <c r="I405" s="35">
        <v>0.0</v>
      </c>
      <c r="J405" s="35">
        <v>0.0</v>
      </c>
      <c r="K405" s="35">
        <v>0.0</v>
      </c>
      <c r="L405" s="35">
        <v>0.0</v>
      </c>
      <c r="M405" s="35">
        <v>0.0</v>
      </c>
      <c r="N405" s="35">
        <v>0.0</v>
      </c>
      <c r="O405" s="35">
        <v>0.0</v>
      </c>
      <c r="P405" s="35">
        <v>0.0</v>
      </c>
      <c r="Q405" s="35">
        <v>0.0</v>
      </c>
      <c r="R405" s="35">
        <f t="shared" si="1"/>
        <v>0</v>
      </c>
      <c r="S405" s="243">
        <f t="shared" si="2"/>
        <v>0</v>
      </c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>
        <f t="shared" si="99"/>
        <v>0</v>
      </c>
    </row>
    <row r="406" ht="12.75" customHeight="1">
      <c r="A406" s="238" t="s">
        <v>547</v>
      </c>
      <c r="B406" s="8" t="s">
        <v>332</v>
      </c>
      <c r="C406" s="241" t="s">
        <v>846</v>
      </c>
      <c r="D406" s="241" t="s">
        <v>333</v>
      </c>
      <c r="E406" s="8" t="s">
        <v>126</v>
      </c>
      <c r="F406" s="246">
        <f t="shared" ref="F406:Q406" si="100">117964/12</f>
        <v>9830.333333</v>
      </c>
      <c r="G406" s="35">
        <f t="shared" si="100"/>
        <v>9830.333333</v>
      </c>
      <c r="H406" s="35">
        <f t="shared" si="100"/>
        <v>9830.333333</v>
      </c>
      <c r="I406" s="35">
        <f t="shared" si="100"/>
        <v>9830.333333</v>
      </c>
      <c r="J406" s="35">
        <f t="shared" si="100"/>
        <v>9830.333333</v>
      </c>
      <c r="K406" s="35">
        <f t="shared" si="100"/>
        <v>9830.333333</v>
      </c>
      <c r="L406" s="35">
        <f t="shared" si="100"/>
        <v>9830.333333</v>
      </c>
      <c r="M406" s="35">
        <f t="shared" si="100"/>
        <v>9830.333333</v>
      </c>
      <c r="N406" s="35">
        <f t="shared" si="100"/>
        <v>9830.333333</v>
      </c>
      <c r="O406" s="35">
        <f t="shared" si="100"/>
        <v>9830.333333</v>
      </c>
      <c r="P406" s="35">
        <f t="shared" si="100"/>
        <v>9830.333333</v>
      </c>
      <c r="Q406" s="35">
        <f t="shared" si="100"/>
        <v>9830.333333</v>
      </c>
      <c r="R406" s="35">
        <f t="shared" si="1"/>
        <v>117964</v>
      </c>
      <c r="S406" s="243">
        <f t="shared" si="2"/>
        <v>29491</v>
      </c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</row>
    <row r="407" ht="12.75" customHeight="1">
      <c r="A407" s="238" t="s">
        <v>847</v>
      </c>
      <c r="B407" s="8" t="s">
        <v>339</v>
      </c>
      <c r="C407" s="241" t="s">
        <v>846</v>
      </c>
      <c r="D407" s="241" t="s">
        <v>333</v>
      </c>
      <c r="E407" s="8" t="s">
        <v>126</v>
      </c>
      <c r="F407" s="246">
        <v>0.0</v>
      </c>
      <c r="G407" s="35">
        <v>0.0</v>
      </c>
      <c r="H407" s="35">
        <v>0.0</v>
      </c>
      <c r="I407" s="35">
        <v>0.0</v>
      </c>
      <c r="J407" s="35">
        <v>0.0</v>
      </c>
      <c r="K407" s="35">
        <v>0.0</v>
      </c>
      <c r="L407" s="35">
        <v>0.0</v>
      </c>
      <c r="M407" s="35">
        <v>0.0</v>
      </c>
      <c r="N407" s="35">
        <v>0.0</v>
      </c>
      <c r="O407" s="35">
        <v>0.0</v>
      </c>
      <c r="P407" s="35">
        <v>0.0</v>
      </c>
      <c r="Q407" s="35">
        <v>0.0</v>
      </c>
      <c r="R407" s="35">
        <f t="shared" si="1"/>
        <v>0</v>
      </c>
      <c r="S407" s="243">
        <f t="shared" si="2"/>
        <v>0</v>
      </c>
      <c r="T407" s="35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</row>
    <row r="408" ht="12.75" customHeight="1">
      <c r="A408" s="238" t="s">
        <v>848</v>
      </c>
      <c r="B408" s="8" t="s">
        <v>108</v>
      </c>
      <c r="C408" s="241" t="s">
        <v>846</v>
      </c>
      <c r="D408" s="241" t="s">
        <v>312</v>
      </c>
      <c r="E408" s="8" t="s">
        <v>126</v>
      </c>
      <c r="F408" s="151">
        <v>2160.1666666666665</v>
      </c>
      <c r="G408" s="74">
        <v>2160.1666666666665</v>
      </c>
      <c r="H408" s="74">
        <v>2160.1666666666665</v>
      </c>
      <c r="I408" s="74">
        <v>2160.1666666666665</v>
      </c>
      <c r="J408" s="74">
        <v>2160.1666666666665</v>
      </c>
      <c r="K408" s="74">
        <v>2160.1666666666665</v>
      </c>
      <c r="L408" s="74">
        <v>2160.1666666666665</v>
      </c>
      <c r="M408" s="74">
        <v>2160.1666666666665</v>
      </c>
      <c r="N408" s="74">
        <v>2160.1666666666665</v>
      </c>
      <c r="O408" s="74">
        <v>2160.1666666666665</v>
      </c>
      <c r="P408" s="74">
        <v>2160.1666666666665</v>
      </c>
      <c r="Q408" s="74">
        <v>2160.1666666666665</v>
      </c>
      <c r="R408" s="35">
        <f t="shared" si="1"/>
        <v>25922</v>
      </c>
      <c r="S408" s="243">
        <f t="shared" si="2"/>
        <v>6480.5</v>
      </c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</row>
    <row r="409" ht="12.75" customHeight="1">
      <c r="A409" s="238" t="s">
        <v>849</v>
      </c>
      <c r="B409" s="8" t="s">
        <v>89</v>
      </c>
      <c r="C409" s="241" t="s">
        <v>846</v>
      </c>
      <c r="D409" s="241" t="s">
        <v>312</v>
      </c>
      <c r="E409" s="8" t="s">
        <v>126</v>
      </c>
      <c r="F409" s="151">
        <v>2190.75</v>
      </c>
      <c r="G409" s="74">
        <v>2190.75</v>
      </c>
      <c r="H409" s="74">
        <v>2190.75</v>
      </c>
      <c r="I409" s="74">
        <v>2190.75</v>
      </c>
      <c r="J409" s="74">
        <v>2190.75</v>
      </c>
      <c r="K409" s="74">
        <v>2190.75</v>
      </c>
      <c r="L409" s="74">
        <v>2190.75</v>
      </c>
      <c r="M409" s="74">
        <v>2190.75</v>
      </c>
      <c r="N409" s="74">
        <v>2190.75</v>
      </c>
      <c r="O409" s="74">
        <v>2190.75</v>
      </c>
      <c r="P409" s="74">
        <v>2190.75</v>
      </c>
      <c r="Q409" s="74">
        <v>2190.75</v>
      </c>
      <c r="R409" s="35">
        <f t="shared" si="1"/>
        <v>26289</v>
      </c>
      <c r="S409" s="243">
        <f t="shared" si="2"/>
        <v>6572.25</v>
      </c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</row>
    <row r="410" ht="12.75" customHeight="1">
      <c r="A410" s="238" t="s">
        <v>850</v>
      </c>
      <c r="B410" s="8" t="s">
        <v>343</v>
      </c>
      <c r="C410" s="241" t="s">
        <v>846</v>
      </c>
      <c r="D410" s="241" t="s">
        <v>333</v>
      </c>
      <c r="E410" s="8" t="s">
        <v>126</v>
      </c>
      <c r="F410" s="246">
        <f t="shared" ref="F410:Q410" si="101">52384/12</f>
        <v>4365.333333</v>
      </c>
      <c r="G410" s="35">
        <f t="shared" si="101"/>
        <v>4365.333333</v>
      </c>
      <c r="H410" s="35">
        <f t="shared" si="101"/>
        <v>4365.333333</v>
      </c>
      <c r="I410" s="35">
        <f t="shared" si="101"/>
        <v>4365.333333</v>
      </c>
      <c r="J410" s="35">
        <f t="shared" si="101"/>
        <v>4365.333333</v>
      </c>
      <c r="K410" s="35">
        <f t="shared" si="101"/>
        <v>4365.333333</v>
      </c>
      <c r="L410" s="35">
        <f t="shared" si="101"/>
        <v>4365.333333</v>
      </c>
      <c r="M410" s="35">
        <f t="shared" si="101"/>
        <v>4365.333333</v>
      </c>
      <c r="N410" s="35">
        <f t="shared" si="101"/>
        <v>4365.333333</v>
      </c>
      <c r="O410" s="35">
        <f t="shared" si="101"/>
        <v>4365.333333</v>
      </c>
      <c r="P410" s="35">
        <f t="shared" si="101"/>
        <v>4365.333333</v>
      </c>
      <c r="Q410" s="35">
        <f t="shared" si="101"/>
        <v>4365.333333</v>
      </c>
      <c r="R410" s="35">
        <f t="shared" si="1"/>
        <v>52384</v>
      </c>
      <c r="S410" s="243">
        <f t="shared" si="2"/>
        <v>13096</v>
      </c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</row>
    <row r="411" ht="12.75" customHeight="1">
      <c r="A411" s="238" t="s">
        <v>851</v>
      </c>
      <c r="B411" s="8" t="s">
        <v>345</v>
      </c>
      <c r="C411" s="241" t="s">
        <v>846</v>
      </c>
      <c r="D411" s="241" t="s">
        <v>333</v>
      </c>
      <c r="E411" s="8" t="s">
        <v>126</v>
      </c>
      <c r="F411" s="246">
        <f t="shared" ref="F411:Q411" si="102">31788/12</f>
        <v>2649</v>
      </c>
      <c r="G411" s="35">
        <f t="shared" si="102"/>
        <v>2649</v>
      </c>
      <c r="H411" s="35">
        <f t="shared" si="102"/>
        <v>2649</v>
      </c>
      <c r="I411" s="35">
        <f t="shared" si="102"/>
        <v>2649</v>
      </c>
      <c r="J411" s="35">
        <f t="shared" si="102"/>
        <v>2649</v>
      </c>
      <c r="K411" s="35">
        <f t="shared" si="102"/>
        <v>2649</v>
      </c>
      <c r="L411" s="35">
        <f t="shared" si="102"/>
        <v>2649</v>
      </c>
      <c r="M411" s="35">
        <f t="shared" si="102"/>
        <v>2649</v>
      </c>
      <c r="N411" s="35">
        <f t="shared" si="102"/>
        <v>2649</v>
      </c>
      <c r="O411" s="35">
        <f t="shared" si="102"/>
        <v>2649</v>
      </c>
      <c r="P411" s="35">
        <f t="shared" si="102"/>
        <v>2649</v>
      </c>
      <c r="Q411" s="35">
        <f t="shared" si="102"/>
        <v>2649</v>
      </c>
      <c r="R411" s="35">
        <f t="shared" si="1"/>
        <v>31788</v>
      </c>
      <c r="S411" s="243">
        <f t="shared" si="2"/>
        <v>7947</v>
      </c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>
        <f>SUM(AQ411:BB411)</f>
        <v>0</v>
      </c>
    </row>
    <row r="412" ht="12.75" customHeight="1">
      <c r="A412" s="238" t="s">
        <v>852</v>
      </c>
      <c r="B412" s="8" t="s">
        <v>349</v>
      </c>
      <c r="C412" s="241" t="s">
        <v>846</v>
      </c>
      <c r="D412" s="241" t="s">
        <v>333</v>
      </c>
      <c r="E412" s="8" t="s">
        <v>126</v>
      </c>
      <c r="F412" s="246">
        <f t="shared" ref="F412:Q412" si="103">34125/12</f>
        <v>2843.75</v>
      </c>
      <c r="G412" s="35">
        <f t="shared" si="103"/>
        <v>2843.75</v>
      </c>
      <c r="H412" s="35">
        <f t="shared" si="103"/>
        <v>2843.75</v>
      </c>
      <c r="I412" s="35">
        <f t="shared" si="103"/>
        <v>2843.75</v>
      </c>
      <c r="J412" s="35">
        <f t="shared" si="103"/>
        <v>2843.75</v>
      </c>
      <c r="K412" s="35">
        <f t="shared" si="103"/>
        <v>2843.75</v>
      </c>
      <c r="L412" s="35">
        <f t="shared" si="103"/>
        <v>2843.75</v>
      </c>
      <c r="M412" s="35">
        <f t="shared" si="103"/>
        <v>2843.75</v>
      </c>
      <c r="N412" s="35">
        <f t="shared" si="103"/>
        <v>2843.75</v>
      </c>
      <c r="O412" s="35">
        <f t="shared" si="103"/>
        <v>2843.75</v>
      </c>
      <c r="P412" s="35">
        <f t="shared" si="103"/>
        <v>2843.75</v>
      </c>
      <c r="Q412" s="35">
        <f t="shared" si="103"/>
        <v>2843.75</v>
      </c>
      <c r="R412" s="35">
        <f t="shared" si="1"/>
        <v>34125</v>
      </c>
      <c r="S412" s="243">
        <f t="shared" si="2"/>
        <v>8531.25</v>
      </c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</row>
    <row r="413" ht="12.75" customHeight="1">
      <c r="A413" s="238" t="s">
        <v>548</v>
      </c>
      <c r="B413" s="8" t="s">
        <v>332</v>
      </c>
      <c r="C413" s="241" t="s">
        <v>853</v>
      </c>
      <c r="D413" s="241" t="s">
        <v>333</v>
      </c>
      <c r="E413" s="8" t="s">
        <v>118</v>
      </c>
      <c r="F413" s="246">
        <f t="shared" ref="F413:Q413" si="104">19800/12</f>
        <v>1650</v>
      </c>
      <c r="G413" s="35">
        <f t="shared" si="104"/>
        <v>1650</v>
      </c>
      <c r="H413" s="35">
        <f t="shared" si="104"/>
        <v>1650</v>
      </c>
      <c r="I413" s="35">
        <f t="shared" si="104"/>
        <v>1650</v>
      </c>
      <c r="J413" s="35">
        <f t="shared" si="104"/>
        <v>1650</v>
      </c>
      <c r="K413" s="35">
        <f t="shared" si="104"/>
        <v>1650</v>
      </c>
      <c r="L413" s="35">
        <f t="shared" si="104"/>
        <v>1650</v>
      </c>
      <c r="M413" s="35">
        <f t="shared" si="104"/>
        <v>1650</v>
      </c>
      <c r="N413" s="35">
        <f t="shared" si="104"/>
        <v>1650</v>
      </c>
      <c r="O413" s="35">
        <f t="shared" si="104"/>
        <v>1650</v>
      </c>
      <c r="P413" s="35">
        <f t="shared" si="104"/>
        <v>1650</v>
      </c>
      <c r="Q413" s="35">
        <f t="shared" si="104"/>
        <v>1650</v>
      </c>
      <c r="R413" s="35">
        <f t="shared" si="1"/>
        <v>19800</v>
      </c>
      <c r="S413" s="243">
        <f t="shared" si="2"/>
        <v>4950</v>
      </c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</row>
    <row r="414" ht="12.75" customHeight="1">
      <c r="A414" s="238" t="s">
        <v>854</v>
      </c>
      <c r="B414" s="8" t="s">
        <v>339</v>
      </c>
      <c r="C414" s="241" t="s">
        <v>853</v>
      </c>
      <c r="D414" s="241" t="s">
        <v>333</v>
      </c>
      <c r="E414" s="8" t="s">
        <v>118</v>
      </c>
      <c r="F414" s="246">
        <v>0.0</v>
      </c>
      <c r="G414" s="35">
        <v>0.0</v>
      </c>
      <c r="H414" s="35">
        <v>0.0</v>
      </c>
      <c r="I414" s="35">
        <v>0.0</v>
      </c>
      <c r="J414" s="35">
        <v>0.0</v>
      </c>
      <c r="K414" s="35">
        <v>0.0</v>
      </c>
      <c r="L414" s="35">
        <v>0.0</v>
      </c>
      <c r="M414" s="35">
        <v>0.0</v>
      </c>
      <c r="N414" s="35">
        <v>0.0</v>
      </c>
      <c r="O414" s="35">
        <v>0.0</v>
      </c>
      <c r="P414" s="35">
        <v>0.0</v>
      </c>
      <c r="Q414" s="35">
        <v>0.0</v>
      </c>
      <c r="R414" s="35">
        <f t="shared" si="1"/>
        <v>0</v>
      </c>
      <c r="S414" s="243">
        <f t="shared" si="2"/>
        <v>0</v>
      </c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</row>
    <row r="415" ht="12.75" customHeight="1">
      <c r="A415" s="238" t="s">
        <v>855</v>
      </c>
      <c r="B415" s="8" t="s">
        <v>108</v>
      </c>
      <c r="C415" s="241" t="s">
        <v>853</v>
      </c>
      <c r="D415" s="241" t="s">
        <v>312</v>
      </c>
      <c r="E415" s="8" t="s">
        <v>118</v>
      </c>
      <c r="F415" s="259">
        <v>0.0</v>
      </c>
      <c r="G415" s="74">
        <v>0.0</v>
      </c>
      <c r="H415" s="74">
        <v>0.0</v>
      </c>
      <c r="I415" s="74">
        <v>0.0</v>
      </c>
      <c r="J415" s="74">
        <v>0.0</v>
      </c>
      <c r="K415" s="74">
        <v>0.0</v>
      </c>
      <c r="L415" s="74">
        <v>0.0</v>
      </c>
      <c r="M415" s="74">
        <v>0.0</v>
      </c>
      <c r="N415" s="74">
        <v>0.0</v>
      </c>
      <c r="O415" s="74">
        <v>0.0</v>
      </c>
      <c r="P415" s="74">
        <v>0.0</v>
      </c>
      <c r="Q415" s="74">
        <v>0.0</v>
      </c>
      <c r="R415" s="35">
        <f t="shared" si="1"/>
        <v>0</v>
      </c>
      <c r="S415" s="243">
        <f t="shared" si="2"/>
        <v>0</v>
      </c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</row>
    <row r="416" ht="12.75" customHeight="1">
      <c r="A416" s="238" t="s">
        <v>856</v>
      </c>
      <c r="B416" s="8" t="s">
        <v>89</v>
      </c>
      <c r="C416" s="241" t="s">
        <v>853</v>
      </c>
      <c r="D416" s="241" t="s">
        <v>312</v>
      </c>
      <c r="E416" s="8" t="s">
        <v>118</v>
      </c>
      <c r="F416" s="259">
        <v>0.0</v>
      </c>
      <c r="G416" s="74">
        <v>0.0</v>
      </c>
      <c r="H416" s="74">
        <v>0.0</v>
      </c>
      <c r="I416" s="74">
        <v>0.0</v>
      </c>
      <c r="J416" s="74">
        <v>0.0</v>
      </c>
      <c r="K416" s="74">
        <v>0.0</v>
      </c>
      <c r="L416" s="74">
        <v>0.0</v>
      </c>
      <c r="M416" s="74">
        <v>0.0</v>
      </c>
      <c r="N416" s="74">
        <v>0.0</v>
      </c>
      <c r="O416" s="74">
        <v>0.0</v>
      </c>
      <c r="P416" s="74">
        <v>0.0</v>
      </c>
      <c r="Q416" s="74">
        <v>0.0</v>
      </c>
      <c r="R416" s="35">
        <f t="shared" si="1"/>
        <v>0</v>
      </c>
      <c r="S416" s="243">
        <f t="shared" si="2"/>
        <v>0</v>
      </c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>
        <f t="shared" ref="BC416:BC423" si="105">SUM(AQ416:BB416)</f>
        <v>0</v>
      </c>
    </row>
    <row r="417" ht="12.75" customHeight="1">
      <c r="A417" s="238" t="s">
        <v>857</v>
      </c>
      <c r="B417" s="8" t="s">
        <v>343</v>
      </c>
      <c r="C417" s="241" t="s">
        <v>853</v>
      </c>
      <c r="D417" s="241" t="s">
        <v>333</v>
      </c>
      <c r="E417" s="8" t="s">
        <v>118</v>
      </c>
      <c r="F417" s="246">
        <v>0.0</v>
      </c>
      <c r="G417" s="35">
        <v>0.0</v>
      </c>
      <c r="H417" s="35">
        <v>0.0</v>
      </c>
      <c r="I417" s="35">
        <v>0.0</v>
      </c>
      <c r="J417" s="35">
        <v>0.0</v>
      </c>
      <c r="K417" s="35">
        <v>0.0</v>
      </c>
      <c r="L417" s="35">
        <v>0.0</v>
      </c>
      <c r="M417" s="35">
        <v>0.0</v>
      </c>
      <c r="N417" s="35">
        <v>0.0</v>
      </c>
      <c r="O417" s="35">
        <v>0.0</v>
      </c>
      <c r="P417" s="35">
        <v>0.0</v>
      </c>
      <c r="Q417" s="35">
        <v>0.0</v>
      </c>
      <c r="R417" s="35">
        <f t="shared" si="1"/>
        <v>0</v>
      </c>
      <c r="S417" s="243">
        <f t="shared" si="2"/>
        <v>0</v>
      </c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>
        <f t="shared" si="105"/>
        <v>0</v>
      </c>
    </row>
    <row r="418" ht="12.75" customHeight="1">
      <c r="A418" s="238" t="s">
        <v>858</v>
      </c>
      <c r="B418" s="8" t="s">
        <v>345</v>
      </c>
      <c r="C418" s="241" t="s">
        <v>853</v>
      </c>
      <c r="D418" s="241" t="s">
        <v>333</v>
      </c>
      <c r="E418" s="8" t="s">
        <v>118</v>
      </c>
      <c r="F418" s="246">
        <v>0.0</v>
      </c>
      <c r="G418" s="35">
        <v>0.0</v>
      </c>
      <c r="H418" s="35">
        <v>0.0</v>
      </c>
      <c r="I418" s="35">
        <v>0.0</v>
      </c>
      <c r="J418" s="35">
        <v>0.0</v>
      </c>
      <c r="K418" s="35">
        <v>0.0</v>
      </c>
      <c r="L418" s="35">
        <v>0.0</v>
      </c>
      <c r="M418" s="35">
        <v>0.0</v>
      </c>
      <c r="N418" s="35">
        <v>0.0</v>
      </c>
      <c r="O418" s="35">
        <v>0.0</v>
      </c>
      <c r="P418" s="35">
        <v>0.0</v>
      </c>
      <c r="Q418" s="35">
        <v>0.0</v>
      </c>
      <c r="R418" s="35">
        <f t="shared" si="1"/>
        <v>0</v>
      </c>
      <c r="S418" s="243">
        <f t="shared" si="2"/>
        <v>0</v>
      </c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>
        <f t="shared" si="105"/>
        <v>0</v>
      </c>
    </row>
    <row r="419" ht="12.75" customHeight="1">
      <c r="A419" s="238" t="s">
        <v>859</v>
      </c>
      <c r="B419" s="8" t="s">
        <v>349</v>
      </c>
      <c r="C419" s="241" t="s">
        <v>853</v>
      </c>
      <c r="D419" s="241" t="s">
        <v>333</v>
      </c>
      <c r="E419" s="8" t="s">
        <v>118</v>
      </c>
      <c r="F419" s="246">
        <v>0.0</v>
      </c>
      <c r="G419" s="35">
        <v>0.0</v>
      </c>
      <c r="H419" s="35">
        <v>0.0</v>
      </c>
      <c r="I419" s="35">
        <v>0.0</v>
      </c>
      <c r="J419" s="35">
        <v>0.0</v>
      </c>
      <c r="K419" s="35">
        <v>0.0</v>
      </c>
      <c r="L419" s="35">
        <v>0.0</v>
      </c>
      <c r="M419" s="35">
        <v>0.0</v>
      </c>
      <c r="N419" s="35">
        <v>0.0</v>
      </c>
      <c r="O419" s="35">
        <v>0.0</v>
      </c>
      <c r="P419" s="35">
        <v>0.0</v>
      </c>
      <c r="Q419" s="35">
        <v>0.0</v>
      </c>
      <c r="R419" s="35">
        <f t="shared" si="1"/>
        <v>0</v>
      </c>
      <c r="S419" s="243">
        <f t="shared" si="2"/>
        <v>0</v>
      </c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>
        <f t="shared" si="105"/>
        <v>0</v>
      </c>
    </row>
    <row r="420" ht="12.75" customHeight="1">
      <c r="A420" s="238" t="s">
        <v>549</v>
      </c>
      <c r="B420" s="8" t="s">
        <v>332</v>
      </c>
      <c r="C420" s="241" t="s">
        <v>860</v>
      </c>
      <c r="D420" s="241" t="s">
        <v>333</v>
      </c>
      <c r="E420" s="8" t="s">
        <v>115</v>
      </c>
      <c r="F420" s="246">
        <v>10000.0</v>
      </c>
      <c r="G420" s="35">
        <v>10000.0</v>
      </c>
      <c r="H420" s="35">
        <v>10000.0</v>
      </c>
      <c r="I420" s="35">
        <v>10000.0</v>
      </c>
      <c r="J420" s="35">
        <v>10000.0</v>
      </c>
      <c r="K420" s="35">
        <v>10000.0</v>
      </c>
      <c r="L420" s="35">
        <v>10000.0</v>
      </c>
      <c r="M420" s="35">
        <v>10000.0</v>
      </c>
      <c r="N420" s="35">
        <v>10000.0</v>
      </c>
      <c r="O420" s="35">
        <v>10000.0</v>
      </c>
      <c r="P420" s="35">
        <v>10000.0</v>
      </c>
      <c r="Q420" s="35">
        <v>10000.0</v>
      </c>
      <c r="R420" s="35">
        <f t="shared" si="1"/>
        <v>120000</v>
      </c>
      <c r="S420" s="243">
        <f t="shared" si="2"/>
        <v>30000</v>
      </c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>
        <f t="shared" si="105"/>
        <v>0</v>
      </c>
    </row>
    <row r="421" ht="12.75" customHeight="1">
      <c r="A421" s="238" t="s">
        <v>861</v>
      </c>
      <c r="B421" s="8" t="s">
        <v>339</v>
      </c>
      <c r="C421" s="241" t="s">
        <v>860</v>
      </c>
      <c r="D421" s="241" t="s">
        <v>333</v>
      </c>
      <c r="E421" s="8" t="s">
        <v>115</v>
      </c>
      <c r="F421" s="246">
        <v>0.0</v>
      </c>
      <c r="G421" s="35">
        <v>0.0</v>
      </c>
      <c r="H421" s="35">
        <v>0.0</v>
      </c>
      <c r="I421" s="35">
        <v>0.0</v>
      </c>
      <c r="J421" s="35">
        <v>0.0</v>
      </c>
      <c r="K421" s="35">
        <v>0.0</v>
      </c>
      <c r="L421" s="35">
        <v>0.0</v>
      </c>
      <c r="M421" s="35">
        <v>0.0</v>
      </c>
      <c r="N421" s="35">
        <v>0.0</v>
      </c>
      <c r="O421" s="35">
        <v>0.0</v>
      </c>
      <c r="P421" s="35">
        <v>0.0</v>
      </c>
      <c r="Q421" s="35">
        <v>0.0</v>
      </c>
      <c r="R421" s="35">
        <f t="shared" si="1"/>
        <v>0</v>
      </c>
      <c r="S421" s="243">
        <f t="shared" si="2"/>
        <v>0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>
        <f t="shared" si="105"/>
        <v>0</v>
      </c>
    </row>
    <row r="422" ht="12.75" customHeight="1">
      <c r="A422" s="238" t="s">
        <v>862</v>
      </c>
      <c r="B422" s="8" t="s">
        <v>108</v>
      </c>
      <c r="C422" s="241" t="s">
        <v>860</v>
      </c>
      <c r="D422" s="241" t="s">
        <v>312</v>
      </c>
      <c r="E422" s="8" t="s">
        <v>115</v>
      </c>
      <c r="F422" s="259">
        <v>0.0</v>
      </c>
      <c r="G422" s="74">
        <v>0.0</v>
      </c>
      <c r="H422" s="74">
        <v>0.0</v>
      </c>
      <c r="I422" s="74">
        <v>0.0</v>
      </c>
      <c r="J422" s="74">
        <v>0.0</v>
      </c>
      <c r="K422" s="74">
        <v>0.0</v>
      </c>
      <c r="L422" s="74">
        <v>0.0</v>
      </c>
      <c r="M422" s="74">
        <v>0.0</v>
      </c>
      <c r="N422" s="74">
        <v>0.0</v>
      </c>
      <c r="O422" s="74">
        <v>0.0</v>
      </c>
      <c r="P422" s="74">
        <v>0.0</v>
      </c>
      <c r="Q422" s="74">
        <v>0.0</v>
      </c>
      <c r="R422" s="35">
        <f t="shared" si="1"/>
        <v>0</v>
      </c>
      <c r="S422" s="243">
        <f t="shared" si="2"/>
        <v>0</v>
      </c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>
        <f t="shared" si="105"/>
        <v>0</v>
      </c>
    </row>
    <row r="423" ht="12.75" customHeight="1">
      <c r="A423" s="238" t="s">
        <v>863</v>
      </c>
      <c r="B423" s="8" t="s">
        <v>89</v>
      </c>
      <c r="C423" s="241" t="s">
        <v>860</v>
      </c>
      <c r="D423" s="241" t="s">
        <v>312</v>
      </c>
      <c r="E423" s="8" t="s">
        <v>115</v>
      </c>
      <c r="F423" s="259">
        <v>0.0</v>
      </c>
      <c r="G423" s="74">
        <v>0.0</v>
      </c>
      <c r="H423" s="74">
        <v>0.0</v>
      </c>
      <c r="I423" s="74">
        <v>0.0</v>
      </c>
      <c r="J423" s="74">
        <v>0.0</v>
      </c>
      <c r="K423" s="74">
        <v>0.0</v>
      </c>
      <c r="L423" s="74">
        <v>0.0</v>
      </c>
      <c r="M423" s="74">
        <v>0.0</v>
      </c>
      <c r="N423" s="74">
        <v>0.0</v>
      </c>
      <c r="O423" s="74">
        <v>0.0</v>
      </c>
      <c r="P423" s="74">
        <v>0.0</v>
      </c>
      <c r="Q423" s="74">
        <v>0.0</v>
      </c>
      <c r="R423" s="35">
        <f t="shared" si="1"/>
        <v>0</v>
      </c>
      <c r="S423" s="243">
        <f t="shared" si="2"/>
        <v>0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>
        <f t="shared" si="105"/>
        <v>0</v>
      </c>
    </row>
    <row r="424" ht="12.75" customHeight="1">
      <c r="A424" s="238" t="s">
        <v>864</v>
      </c>
      <c r="B424" s="8" t="s">
        <v>343</v>
      </c>
      <c r="C424" s="241" t="s">
        <v>860</v>
      </c>
      <c r="D424" s="241" t="s">
        <v>333</v>
      </c>
      <c r="E424" s="8" t="s">
        <v>115</v>
      </c>
      <c r="F424" s="246">
        <v>5416.666666666667</v>
      </c>
      <c r="G424" s="35">
        <v>5416.666666666667</v>
      </c>
      <c r="H424" s="35">
        <v>5416.666666666667</v>
      </c>
      <c r="I424" s="35">
        <v>5416.666666666667</v>
      </c>
      <c r="J424" s="35">
        <v>5416.666666666667</v>
      </c>
      <c r="K424" s="35">
        <v>5416.666666666667</v>
      </c>
      <c r="L424" s="35">
        <v>5416.666666666667</v>
      </c>
      <c r="M424" s="35">
        <v>5416.666666666667</v>
      </c>
      <c r="N424" s="35">
        <v>5416.666666666667</v>
      </c>
      <c r="O424" s="35">
        <v>5416.666666666667</v>
      </c>
      <c r="P424" s="35">
        <v>5416.666666666667</v>
      </c>
      <c r="Q424" s="35">
        <v>5416.666666666667</v>
      </c>
      <c r="R424" s="35">
        <f t="shared" si="1"/>
        <v>65000</v>
      </c>
      <c r="S424" s="243">
        <f t="shared" si="2"/>
        <v>16250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</row>
    <row r="425" ht="12.75" customHeight="1">
      <c r="A425" s="238" t="s">
        <v>865</v>
      </c>
      <c r="B425" s="8" t="s">
        <v>345</v>
      </c>
      <c r="C425" s="241" t="s">
        <v>860</v>
      </c>
      <c r="D425" s="241" t="s">
        <v>333</v>
      </c>
      <c r="E425" s="8" t="s">
        <v>115</v>
      </c>
      <c r="F425" s="246">
        <v>1137.15</v>
      </c>
      <c r="G425" s="35">
        <v>1137.15</v>
      </c>
      <c r="H425" s="35">
        <v>1137.15</v>
      </c>
      <c r="I425" s="35">
        <v>1137.15</v>
      </c>
      <c r="J425" s="35">
        <v>1137.15</v>
      </c>
      <c r="K425" s="35">
        <v>1137.15</v>
      </c>
      <c r="L425" s="35">
        <v>1137.15</v>
      </c>
      <c r="M425" s="35">
        <v>1137.15</v>
      </c>
      <c r="N425" s="35">
        <v>1137.15</v>
      </c>
      <c r="O425" s="35">
        <v>1137.15</v>
      </c>
      <c r="P425" s="35">
        <v>1137.15</v>
      </c>
      <c r="Q425" s="35">
        <v>1137.15</v>
      </c>
      <c r="R425" s="35">
        <f t="shared" si="1"/>
        <v>13645.8</v>
      </c>
      <c r="S425" s="243">
        <f t="shared" si="2"/>
        <v>3411.45</v>
      </c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</row>
    <row r="426" ht="12.75" customHeight="1">
      <c r="A426" s="238" t="s">
        <v>866</v>
      </c>
      <c r="B426" s="8" t="s">
        <v>349</v>
      </c>
      <c r="C426" s="241" t="s">
        <v>860</v>
      </c>
      <c r="D426" s="241" t="s">
        <v>333</v>
      </c>
      <c r="E426" s="8" t="s">
        <v>115</v>
      </c>
      <c r="F426" s="246">
        <v>1833.3333333333333</v>
      </c>
      <c r="G426" s="35">
        <v>1833.3333333333333</v>
      </c>
      <c r="H426" s="35">
        <v>1833.3333333333333</v>
      </c>
      <c r="I426" s="35">
        <v>1833.3333333333333</v>
      </c>
      <c r="J426" s="35">
        <v>1833.3333333333333</v>
      </c>
      <c r="K426" s="35">
        <v>1833.3333333333333</v>
      </c>
      <c r="L426" s="35">
        <v>1833.3333333333333</v>
      </c>
      <c r="M426" s="35">
        <v>1833.3333333333333</v>
      </c>
      <c r="N426" s="35">
        <v>1833.3333333333333</v>
      </c>
      <c r="O426" s="35">
        <v>1833.3333333333333</v>
      </c>
      <c r="P426" s="35">
        <v>1833.3333333333333</v>
      </c>
      <c r="Q426" s="35">
        <v>1833.3333333333333</v>
      </c>
      <c r="R426" s="35">
        <f t="shared" si="1"/>
        <v>22000</v>
      </c>
      <c r="S426" s="243">
        <f t="shared" si="2"/>
        <v>5500</v>
      </c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</row>
    <row r="427" ht="12.75" customHeight="1">
      <c r="A427" s="238" t="s">
        <v>867</v>
      </c>
      <c r="B427" s="8" t="s">
        <v>108</v>
      </c>
      <c r="C427" s="241" t="s">
        <v>868</v>
      </c>
      <c r="D427" s="241" t="s">
        <v>312</v>
      </c>
      <c r="E427" s="8" t="s">
        <v>159</v>
      </c>
      <c r="F427" s="259">
        <v>0.0</v>
      </c>
      <c r="G427" s="74">
        <v>0.0</v>
      </c>
      <c r="H427" s="74">
        <v>0.0</v>
      </c>
      <c r="I427" s="74">
        <v>0.0</v>
      </c>
      <c r="J427" s="74">
        <v>0.0</v>
      </c>
      <c r="K427" s="74">
        <v>0.0</v>
      </c>
      <c r="L427" s="74">
        <v>0.0</v>
      </c>
      <c r="M427" s="74">
        <v>0.0</v>
      </c>
      <c r="N427" s="74">
        <v>0.0</v>
      </c>
      <c r="O427" s="74">
        <v>0.0</v>
      </c>
      <c r="P427" s="74">
        <v>0.0</v>
      </c>
      <c r="Q427" s="74">
        <v>0.0</v>
      </c>
      <c r="R427" s="35">
        <f t="shared" si="1"/>
        <v>0</v>
      </c>
      <c r="S427" s="243">
        <f t="shared" si="2"/>
        <v>0</v>
      </c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</row>
    <row r="428" ht="12.75" customHeight="1">
      <c r="A428" s="238" t="s">
        <v>869</v>
      </c>
      <c r="B428" s="8" t="s">
        <v>89</v>
      </c>
      <c r="C428" s="241" t="s">
        <v>868</v>
      </c>
      <c r="D428" s="241" t="s">
        <v>312</v>
      </c>
      <c r="E428" s="8" t="s">
        <v>159</v>
      </c>
      <c r="F428" s="151">
        <v>1279.75</v>
      </c>
      <c r="G428" s="74">
        <v>1279.75</v>
      </c>
      <c r="H428" s="74">
        <v>1279.75</v>
      </c>
      <c r="I428" s="74">
        <v>1279.75</v>
      </c>
      <c r="J428" s="74">
        <v>1279.75</v>
      </c>
      <c r="K428" s="74">
        <v>1279.75</v>
      </c>
      <c r="L428" s="74">
        <v>1279.75</v>
      </c>
      <c r="M428" s="74">
        <v>1279.75</v>
      </c>
      <c r="N428" s="74">
        <v>1279.75</v>
      </c>
      <c r="O428" s="74">
        <v>1279.75</v>
      </c>
      <c r="P428" s="74">
        <v>1279.75</v>
      </c>
      <c r="Q428" s="74">
        <v>1279.75</v>
      </c>
      <c r="R428" s="35">
        <f t="shared" si="1"/>
        <v>15357</v>
      </c>
      <c r="S428" s="243">
        <f t="shared" si="2"/>
        <v>3839.25</v>
      </c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>
        <f>SUM(AQ428:BB428)</f>
        <v>0</v>
      </c>
    </row>
    <row r="429" ht="12.75" customHeight="1">
      <c r="A429" s="8" t="s">
        <v>583</v>
      </c>
      <c r="B429" s="8" t="s">
        <v>332</v>
      </c>
      <c r="C429" s="241" t="s">
        <v>870</v>
      </c>
      <c r="D429" s="241" t="s">
        <v>333</v>
      </c>
      <c r="E429" s="8" t="s">
        <v>160</v>
      </c>
      <c r="F429" s="246">
        <v>0.0</v>
      </c>
      <c r="G429" s="35">
        <v>0.0</v>
      </c>
      <c r="H429" s="35">
        <v>0.0</v>
      </c>
      <c r="I429" s="35">
        <v>0.0</v>
      </c>
      <c r="J429" s="35">
        <v>0.0</v>
      </c>
      <c r="K429" s="35">
        <v>0.0</v>
      </c>
      <c r="L429" s="35">
        <v>0.0</v>
      </c>
      <c r="M429" s="35">
        <v>0.0</v>
      </c>
      <c r="N429" s="35">
        <v>0.0</v>
      </c>
      <c r="O429" s="35">
        <v>0.0</v>
      </c>
      <c r="P429" s="35">
        <v>0.0</v>
      </c>
      <c r="Q429" s="35">
        <v>0.0</v>
      </c>
      <c r="R429" s="35">
        <f t="shared" si="1"/>
        <v>0</v>
      </c>
      <c r="S429" s="243">
        <f t="shared" si="2"/>
        <v>0</v>
      </c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</row>
    <row r="430" ht="12.75" customHeight="1">
      <c r="A430" s="8" t="s">
        <v>871</v>
      </c>
      <c r="B430" s="8" t="s">
        <v>339</v>
      </c>
      <c r="C430" s="241" t="s">
        <v>870</v>
      </c>
      <c r="D430" s="241" t="s">
        <v>333</v>
      </c>
      <c r="E430" s="8" t="s">
        <v>160</v>
      </c>
      <c r="F430" s="246">
        <v>0.0</v>
      </c>
      <c r="G430" s="35">
        <v>0.0</v>
      </c>
      <c r="H430" s="35">
        <v>0.0</v>
      </c>
      <c r="I430" s="35">
        <v>0.0</v>
      </c>
      <c r="J430" s="35">
        <v>0.0</v>
      </c>
      <c r="K430" s="35">
        <v>0.0</v>
      </c>
      <c r="L430" s="35">
        <v>0.0</v>
      </c>
      <c r="M430" s="35">
        <v>0.0</v>
      </c>
      <c r="N430" s="35">
        <v>0.0</v>
      </c>
      <c r="O430" s="35">
        <v>0.0</v>
      </c>
      <c r="P430" s="35">
        <v>0.0</v>
      </c>
      <c r="Q430" s="35">
        <v>0.0</v>
      </c>
      <c r="R430" s="35">
        <f t="shared" si="1"/>
        <v>0</v>
      </c>
      <c r="S430" s="243">
        <f t="shared" si="2"/>
        <v>0</v>
      </c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</row>
    <row r="431" ht="12.75" customHeight="1">
      <c r="A431" s="8" t="s">
        <v>872</v>
      </c>
      <c r="B431" s="8" t="s">
        <v>108</v>
      </c>
      <c r="C431" s="241" t="s">
        <v>870</v>
      </c>
      <c r="D431" s="241" t="s">
        <v>312</v>
      </c>
      <c r="E431" s="8" t="s">
        <v>160</v>
      </c>
      <c r="F431" s="259">
        <v>0.0</v>
      </c>
      <c r="G431" s="74">
        <v>0.0</v>
      </c>
      <c r="H431" s="74">
        <v>0.0</v>
      </c>
      <c r="I431" s="74">
        <v>0.0</v>
      </c>
      <c r="J431" s="74">
        <v>0.0</v>
      </c>
      <c r="K431" s="74">
        <v>0.0</v>
      </c>
      <c r="L431" s="74">
        <v>0.0</v>
      </c>
      <c r="M431" s="74">
        <v>0.0</v>
      </c>
      <c r="N431" s="74">
        <v>0.0</v>
      </c>
      <c r="O431" s="74">
        <v>0.0</v>
      </c>
      <c r="P431" s="74">
        <v>0.0</v>
      </c>
      <c r="Q431" s="74">
        <v>0.0</v>
      </c>
      <c r="R431" s="35">
        <f t="shared" si="1"/>
        <v>0</v>
      </c>
      <c r="S431" s="243">
        <f t="shared" si="2"/>
        <v>0</v>
      </c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>
        <f t="shared" ref="BC431:BC438" si="106">SUM(AQ431:BB431)</f>
        <v>0</v>
      </c>
    </row>
    <row r="432" ht="12.75" customHeight="1">
      <c r="A432" s="8" t="s">
        <v>873</v>
      </c>
      <c r="B432" s="8" t="s">
        <v>89</v>
      </c>
      <c r="C432" s="241" t="s">
        <v>870</v>
      </c>
      <c r="D432" s="241" t="s">
        <v>312</v>
      </c>
      <c r="E432" s="8" t="s">
        <v>160</v>
      </c>
      <c r="F432" s="259">
        <v>0.0</v>
      </c>
      <c r="G432" s="74">
        <v>0.0</v>
      </c>
      <c r="H432" s="74">
        <v>0.0</v>
      </c>
      <c r="I432" s="74">
        <v>0.0</v>
      </c>
      <c r="J432" s="74">
        <v>0.0</v>
      </c>
      <c r="K432" s="74">
        <v>0.0</v>
      </c>
      <c r="L432" s="74">
        <v>0.0</v>
      </c>
      <c r="M432" s="74">
        <v>0.0</v>
      </c>
      <c r="N432" s="74">
        <v>0.0</v>
      </c>
      <c r="O432" s="74">
        <v>0.0</v>
      </c>
      <c r="P432" s="74">
        <v>0.0</v>
      </c>
      <c r="Q432" s="74">
        <v>0.0</v>
      </c>
      <c r="R432" s="35">
        <f t="shared" si="1"/>
        <v>0</v>
      </c>
      <c r="S432" s="243">
        <f t="shared" si="2"/>
        <v>0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>
        <f t="shared" si="106"/>
        <v>0</v>
      </c>
    </row>
    <row r="433" ht="12.75" customHeight="1">
      <c r="A433" s="8" t="s">
        <v>874</v>
      </c>
      <c r="B433" s="8" t="s">
        <v>343</v>
      </c>
      <c r="C433" s="241" t="s">
        <v>870</v>
      </c>
      <c r="D433" s="241" t="s">
        <v>333</v>
      </c>
      <c r="E433" s="8" t="s">
        <v>160</v>
      </c>
      <c r="F433" s="246">
        <v>0.0</v>
      </c>
      <c r="G433" s="35">
        <v>0.0</v>
      </c>
      <c r="H433" s="35">
        <v>0.0</v>
      </c>
      <c r="I433" s="35">
        <v>0.0</v>
      </c>
      <c r="J433" s="35">
        <v>0.0</v>
      </c>
      <c r="K433" s="35">
        <v>0.0</v>
      </c>
      <c r="L433" s="35">
        <v>0.0</v>
      </c>
      <c r="M433" s="35">
        <v>0.0</v>
      </c>
      <c r="N433" s="35">
        <v>0.0</v>
      </c>
      <c r="O433" s="35">
        <v>0.0</v>
      </c>
      <c r="P433" s="35">
        <v>0.0</v>
      </c>
      <c r="Q433" s="35">
        <v>0.0</v>
      </c>
      <c r="R433" s="35">
        <f t="shared" si="1"/>
        <v>0</v>
      </c>
      <c r="S433" s="243">
        <f t="shared" si="2"/>
        <v>0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>
        <f t="shared" si="106"/>
        <v>0</v>
      </c>
    </row>
    <row r="434" ht="12.75" customHeight="1">
      <c r="A434" s="8" t="s">
        <v>875</v>
      </c>
      <c r="B434" s="8" t="s">
        <v>345</v>
      </c>
      <c r="C434" s="241" t="s">
        <v>870</v>
      </c>
      <c r="D434" s="241" t="s">
        <v>333</v>
      </c>
      <c r="E434" s="8" t="s">
        <v>160</v>
      </c>
      <c r="F434" s="246">
        <v>0.0</v>
      </c>
      <c r="G434" s="35">
        <v>0.0</v>
      </c>
      <c r="H434" s="35">
        <v>0.0</v>
      </c>
      <c r="I434" s="35">
        <v>0.0</v>
      </c>
      <c r="J434" s="35">
        <v>0.0</v>
      </c>
      <c r="K434" s="35">
        <v>0.0</v>
      </c>
      <c r="L434" s="35">
        <v>0.0</v>
      </c>
      <c r="M434" s="35">
        <v>0.0</v>
      </c>
      <c r="N434" s="35">
        <v>0.0</v>
      </c>
      <c r="O434" s="35">
        <v>0.0</v>
      </c>
      <c r="P434" s="35">
        <v>0.0</v>
      </c>
      <c r="Q434" s="35">
        <v>0.0</v>
      </c>
      <c r="R434" s="35">
        <f t="shared" si="1"/>
        <v>0</v>
      </c>
      <c r="S434" s="243">
        <f t="shared" si="2"/>
        <v>0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>
        <f t="shared" si="106"/>
        <v>0</v>
      </c>
    </row>
    <row r="435" ht="12.75" customHeight="1">
      <c r="A435" s="8" t="s">
        <v>876</v>
      </c>
      <c r="B435" s="8" t="s">
        <v>349</v>
      </c>
      <c r="C435" s="241" t="s">
        <v>870</v>
      </c>
      <c r="D435" s="241" t="s">
        <v>333</v>
      </c>
      <c r="E435" s="8" t="s">
        <v>160</v>
      </c>
      <c r="F435" s="246">
        <v>0.0</v>
      </c>
      <c r="G435" s="35">
        <v>0.0</v>
      </c>
      <c r="H435" s="35">
        <v>0.0</v>
      </c>
      <c r="I435" s="35">
        <v>0.0</v>
      </c>
      <c r="J435" s="35">
        <v>0.0</v>
      </c>
      <c r="K435" s="35">
        <v>0.0</v>
      </c>
      <c r="L435" s="35">
        <v>0.0</v>
      </c>
      <c r="M435" s="35">
        <v>0.0</v>
      </c>
      <c r="N435" s="35">
        <v>0.0</v>
      </c>
      <c r="O435" s="35">
        <v>0.0</v>
      </c>
      <c r="P435" s="35">
        <v>0.0</v>
      </c>
      <c r="Q435" s="35">
        <v>0.0</v>
      </c>
      <c r="R435" s="35">
        <f t="shared" si="1"/>
        <v>0</v>
      </c>
      <c r="S435" s="243">
        <f t="shared" si="2"/>
        <v>0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>
        <f t="shared" si="106"/>
        <v>0</v>
      </c>
    </row>
    <row r="436" ht="12.75" customHeight="1">
      <c r="A436" s="238" t="s">
        <v>877</v>
      </c>
      <c r="B436" s="8" t="s">
        <v>332</v>
      </c>
      <c r="C436" s="241" t="s">
        <v>878</v>
      </c>
      <c r="D436" s="241" t="s">
        <v>333</v>
      </c>
      <c r="E436" s="8" t="s">
        <v>173</v>
      </c>
      <c r="F436" s="246">
        <f t="shared" ref="F436:Q436" si="107">52400/12</f>
        <v>4366.666667</v>
      </c>
      <c r="G436" s="35">
        <f t="shared" si="107"/>
        <v>4366.666667</v>
      </c>
      <c r="H436" s="35">
        <f t="shared" si="107"/>
        <v>4366.666667</v>
      </c>
      <c r="I436" s="35">
        <f t="shared" si="107"/>
        <v>4366.666667</v>
      </c>
      <c r="J436" s="35">
        <f t="shared" si="107"/>
        <v>4366.666667</v>
      </c>
      <c r="K436" s="35">
        <f t="shared" si="107"/>
        <v>4366.666667</v>
      </c>
      <c r="L436" s="35">
        <f t="shared" si="107"/>
        <v>4366.666667</v>
      </c>
      <c r="M436" s="35">
        <f t="shared" si="107"/>
        <v>4366.666667</v>
      </c>
      <c r="N436" s="35">
        <f t="shared" si="107"/>
        <v>4366.666667</v>
      </c>
      <c r="O436" s="35">
        <f t="shared" si="107"/>
        <v>4366.666667</v>
      </c>
      <c r="P436" s="35">
        <f t="shared" si="107"/>
        <v>4366.666667</v>
      </c>
      <c r="Q436" s="35">
        <f t="shared" si="107"/>
        <v>4366.666667</v>
      </c>
      <c r="R436" s="35">
        <f t="shared" si="1"/>
        <v>52400</v>
      </c>
      <c r="S436" s="243">
        <f t="shared" si="2"/>
        <v>13100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>
        <f t="shared" si="106"/>
        <v>0</v>
      </c>
    </row>
    <row r="437" ht="12.75" customHeight="1">
      <c r="A437" s="238" t="s">
        <v>879</v>
      </c>
      <c r="B437" s="8" t="s">
        <v>108</v>
      </c>
      <c r="C437" s="241" t="s">
        <v>878</v>
      </c>
      <c r="D437" s="241" t="s">
        <v>312</v>
      </c>
      <c r="E437" s="8" t="s">
        <v>173</v>
      </c>
      <c r="F437" s="259">
        <v>0.0</v>
      </c>
      <c r="G437" s="74">
        <v>0.0</v>
      </c>
      <c r="H437" s="74">
        <v>0.0</v>
      </c>
      <c r="I437" s="74">
        <v>0.0</v>
      </c>
      <c r="J437" s="74">
        <v>0.0</v>
      </c>
      <c r="K437" s="74">
        <v>0.0</v>
      </c>
      <c r="L437" s="74">
        <v>0.0</v>
      </c>
      <c r="M437" s="74">
        <v>0.0</v>
      </c>
      <c r="N437" s="74">
        <v>0.0</v>
      </c>
      <c r="O437" s="74">
        <v>0.0</v>
      </c>
      <c r="P437" s="74">
        <v>0.0</v>
      </c>
      <c r="Q437" s="74">
        <v>0.0</v>
      </c>
      <c r="R437" s="35">
        <f t="shared" si="1"/>
        <v>0</v>
      </c>
      <c r="S437" s="243">
        <f t="shared" si="2"/>
        <v>0</v>
      </c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>
        <f t="shared" si="106"/>
        <v>0</v>
      </c>
    </row>
    <row r="438" ht="12.75" customHeight="1">
      <c r="A438" s="238" t="s">
        <v>880</v>
      </c>
      <c r="B438" s="8" t="s">
        <v>89</v>
      </c>
      <c r="C438" s="241" t="s">
        <v>878</v>
      </c>
      <c r="D438" s="241" t="s">
        <v>312</v>
      </c>
      <c r="E438" s="8" t="s">
        <v>173</v>
      </c>
      <c r="F438" s="259">
        <v>0.0</v>
      </c>
      <c r="G438" s="74">
        <v>0.0</v>
      </c>
      <c r="H438" s="74">
        <v>0.0</v>
      </c>
      <c r="I438" s="74">
        <v>0.0</v>
      </c>
      <c r="J438" s="74">
        <v>0.0</v>
      </c>
      <c r="K438" s="74">
        <v>0.0</v>
      </c>
      <c r="L438" s="74">
        <v>0.0</v>
      </c>
      <c r="M438" s="74">
        <v>0.0</v>
      </c>
      <c r="N438" s="74">
        <v>0.0</v>
      </c>
      <c r="O438" s="74">
        <v>0.0</v>
      </c>
      <c r="P438" s="74">
        <v>0.0</v>
      </c>
      <c r="Q438" s="74">
        <v>0.0</v>
      </c>
      <c r="R438" s="35">
        <f t="shared" si="1"/>
        <v>0</v>
      </c>
      <c r="S438" s="243">
        <f t="shared" si="2"/>
        <v>0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>
        <f t="shared" si="106"/>
        <v>0</v>
      </c>
    </row>
    <row r="439" ht="12.75" customHeight="1">
      <c r="A439" s="238" t="s">
        <v>881</v>
      </c>
      <c r="B439" s="8" t="s">
        <v>176</v>
      </c>
      <c r="C439" s="241" t="s">
        <v>878</v>
      </c>
      <c r="D439" s="241" t="s">
        <v>312</v>
      </c>
      <c r="E439" s="8" t="s">
        <v>173</v>
      </c>
      <c r="F439" s="259">
        <v>0.0</v>
      </c>
      <c r="G439" s="74">
        <v>0.0</v>
      </c>
      <c r="H439" s="74">
        <v>0.0</v>
      </c>
      <c r="I439" s="74">
        <v>0.0</v>
      </c>
      <c r="J439" s="74">
        <v>0.0</v>
      </c>
      <c r="K439" s="74">
        <v>0.0</v>
      </c>
      <c r="L439" s="74">
        <v>0.0</v>
      </c>
      <c r="M439" s="74">
        <v>0.0</v>
      </c>
      <c r="N439" s="74">
        <v>0.0</v>
      </c>
      <c r="O439" s="74">
        <v>0.0</v>
      </c>
      <c r="P439" s="74">
        <v>0.0</v>
      </c>
      <c r="Q439" s="74">
        <v>0.0</v>
      </c>
      <c r="R439" s="35">
        <f t="shared" si="1"/>
        <v>0</v>
      </c>
      <c r="S439" s="243">
        <f t="shared" si="2"/>
        <v>0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ht="12.75" customHeight="1">
      <c r="A440" s="238" t="s">
        <v>877</v>
      </c>
      <c r="B440" s="8" t="s">
        <v>332</v>
      </c>
      <c r="C440" s="241" t="s">
        <v>878</v>
      </c>
      <c r="D440" s="241" t="s">
        <v>333</v>
      </c>
      <c r="E440" s="8" t="s">
        <v>173</v>
      </c>
      <c r="F440" s="246">
        <v>0.0</v>
      </c>
      <c r="G440" s="35">
        <v>0.0</v>
      </c>
      <c r="H440" s="35">
        <v>0.0</v>
      </c>
      <c r="I440" s="242">
        <v>0.0</v>
      </c>
      <c r="J440" s="35">
        <v>0.0</v>
      </c>
      <c r="K440" s="35">
        <v>0.0</v>
      </c>
      <c r="L440" s="35">
        <v>0.0</v>
      </c>
      <c r="M440" s="35">
        <v>0.0</v>
      </c>
      <c r="N440" s="35">
        <v>0.0</v>
      </c>
      <c r="O440" s="35">
        <v>0.0</v>
      </c>
      <c r="P440" s="35">
        <v>0.0</v>
      </c>
      <c r="Q440" s="35">
        <v>0.0</v>
      </c>
      <c r="R440" s="242">
        <f t="shared" si="1"/>
        <v>0</v>
      </c>
      <c r="S440" s="243">
        <f t="shared" si="2"/>
        <v>0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ht="12.75" customHeight="1">
      <c r="A441" s="238" t="s">
        <v>882</v>
      </c>
      <c r="B441" s="8" t="s">
        <v>332</v>
      </c>
      <c r="C441" s="241" t="s">
        <v>883</v>
      </c>
      <c r="D441" s="241" t="s">
        <v>333</v>
      </c>
      <c r="E441" s="8" t="s">
        <v>34</v>
      </c>
      <c r="F441" s="246">
        <v>22318.75</v>
      </c>
      <c r="G441" s="35">
        <v>22318.75</v>
      </c>
      <c r="H441" s="35">
        <v>22318.75</v>
      </c>
      <c r="I441" s="249">
        <v>22318.75</v>
      </c>
      <c r="J441" s="35">
        <v>22318.75</v>
      </c>
      <c r="K441" s="35">
        <v>22318.75</v>
      </c>
      <c r="L441" s="35">
        <v>22318.75</v>
      </c>
      <c r="M441" s="35">
        <v>22318.75</v>
      </c>
      <c r="N441" s="35">
        <v>22318.75</v>
      </c>
      <c r="O441" s="35">
        <v>22318.75</v>
      </c>
      <c r="P441" s="35">
        <v>22318.75</v>
      </c>
      <c r="Q441" s="35">
        <v>22318.75</v>
      </c>
      <c r="R441" s="242">
        <f t="shared" si="1"/>
        <v>267825</v>
      </c>
      <c r="S441" s="243">
        <f t="shared" si="2"/>
        <v>66956.25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ht="12.75" customHeight="1">
      <c r="A442" s="238" t="s">
        <v>884</v>
      </c>
      <c r="B442" s="8" t="s">
        <v>108</v>
      </c>
      <c r="C442" s="241" t="s">
        <v>883</v>
      </c>
      <c r="D442" s="241" t="s">
        <v>312</v>
      </c>
      <c r="E442" s="8" t="s">
        <v>34</v>
      </c>
      <c r="F442" s="259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242">
        <f t="shared" si="1"/>
        <v>0</v>
      </c>
      <c r="S442" s="243">
        <f t="shared" si="2"/>
        <v>0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ht="12.75" customHeight="1">
      <c r="A443" s="238" t="s">
        <v>885</v>
      </c>
      <c r="B443" s="8" t="s">
        <v>89</v>
      </c>
      <c r="C443" s="241" t="s">
        <v>883</v>
      </c>
      <c r="D443" s="241" t="s">
        <v>312</v>
      </c>
      <c r="E443" s="8" t="s">
        <v>34</v>
      </c>
      <c r="F443" s="151">
        <f t="shared" ref="F443:Q443" si="108">385477/12</f>
        <v>32123.08333</v>
      </c>
      <c r="G443" s="74">
        <f t="shared" si="108"/>
        <v>32123.08333</v>
      </c>
      <c r="H443" s="74">
        <f t="shared" si="108"/>
        <v>32123.08333</v>
      </c>
      <c r="I443" s="74">
        <f t="shared" si="108"/>
        <v>32123.08333</v>
      </c>
      <c r="J443" s="74">
        <f t="shared" si="108"/>
        <v>32123.08333</v>
      </c>
      <c r="K443" s="74">
        <f t="shared" si="108"/>
        <v>32123.08333</v>
      </c>
      <c r="L443" s="74">
        <f t="shared" si="108"/>
        <v>32123.08333</v>
      </c>
      <c r="M443" s="74">
        <f t="shared" si="108"/>
        <v>32123.08333</v>
      </c>
      <c r="N443" s="74">
        <f t="shared" si="108"/>
        <v>32123.08333</v>
      </c>
      <c r="O443" s="74">
        <f t="shared" si="108"/>
        <v>32123.08333</v>
      </c>
      <c r="P443" s="74">
        <f t="shared" si="108"/>
        <v>32123.08333</v>
      </c>
      <c r="Q443" s="74">
        <f t="shared" si="108"/>
        <v>32123.08333</v>
      </c>
      <c r="R443" s="242">
        <f t="shared" si="1"/>
        <v>385477</v>
      </c>
      <c r="S443" s="243">
        <f t="shared" si="2"/>
        <v>96369.25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ht="12.75" customHeight="1">
      <c r="A444" s="238" t="s">
        <v>886</v>
      </c>
      <c r="B444" s="8" t="s">
        <v>176</v>
      </c>
      <c r="C444" s="241" t="s">
        <v>883</v>
      </c>
      <c r="D444" s="241" t="s">
        <v>312</v>
      </c>
      <c r="E444" s="8" t="s">
        <v>34</v>
      </c>
      <c r="F444" s="259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242">
        <f t="shared" si="1"/>
        <v>0</v>
      </c>
      <c r="S444" s="243">
        <f t="shared" si="2"/>
        <v>0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ht="12.75" customHeight="1">
      <c r="A445" s="238" t="s">
        <v>882</v>
      </c>
      <c r="B445" s="8" t="s">
        <v>332</v>
      </c>
      <c r="C445" s="241" t="s">
        <v>883</v>
      </c>
      <c r="D445" s="241" t="s">
        <v>333</v>
      </c>
      <c r="E445" s="8" t="s">
        <v>34</v>
      </c>
      <c r="F445" s="246">
        <v>0.0</v>
      </c>
      <c r="G445" s="35">
        <v>0.0</v>
      </c>
      <c r="H445" s="35">
        <v>0.0</v>
      </c>
      <c r="I445" s="242">
        <v>0.0</v>
      </c>
      <c r="J445" s="35">
        <v>0.0</v>
      </c>
      <c r="K445" s="35">
        <v>0.0</v>
      </c>
      <c r="L445" s="35">
        <v>0.0</v>
      </c>
      <c r="M445" s="35">
        <v>0.0</v>
      </c>
      <c r="N445" s="35">
        <v>0.0</v>
      </c>
      <c r="O445" s="35">
        <v>0.0</v>
      </c>
      <c r="P445" s="35">
        <v>0.0</v>
      </c>
      <c r="Q445" s="35">
        <v>0.0</v>
      </c>
      <c r="R445" s="242">
        <f t="shared" si="1"/>
        <v>0</v>
      </c>
      <c r="S445" s="243">
        <f t="shared" si="2"/>
        <v>0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ht="12.75" customHeight="1">
      <c r="A446" s="238" t="s">
        <v>887</v>
      </c>
      <c r="B446" s="8" t="s">
        <v>332</v>
      </c>
      <c r="C446" s="241" t="s">
        <v>888</v>
      </c>
      <c r="D446" s="241" t="s">
        <v>333</v>
      </c>
      <c r="E446" s="8" t="s">
        <v>37</v>
      </c>
      <c r="F446" s="259">
        <v>0.0</v>
      </c>
      <c r="G446" s="74">
        <v>0.0</v>
      </c>
      <c r="H446" s="74">
        <v>0.0</v>
      </c>
      <c r="I446" s="74">
        <v>0.0</v>
      </c>
      <c r="J446" s="74">
        <v>0.0</v>
      </c>
      <c r="K446" s="74">
        <v>0.0</v>
      </c>
      <c r="L446" s="74">
        <v>0.0</v>
      </c>
      <c r="M446" s="74">
        <v>0.0</v>
      </c>
      <c r="N446" s="74">
        <v>0.0</v>
      </c>
      <c r="O446" s="74">
        <v>0.0</v>
      </c>
      <c r="P446" s="74">
        <v>0.0</v>
      </c>
      <c r="Q446" s="74">
        <v>0.0</v>
      </c>
      <c r="R446" s="35">
        <f t="shared" si="1"/>
        <v>0</v>
      </c>
      <c r="S446" s="243">
        <f t="shared" si="2"/>
        <v>0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ht="12.75" customHeight="1">
      <c r="A447" s="238" t="s">
        <v>889</v>
      </c>
      <c r="B447" s="8" t="s">
        <v>108</v>
      </c>
      <c r="C447" s="241" t="s">
        <v>888</v>
      </c>
      <c r="D447" s="241" t="s">
        <v>312</v>
      </c>
      <c r="E447" s="8" t="s">
        <v>37</v>
      </c>
      <c r="F447" s="259">
        <v>0.0</v>
      </c>
      <c r="G447" s="74">
        <v>0.0</v>
      </c>
      <c r="H447" s="74">
        <v>0.0</v>
      </c>
      <c r="I447" s="74">
        <v>0.0</v>
      </c>
      <c r="J447" s="74">
        <v>0.0</v>
      </c>
      <c r="K447" s="74">
        <v>0.0</v>
      </c>
      <c r="L447" s="74">
        <v>0.0</v>
      </c>
      <c r="M447" s="74">
        <v>0.0</v>
      </c>
      <c r="N447" s="74">
        <v>0.0</v>
      </c>
      <c r="O447" s="74">
        <v>0.0</v>
      </c>
      <c r="P447" s="74">
        <v>0.0</v>
      </c>
      <c r="Q447" s="74">
        <v>0.0</v>
      </c>
      <c r="R447" s="35">
        <f t="shared" si="1"/>
        <v>0</v>
      </c>
      <c r="S447" s="243">
        <f t="shared" si="2"/>
        <v>0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ht="12.75" customHeight="1">
      <c r="A448" s="238" t="s">
        <v>890</v>
      </c>
      <c r="B448" s="8" t="s">
        <v>89</v>
      </c>
      <c r="C448" s="241" t="s">
        <v>888</v>
      </c>
      <c r="D448" s="241" t="s">
        <v>312</v>
      </c>
      <c r="E448" s="8" t="s">
        <v>37</v>
      </c>
      <c r="F448" s="151">
        <v>250.0</v>
      </c>
      <c r="G448" s="74">
        <v>250.0</v>
      </c>
      <c r="H448" s="74">
        <v>250.0</v>
      </c>
      <c r="I448" s="74">
        <v>250.0</v>
      </c>
      <c r="J448" s="74">
        <v>250.0</v>
      </c>
      <c r="K448" s="74">
        <v>250.0</v>
      </c>
      <c r="L448" s="74">
        <v>250.0</v>
      </c>
      <c r="M448" s="74">
        <v>250.0</v>
      </c>
      <c r="N448" s="74">
        <v>250.0</v>
      </c>
      <c r="O448" s="74">
        <v>250.0</v>
      </c>
      <c r="P448" s="74">
        <v>250.0</v>
      </c>
      <c r="Q448" s="74">
        <v>250.0</v>
      </c>
      <c r="R448" s="242">
        <f t="shared" si="1"/>
        <v>3000</v>
      </c>
      <c r="S448" s="243">
        <f t="shared" si="2"/>
        <v>750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ht="12.75" customHeight="1">
      <c r="A449" s="238" t="s">
        <v>891</v>
      </c>
      <c r="B449" s="8" t="s">
        <v>176</v>
      </c>
      <c r="C449" s="241" t="s">
        <v>888</v>
      </c>
      <c r="D449" s="241" t="s">
        <v>312</v>
      </c>
      <c r="E449" s="8" t="s">
        <v>37</v>
      </c>
      <c r="F449" s="259">
        <v>0.0</v>
      </c>
      <c r="G449" s="74">
        <v>0.0</v>
      </c>
      <c r="H449" s="74">
        <v>0.0</v>
      </c>
      <c r="I449" s="74">
        <v>0.0</v>
      </c>
      <c r="J449" s="74">
        <v>0.0</v>
      </c>
      <c r="K449" s="74">
        <v>0.0</v>
      </c>
      <c r="L449" s="74">
        <v>0.0</v>
      </c>
      <c r="M449" s="74">
        <v>0.0</v>
      </c>
      <c r="N449" s="74">
        <v>0.0</v>
      </c>
      <c r="O449" s="74">
        <v>0.0</v>
      </c>
      <c r="P449" s="74">
        <v>0.0</v>
      </c>
      <c r="Q449" s="74">
        <v>0.0</v>
      </c>
      <c r="R449" s="35">
        <f t="shared" si="1"/>
        <v>0</v>
      </c>
      <c r="S449" s="243">
        <f t="shared" si="2"/>
        <v>0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ht="12.75" customHeight="1">
      <c r="A450" s="238" t="s">
        <v>887</v>
      </c>
      <c r="B450" s="8" t="s">
        <v>332</v>
      </c>
      <c r="C450" s="241" t="s">
        <v>888</v>
      </c>
      <c r="D450" s="241" t="s">
        <v>333</v>
      </c>
      <c r="E450" s="8" t="s">
        <v>37</v>
      </c>
      <c r="F450" s="246">
        <v>0.0</v>
      </c>
      <c r="G450" s="35">
        <v>0.0</v>
      </c>
      <c r="H450" s="35">
        <v>0.0</v>
      </c>
      <c r="I450" s="242">
        <v>0.0</v>
      </c>
      <c r="J450" s="35">
        <v>0.0</v>
      </c>
      <c r="K450" s="35">
        <v>0.0</v>
      </c>
      <c r="L450" s="35">
        <v>0.0</v>
      </c>
      <c r="M450" s="35">
        <v>0.0</v>
      </c>
      <c r="N450" s="35">
        <v>0.0</v>
      </c>
      <c r="O450" s="35">
        <v>0.0</v>
      </c>
      <c r="P450" s="35">
        <v>0.0</v>
      </c>
      <c r="Q450" s="35">
        <v>0.0</v>
      </c>
      <c r="R450" s="242">
        <f t="shared" si="1"/>
        <v>0</v>
      </c>
      <c r="S450" s="243">
        <f t="shared" si="2"/>
        <v>0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ht="12.75" customHeight="1">
      <c r="A451" s="238" t="s">
        <v>892</v>
      </c>
      <c r="B451" s="239" t="s">
        <v>89</v>
      </c>
      <c r="C451" s="240" t="s">
        <v>192</v>
      </c>
      <c r="D451" s="241" t="s">
        <v>312</v>
      </c>
      <c r="E451" s="239" t="s">
        <v>38</v>
      </c>
      <c r="F451" s="246">
        <v>835304.5833333333</v>
      </c>
      <c r="G451" s="168">
        <v>795528.1746031746</v>
      </c>
      <c r="H451" s="168">
        <v>875080.9920634921</v>
      </c>
      <c r="I451" s="168">
        <v>715975.357142857</v>
      </c>
      <c r="J451" s="168">
        <v>914857.4007936508</v>
      </c>
      <c r="K451" s="168">
        <v>795528.1746031746</v>
      </c>
      <c r="L451" s="168">
        <v>875080.9920634921</v>
      </c>
      <c r="M451" s="168">
        <v>914857.4007936508</v>
      </c>
      <c r="N451" s="168">
        <v>795528.1746031746</v>
      </c>
      <c r="O451" s="168">
        <v>875080.9920634921</v>
      </c>
      <c r="P451" s="168">
        <v>875080.9920634921</v>
      </c>
      <c r="Q451" s="168">
        <v>755751.7658730159</v>
      </c>
      <c r="R451" s="35">
        <f t="shared" si="1"/>
        <v>10023655</v>
      </c>
      <c r="S451" s="243">
        <f t="shared" si="2"/>
        <v>2505913.75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ht="11.25" customHeight="1">
      <c r="A452" s="47"/>
      <c r="B452" s="47"/>
      <c r="C452" s="301"/>
      <c r="D452" s="301"/>
      <c r="E452" s="47"/>
      <c r="F452" s="178">
        <f t="shared" ref="F452:R452" si="109">SUM(F3:F451)</f>
        <v>442020.3845</v>
      </c>
      <c r="G452" s="178">
        <f t="shared" si="109"/>
        <v>432114.4761</v>
      </c>
      <c r="H452" s="178">
        <f t="shared" si="109"/>
        <v>417276.4371</v>
      </c>
      <c r="I452" s="178">
        <f t="shared" si="109"/>
        <v>484742.5538</v>
      </c>
      <c r="J452" s="178">
        <f t="shared" si="109"/>
        <v>448244.5008</v>
      </c>
      <c r="K452" s="178">
        <f t="shared" si="109"/>
        <v>508225.7914</v>
      </c>
      <c r="L452" s="178">
        <f t="shared" si="109"/>
        <v>471318.4529</v>
      </c>
      <c r="M452" s="178">
        <f t="shared" si="109"/>
        <v>479977.5018</v>
      </c>
      <c r="N452" s="178">
        <f t="shared" si="109"/>
        <v>526584.3334</v>
      </c>
      <c r="O452" s="178">
        <f t="shared" si="109"/>
        <v>519282.0337</v>
      </c>
      <c r="P452" s="178">
        <f t="shared" si="109"/>
        <v>446007.2292</v>
      </c>
      <c r="Q452" s="178">
        <f t="shared" si="109"/>
        <v>435075.8199</v>
      </c>
      <c r="R452" s="178">
        <f t="shared" si="109"/>
        <v>5610869.514</v>
      </c>
      <c r="S452" s="243">
        <f>SUM(F452:Q452)</f>
        <v>5610869.514</v>
      </c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</row>
    <row r="453" ht="12.75" customHeight="1">
      <c r="A453" s="2"/>
      <c r="B453" s="2"/>
      <c r="C453" s="236"/>
      <c r="D453" s="236"/>
      <c r="E453" s="2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ht="12.75" customHeight="1">
      <c r="A454" s="2"/>
      <c r="B454" s="2"/>
      <c r="C454" s="236"/>
      <c r="D454" s="2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ht="12.75" customHeight="1">
      <c r="A455" s="160" t="s">
        <v>332</v>
      </c>
      <c r="B455" s="160"/>
      <c r="C455" s="160"/>
      <c r="D455" s="160"/>
      <c r="E455" s="160"/>
      <c r="F455" s="302">
        <f t="shared" ref="F455:H455" si="110">SUMIF($B$3:$B$451,$B455,F$3:F$451)</f>
        <v>0</v>
      </c>
      <c r="G455" s="302">
        <f t="shared" si="110"/>
        <v>0</v>
      </c>
      <c r="H455" s="302">
        <f t="shared" si="110"/>
        <v>0</v>
      </c>
      <c r="I455" s="302">
        <f t="shared" ref="I455:S455" si="111">SUMIF($B$3:$B$451,$A455,I$3:I$451)</f>
        <v>164237.2747</v>
      </c>
      <c r="J455" s="302">
        <f t="shared" si="111"/>
        <v>257034.8066</v>
      </c>
      <c r="K455" s="302">
        <f t="shared" si="111"/>
        <v>244972.4322</v>
      </c>
      <c r="L455" s="302">
        <f t="shared" si="111"/>
        <v>257536.2987</v>
      </c>
      <c r="M455" s="302">
        <f t="shared" si="111"/>
        <v>249028.8587</v>
      </c>
      <c r="N455" s="302">
        <f t="shared" si="111"/>
        <v>246870.9453</v>
      </c>
      <c r="O455" s="302">
        <f t="shared" si="111"/>
        <v>256560.5365</v>
      </c>
      <c r="P455" s="302">
        <f t="shared" si="111"/>
        <v>248901.389</v>
      </c>
      <c r="Q455" s="302">
        <f t="shared" si="111"/>
        <v>221848.1621</v>
      </c>
      <c r="R455" s="302">
        <f t="shared" si="111"/>
        <v>2778703.964</v>
      </c>
      <c r="S455" s="302">
        <f t="shared" si="111"/>
        <v>631713.2606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ht="12.75" customHeight="1">
      <c r="A456" s="160" t="s">
        <v>339</v>
      </c>
      <c r="B456" s="160"/>
      <c r="C456" s="160"/>
      <c r="D456" s="160"/>
      <c r="E456" s="160"/>
      <c r="F456" s="302">
        <f t="shared" ref="F456:H456" si="112">SUMIF($B$3:$B$451,$B456,F$3:F$451)</f>
        <v>0</v>
      </c>
      <c r="G456" s="302">
        <f t="shared" si="112"/>
        <v>0</v>
      </c>
      <c r="H456" s="302">
        <f t="shared" si="112"/>
        <v>0</v>
      </c>
      <c r="I456" s="302">
        <f t="shared" ref="I456:S456" si="113">SUMIF($B$3:$B$451,$A456,I$3:I$451)</f>
        <v>31410.16667</v>
      </c>
      <c r="J456" s="302">
        <f t="shared" si="113"/>
        <v>31410.16667</v>
      </c>
      <c r="K456" s="302">
        <f t="shared" si="113"/>
        <v>31410.16667</v>
      </c>
      <c r="L456" s="302">
        <f t="shared" si="113"/>
        <v>31410.16667</v>
      </c>
      <c r="M456" s="302">
        <f t="shared" si="113"/>
        <v>31410.16667</v>
      </c>
      <c r="N456" s="302">
        <f t="shared" si="113"/>
        <v>31410.16667</v>
      </c>
      <c r="O456" s="302">
        <f t="shared" si="113"/>
        <v>31410.16667</v>
      </c>
      <c r="P456" s="302">
        <f t="shared" si="113"/>
        <v>31410.16667</v>
      </c>
      <c r="Q456" s="302">
        <f t="shared" si="113"/>
        <v>31410.16667</v>
      </c>
      <c r="R456" s="302">
        <f t="shared" si="113"/>
        <v>376922</v>
      </c>
      <c r="S456" s="302">
        <f t="shared" si="113"/>
        <v>94230.5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ht="12.75" customHeight="1">
      <c r="A457" s="303" t="s">
        <v>108</v>
      </c>
      <c r="B457" s="303"/>
      <c r="C457" s="303"/>
      <c r="D457" s="303"/>
      <c r="E457" s="303"/>
      <c r="F457" s="304">
        <f t="shared" ref="F457:H457" si="114">SUMIF($B$3:$B$451,$B457,F$3:F$451)</f>
        <v>0</v>
      </c>
      <c r="G457" s="304">
        <f t="shared" si="114"/>
        <v>0</v>
      </c>
      <c r="H457" s="304">
        <f t="shared" si="114"/>
        <v>0</v>
      </c>
      <c r="I457" s="304">
        <f t="shared" ref="I457:S457" si="115">SUMIF($B$3:$B$451,$A457,I$3:I$451)</f>
        <v>79829.58333</v>
      </c>
      <c r="J457" s="304">
        <f t="shared" si="115"/>
        <v>91158.58333</v>
      </c>
      <c r="K457" s="304">
        <f t="shared" si="115"/>
        <v>84597.58333</v>
      </c>
      <c r="L457" s="304">
        <f t="shared" si="115"/>
        <v>89033.58333</v>
      </c>
      <c r="M457" s="304">
        <f t="shared" si="115"/>
        <v>89468.58333</v>
      </c>
      <c r="N457" s="304">
        <f t="shared" si="115"/>
        <v>83896.58333</v>
      </c>
      <c r="O457" s="304">
        <f t="shared" si="115"/>
        <v>86950.58333</v>
      </c>
      <c r="P457" s="304">
        <f t="shared" si="115"/>
        <v>89742.58333</v>
      </c>
      <c r="Q457" s="304">
        <f t="shared" si="115"/>
        <v>85558.58333</v>
      </c>
      <c r="R457" s="304">
        <f t="shared" si="115"/>
        <v>1043059</v>
      </c>
      <c r="S457" s="304">
        <f t="shared" si="115"/>
        <v>262822.75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ht="12.75" customHeight="1">
      <c r="A458" s="303" t="s">
        <v>177</v>
      </c>
      <c r="B458" s="303"/>
      <c r="C458" s="303"/>
      <c r="D458" s="303"/>
      <c r="E458" s="303"/>
      <c r="F458" s="304">
        <f t="shared" ref="F458:H458" si="116">SUMIF($B$3:$B$451,$B458,F$3:F$451)</f>
        <v>0</v>
      </c>
      <c r="G458" s="304">
        <f t="shared" si="116"/>
        <v>0</v>
      </c>
      <c r="H458" s="304">
        <f t="shared" si="116"/>
        <v>0</v>
      </c>
      <c r="I458" s="304">
        <f t="shared" ref="I458:S458" si="117">SUMIF($B$3:$B$451,$A458,I$3:I$451)</f>
        <v>0</v>
      </c>
      <c r="J458" s="304">
        <f t="shared" si="117"/>
        <v>0</v>
      </c>
      <c r="K458" s="304">
        <f t="shared" si="117"/>
        <v>0</v>
      </c>
      <c r="L458" s="304">
        <f t="shared" si="117"/>
        <v>0</v>
      </c>
      <c r="M458" s="304">
        <f t="shared" si="117"/>
        <v>0</v>
      </c>
      <c r="N458" s="304">
        <f t="shared" si="117"/>
        <v>0</v>
      </c>
      <c r="O458" s="304">
        <f t="shared" si="117"/>
        <v>0</v>
      </c>
      <c r="P458" s="304">
        <f t="shared" si="117"/>
        <v>0</v>
      </c>
      <c r="Q458" s="304">
        <f t="shared" si="117"/>
        <v>0</v>
      </c>
      <c r="R458" s="304">
        <f t="shared" si="117"/>
        <v>0</v>
      </c>
      <c r="S458" s="304">
        <f t="shared" si="117"/>
        <v>0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ht="12.75" customHeight="1">
      <c r="A459" s="303" t="s">
        <v>89</v>
      </c>
      <c r="B459" s="303"/>
      <c r="C459" s="303"/>
      <c r="D459" s="303"/>
      <c r="E459" s="303"/>
      <c r="F459" s="304">
        <f t="shared" ref="F459:H459" si="118">SUMIF($B$3:$B$451,$B459,F$3:F$451)</f>
        <v>0</v>
      </c>
      <c r="G459" s="304">
        <f t="shared" si="118"/>
        <v>0</v>
      </c>
      <c r="H459" s="304">
        <f t="shared" si="118"/>
        <v>0</v>
      </c>
      <c r="I459" s="304">
        <f t="shared" ref="I459:S459" si="119">SUMIF($B$3:$B$451,$A459,I$3:I$451)</f>
        <v>-212156.871</v>
      </c>
      <c r="J459" s="304">
        <f t="shared" si="119"/>
        <v>-352781.4558</v>
      </c>
      <c r="K459" s="304">
        <f t="shared" si="119"/>
        <v>-274176.7909</v>
      </c>
      <c r="L459" s="304">
        <f t="shared" si="119"/>
        <v>-328083.9958</v>
      </c>
      <c r="M459" s="304">
        <f t="shared" si="119"/>
        <v>-311352.507</v>
      </c>
      <c r="N459" s="304">
        <f t="shared" si="119"/>
        <v>-257015.7619</v>
      </c>
      <c r="O459" s="304">
        <f t="shared" si="119"/>
        <v>-277061.6528</v>
      </c>
      <c r="P459" s="304">
        <f t="shared" si="119"/>
        <v>-345469.3098</v>
      </c>
      <c r="Q459" s="304">
        <f t="shared" si="119"/>
        <v>-325163.4922</v>
      </c>
      <c r="R459" s="304">
        <f t="shared" si="119"/>
        <v>-3644884.25</v>
      </c>
      <c r="S459" s="304">
        <f t="shared" si="119"/>
        <v>-961622.413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ht="12.75" customHeight="1">
      <c r="A460" s="303" t="s">
        <v>176</v>
      </c>
      <c r="B460" s="303"/>
      <c r="C460" s="303"/>
      <c r="D460" s="303"/>
      <c r="E460" s="303"/>
      <c r="F460" s="304">
        <f t="shared" ref="F460:H460" si="120">SUMIF($B$3:$B$451,$B460,F$3:F$451)</f>
        <v>0</v>
      </c>
      <c r="G460" s="304">
        <f t="shared" si="120"/>
        <v>0</v>
      </c>
      <c r="H460" s="304">
        <f t="shared" si="120"/>
        <v>0</v>
      </c>
      <c r="I460" s="304">
        <f t="shared" ref="I460:S460" si="121">SUMIF($B$3:$B$451,$A460,I$3:I$451)</f>
        <v>3120</v>
      </c>
      <c r="J460" s="304">
        <f t="shared" si="121"/>
        <v>3120</v>
      </c>
      <c r="K460" s="304">
        <f t="shared" si="121"/>
        <v>3120</v>
      </c>
      <c r="L460" s="304">
        <f t="shared" si="121"/>
        <v>3120</v>
      </c>
      <c r="M460" s="304">
        <f t="shared" si="121"/>
        <v>3120</v>
      </c>
      <c r="N460" s="304">
        <f t="shared" si="121"/>
        <v>3120</v>
      </c>
      <c r="O460" s="304">
        <f t="shared" si="121"/>
        <v>3120</v>
      </c>
      <c r="P460" s="304">
        <f t="shared" si="121"/>
        <v>3120</v>
      </c>
      <c r="Q460" s="304">
        <f t="shared" si="121"/>
        <v>3120</v>
      </c>
      <c r="R460" s="304">
        <f t="shared" si="121"/>
        <v>37440</v>
      </c>
      <c r="S460" s="304">
        <f t="shared" si="121"/>
        <v>9360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ht="12.75" customHeight="1">
      <c r="A461" s="160" t="s">
        <v>330</v>
      </c>
      <c r="B461" s="160"/>
      <c r="C461" s="160"/>
      <c r="D461" s="160"/>
      <c r="E461" s="160"/>
      <c r="F461" s="302">
        <f t="shared" ref="F461:H461" si="122">SUMIF($B$3:$B$451,$B461,F$3:F$451)</f>
        <v>0</v>
      </c>
      <c r="G461" s="302">
        <f t="shared" si="122"/>
        <v>0</v>
      </c>
      <c r="H461" s="302">
        <f t="shared" si="122"/>
        <v>0</v>
      </c>
      <c r="I461" s="302">
        <f t="shared" ref="I461:S461" si="123">SUMIF($B$3:$B$451,$A461,I$3:I$451)</f>
        <v>0</v>
      </c>
      <c r="J461" s="302">
        <f t="shared" si="123"/>
        <v>0</v>
      </c>
      <c r="K461" s="302">
        <f t="shared" si="123"/>
        <v>0</v>
      </c>
      <c r="L461" s="302">
        <f t="shared" si="123"/>
        <v>0</v>
      </c>
      <c r="M461" s="302">
        <f t="shared" si="123"/>
        <v>0</v>
      </c>
      <c r="N461" s="302">
        <f t="shared" si="123"/>
        <v>0</v>
      </c>
      <c r="O461" s="302">
        <f t="shared" si="123"/>
        <v>0</v>
      </c>
      <c r="P461" s="302">
        <f t="shared" si="123"/>
        <v>0</v>
      </c>
      <c r="Q461" s="302">
        <f t="shared" si="123"/>
        <v>0</v>
      </c>
      <c r="R461" s="302">
        <f t="shared" si="123"/>
        <v>0</v>
      </c>
      <c r="S461" s="302">
        <f t="shared" si="123"/>
        <v>0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ht="12.75" customHeight="1">
      <c r="A462" s="305" t="s">
        <v>893</v>
      </c>
      <c r="B462" s="305"/>
      <c r="C462" s="305"/>
      <c r="D462" s="305"/>
      <c r="E462" s="305"/>
      <c r="F462" s="306">
        <f t="shared" ref="F462:H462" si="124">SUMIF($B$3:$B$451,$B462,F$3:F$451)</f>
        <v>0</v>
      </c>
      <c r="G462" s="306">
        <f t="shared" si="124"/>
        <v>0</v>
      </c>
      <c r="H462" s="306">
        <f t="shared" si="124"/>
        <v>0</v>
      </c>
      <c r="I462" s="306">
        <f t="shared" ref="I462:S462" si="125">SUMIF($B$3:$B$451,$A462,I$3:I$451)</f>
        <v>0</v>
      </c>
      <c r="J462" s="306">
        <f t="shared" si="125"/>
        <v>0</v>
      </c>
      <c r="K462" s="306">
        <f t="shared" si="125"/>
        <v>0</v>
      </c>
      <c r="L462" s="306">
        <f t="shared" si="125"/>
        <v>0</v>
      </c>
      <c r="M462" s="306">
        <f t="shared" si="125"/>
        <v>0</v>
      </c>
      <c r="N462" s="306">
        <f t="shared" si="125"/>
        <v>0</v>
      </c>
      <c r="O462" s="306">
        <f t="shared" si="125"/>
        <v>0</v>
      </c>
      <c r="P462" s="306">
        <f t="shared" si="125"/>
        <v>0</v>
      </c>
      <c r="Q462" s="306">
        <f t="shared" si="125"/>
        <v>0</v>
      </c>
      <c r="R462" s="306">
        <f t="shared" si="125"/>
        <v>0</v>
      </c>
      <c r="S462" s="306">
        <f t="shared" si="125"/>
        <v>0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ht="12.75" customHeight="1">
      <c r="A463" s="305" t="s">
        <v>894</v>
      </c>
      <c r="B463" s="305"/>
      <c r="C463" s="305"/>
      <c r="D463" s="305"/>
      <c r="E463" s="305"/>
      <c r="F463" s="306">
        <f t="shared" ref="F463:H463" si="126">SUMIF($B$3:$B$451,$B463,F$3:F$451)</f>
        <v>0</v>
      </c>
      <c r="G463" s="306">
        <f t="shared" si="126"/>
        <v>0</v>
      </c>
      <c r="H463" s="306">
        <f t="shared" si="126"/>
        <v>0</v>
      </c>
      <c r="I463" s="306">
        <f t="shared" ref="I463:S463" si="127">SUMIF($B$3:$B$451,$A463,I$3:I$451)</f>
        <v>0</v>
      </c>
      <c r="J463" s="306">
        <f t="shared" si="127"/>
        <v>0</v>
      </c>
      <c r="K463" s="306">
        <f t="shared" si="127"/>
        <v>0</v>
      </c>
      <c r="L463" s="306">
        <f t="shared" si="127"/>
        <v>0</v>
      </c>
      <c r="M463" s="306">
        <f t="shared" si="127"/>
        <v>0</v>
      </c>
      <c r="N463" s="306">
        <f t="shared" si="127"/>
        <v>0</v>
      </c>
      <c r="O463" s="306">
        <f t="shared" si="127"/>
        <v>0</v>
      </c>
      <c r="P463" s="306">
        <f t="shared" si="127"/>
        <v>0</v>
      </c>
      <c r="Q463" s="306">
        <f t="shared" si="127"/>
        <v>0</v>
      </c>
      <c r="R463" s="306">
        <f t="shared" si="127"/>
        <v>0</v>
      </c>
      <c r="S463" s="306">
        <f t="shared" si="127"/>
        <v>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ht="12.75" customHeight="1">
      <c r="A464" s="305" t="s">
        <v>895</v>
      </c>
      <c r="B464" s="305"/>
      <c r="C464" s="305"/>
      <c r="D464" s="305"/>
      <c r="E464" s="305"/>
      <c r="F464" s="306">
        <f t="shared" ref="F464:H464" si="128">SUMIF($B$3:$B$451,$B464,F$3:F$451)</f>
        <v>0</v>
      </c>
      <c r="G464" s="306">
        <f t="shared" si="128"/>
        <v>0</v>
      </c>
      <c r="H464" s="306">
        <f t="shared" si="128"/>
        <v>0</v>
      </c>
      <c r="I464" s="306">
        <f t="shared" ref="I464:S464" si="129">SUMIF($B$3:$B$451,$A464,I$3:I$451)</f>
        <v>0</v>
      </c>
      <c r="J464" s="306">
        <f t="shared" si="129"/>
        <v>0</v>
      </c>
      <c r="K464" s="306">
        <f t="shared" si="129"/>
        <v>0</v>
      </c>
      <c r="L464" s="306">
        <f t="shared" si="129"/>
        <v>0</v>
      </c>
      <c r="M464" s="306">
        <f t="shared" si="129"/>
        <v>0</v>
      </c>
      <c r="N464" s="306">
        <f t="shared" si="129"/>
        <v>0</v>
      </c>
      <c r="O464" s="306">
        <f t="shared" si="129"/>
        <v>0</v>
      </c>
      <c r="P464" s="306">
        <f t="shared" si="129"/>
        <v>0</v>
      </c>
      <c r="Q464" s="306">
        <f t="shared" si="129"/>
        <v>0</v>
      </c>
      <c r="R464" s="306">
        <f t="shared" si="129"/>
        <v>0</v>
      </c>
      <c r="S464" s="306">
        <f t="shared" si="129"/>
        <v>0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ht="12.75" customHeight="1">
      <c r="A465" s="307" t="s">
        <v>896</v>
      </c>
      <c r="B465" s="307"/>
      <c r="C465" s="307"/>
      <c r="D465" s="307"/>
      <c r="E465" s="307"/>
      <c r="F465" s="308">
        <f t="shared" ref="F465:H465" si="130">SUMIF($B$3:$B$451,$B465,F$3:F$451)</f>
        <v>0</v>
      </c>
      <c r="G465" s="308">
        <f t="shared" si="130"/>
        <v>0</v>
      </c>
      <c r="H465" s="308">
        <f t="shared" si="130"/>
        <v>0</v>
      </c>
      <c r="I465" s="308">
        <f t="shared" ref="I465:S465" si="131">SUMIF($B$3:$B$451,$A465,I$3:I$451)</f>
        <v>0</v>
      </c>
      <c r="J465" s="308">
        <f t="shared" si="131"/>
        <v>0</v>
      </c>
      <c r="K465" s="308">
        <f t="shared" si="131"/>
        <v>0</v>
      </c>
      <c r="L465" s="308">
        <f t="shared" si="131"/>
        <v>0</v>
      </c>
      <c r="M465" s="308">
        <f t="shared" si="131"/>
        <v>0</v>
      </c>
      <c r="N465" s="308">
        <f t="shared" si="131"/>
        <v>0</v>
      </c>
      <c r="O465" s="308">
        <f t="shared" si="131"/>
        <v>0</v>
      </c>
      <c r="P465" s="308">
        <f t="shared" si="131"/>
        <v>0</v>
      </c>
      <c r="Q465" s="308">
        <f t="shared" si="131"/>
        <v>0</v>
      </c>
      <c r="R465" s="308">
        <f t="shared" si="131"/>
        <v>0</v>
      </c>
      <c r="S465" s="308">
        <f t="shared" si="131"/>
        <v>0</v>
      </c>
      <c r="T465" s="307"/>
      <c r="U465" s="307"/>
      <c r="V465" s="307"/>
      <c r="W465" s="307"/>
      <c r="X465" s="307"/>
      <c r="Y465" s="307"/>
      <c r="Z465" s="307"/>
      <c r="AA465" s="307"/>
      <c r="AB465" s="307"/>
      <c r="AC465" s="307"/>
      <c r="AD465" s="307"/>
      <c r="AE465" s="307"/>
      <c r="AF465" s="307"/>
      <c r="AG465" s="307"/>
      <c r="AH465" s="307"/>
      <c r="AI465" s="307"/>
      <c r="AJ465" s="307"/>
      <c r="AK465" s="307"/>
      <c r="AL465" s="307"/>
      <c r="AM465" s="307"/>
      <c r="AN465" s="307"/>
      <c r="AO465" s="307"/>
      <c r="AP465" s="307"/>
      <c r="AQ465" s="307"/>
      <c r="AR465" s="307"/>
      <c r="AS465" s="307"/>
      <c r="AT465" s="307"/>
      <c r="AU465" s="307"/>
      <c r="AV465" s="307"/>
      <c r="AW465" s="307"/>
      <c r="AX465" s="307"/>
      <c r="AY465" s="307"/>
      <c r="AZ465" s="307"/>
      <c r="BA465" s="307"/>
      <c r="BB465" s="307"/>
      <c r="BC465" s="307"/>
    </row>
    <row r="466" ht="12.75" customHeight="1">
      <c r="A466" s="160" t="s">
        <v>343</v>
      </c>
      <c r="B466" s="160"/>
      <c r="C466" s="160"/>
      <c r="D466" s="160"/>
      <c r="E466" s="160"/>
      <c r="F466" s="302">
        <f t="shared" ref="F466:H466" si="132">SUMIF($B$3:$B$451,$B466,F$3:F$451)</f>
        <v>0</v>
      </c>
      <c r="G466" s="302">
        <f t="shared" si="132"/>
        <v>0</v>
      </c>
      <c r="H466" s="302">
        <f t="shared" si="132"/>
        <v>0</v>
      </c>
      <c r="I466" s="302">
        <f t="shared" ref="I466:S466" si="133">SUMIF($B$3:$B$451,$A466,I$3:I$451)</f>
        <v>112460.45</v>
      </c>
      <c r="J466" s="302">
        <f t="shared" si="133"/>
        <v>112460.45</v>
      </c>
      <c r="K466" s="302">
        <f t="shared" si="133"/>
        <v>112460.45</v>
      </c>
      <c r="L466" s="302">
        <f t="shared" si="133"/>
        <v>112460.45</v>
      </c>
      <c r="M466" s="302">
        <f t="shared" si="133"/>
        <v>112460.45</v>
      </c>
      <c r="N466" s="302">
        <f t="shared" si="133"/>
        <v>112460.45</v>
      </c>
      <c r="O466" s="302">
        <f t="shared" si="133"/>
        <v>112460.45</v>
      </c>
      <c r="P466" s="302">
        <f t="shared" si="133"/>
        <v>112460.45</v>
      </c>
      <c r="Q466" s="302">
        <f t="shared" si="133"/>
        <v>112460.45</v>
      </c>
      <c r="R466" s="302">
        <f t="shared" si="133"/>
        <v>1349525.4</v>
      </c>
      <c r="S466" s="302">
        <f t="shared" si="133"/>
        <v>337381.35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ht="12.75" customHeight="1">
      <c r="A467" s="160" t="s">
        <v>345</v>
      </c>
      <c r="B467" s="160"/>
      <c r="C467" s="160"/>
      <c r="D467" s="160"/>
      <c r="E467" s="160"/>
      <c r="F467" s="302">
        <f t="shared" ref="F467:H467" si="134">SUMIF($B$3:$B$451,$B467,F$3:F$451)</f>
        <v>0</v>
      </c>
      <c r="G467" s="302">
        <f t="shared" si="134"/>
        <v>0</v>
      </c>
      <c r="H467" s="302">
        <f t="shared" si="134"/>
        <v>0</v>
      </c>
      <c r="I467" s="302">
        <f t="shared" ref="I467:S467" si="135">SUMIF($B$3:$B$451,$A467,I$3:I$451)</f>
        <v>241430.9</v>
      </c>
      <c r="J467" s="302">
        <f t="shared" si="135"/>
        <v>241430.9</v>
      </c>
      <c r="K467" s="302">
        <f t="shared" si="135"/>
        <v>241430.9</v>
      </c>
      <c r="L467" s="302">
        <f t="shared" si="135"/>
        <v>241430.9</v>
      </c>
      <c r="M467" s="302">
        <f t="shared" si="135"/>
        <v>241430.9</v>
      </c>
      <c r="N467" s="302">
        <f t="shared" si="135"/>
        <v>241430.9</v>
      </c>
      <c r="O467" s="302">
        <f t="shared" si="135"/>
        <v>241430.9</v>
      </c>
      <c r="P467" s="302">
        <f t="shared" si="135"/>
        <v>241430.9</v>
      </c>
      <c r="Q467" s="302">
        <f t="shared" si="135"/>
        <v>241430.9</v>
      </c>
      <c r="R467" s="302">
        <f t="shared" si="135"/>
        <v>2897170.8</v>
      </c>
      <c r="S467" s="302">
        <f t="shared" si="135"/>
        <v>724292.7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ht="12.75" customHeight="1">
      <c r="A468" s="160" t="s">
        <v>349</v>
      </c>
      <c r="B468" s="160"/>
      <c r="C468" s="160"/>
      <c r="D468" s="160"/>
      <c r="E468" s="160"/>
      <c r="F468" s="302">
        <f t="shared" ref="F468:H468" si="136">SUMIF($B$3:$B$451,$B468,F$3:F$451)</f>
        <v>0</v>
      </c>
      <c r="G468" s="302">
        <f t="shared" si="136"/>
        <v>0</v>
      </c>
      <c r="H468" s="302">
        <f t="shared" si="136"/>
        <v>0</v>
      </c>
      <c r="I468" s="302">
        <f t="shared" ref="I468:S468" si="137">SUMIF($B$3:$B$451,$A468,I$3:I$451)</f>
        <v>64411.05</v>
      </c>
      <c r="J468" s="302">
        <f t="shared" si="137"/>
        <v>64411.05</v>
      </c>
      <c r="K468" s="302">
        <f t="shared" si="137"/>
        <v>64411.05</v>
      </c>
      <c r="L468" s="302">
        <f t="shared" si="137"/>
        <v>64411.05</v>
      </c>
      <c r="M468" s="302">
        <f t="shared" si="137"/>
        <v>64411.05</v>
      </c>
      <c r="N468" s="302">
        <f t="shared" si="137"/>
        <v>64411.05</v>
      </c>
      <c r="O468" s="302">
        <f t="shared" si="137"/>
        <v>64411.05</v>
      </c>
      <c r="P468" s="302">
        <f t="shared" si="137"/>
        <v>64411.05</v>
      </c>
      <c r="Q468" s="302">
        <f t="shared" si="137"/>
        <v>64411.05</v>
      </c>
      <c r="R468" s="302">
        <f t="shared" si="137"/>
        <v>772932.6</v>
      </c>
      <c r="S468" s="302">
        <f t="shared" si="137"/>
        <v>193233.15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ht="12.75" customHeight="1">
      <c r="A469" s="305" t="s">
        <v>897</v>
      </c>
      <c r="B469" s="305"/>
      <c r="C469" s="305"/>
      <c r="D469" s="305"/>
      <c r="E469" s="305"/>
      <c r="F469" s="306">
        <f t="shared" ref="F469:H469" si="138">SUMIF($B$3:$B$451,$B469,F$3:F$451)</f>
        <v>0</v>
      </c>
      <c r="G469" s="306">
        <f t="shared" si="138"/>
        <v>0</v>
      </c>
      <c r="H469" s="306">
        <f t="shared" si="138"/>
        <v>0</v>
      </c>
      <c r="I469" s="306">
        <f t="shared" ref="I469:S469" si="139">SUMIF($B$3:$B$451,$A469,I$3:I$451)</f>
        <v>0</v>
      </c>
      <c r="J469" s="306">
        <f t="shared" si="139"/>
        <v>0</v>
      </c>
      <c r="K469" s="306">
        <f t="shared" si="139"/>
        <v>0</v>
      </c>
      <c r="L469" s="306">
        <f t="shared" si="139"/>
        <v>0</v>
      </c>
      <c r="M469" s="306">
        <f t="shared" si="139"/>
        <v>0</v>
      </c>
      <c r="N469" s="306">
        <f t="shared" si="139"/>
        <v>0</v>
      </c>
      <c r="O469" s="306">
        <f t="shared" si="139"/>
        <v>0</v>
      </c>
      <c r="P469" s="306">
        <f t="shared" si="139"/>
        <v>0</v>
      </c>
      <c r="Q469" s="306">
        <f t="shared" si="139"/>
        <v>0</v>
      </c>
      <c r="R469" s="306">
        <f t="shared" si="139"/>
        <v>0</v>
      </c>
      <c r="S469" s="306">
        <f t="shared" si="139"/>
        <v>0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ht="12.75" customHeight="1">
      <c r="A470" s="305" t="s">
        <v>898</v>
      </c>
      <c r="B470" s="305"/>
      <c r="C470" s="305"/>
      <c r="D470" s="305"/>
      <c r="E470" s="305"/>
      <c r="F470" s="306">
        <f t="shared" ref="F470:H470" si="140">SUMIF($B$3:$B$451,$B470,F$3:F$451)</f>
        <v>0</v>
      </c>
      <c r="G470" s="306">
        <f t="shared" si="140"/>
        <v>0</v>
      </c>
      <c r="H470" s="306">
        <f t="shared" si="140"/>
        <v>0</v>
      </c>
      <c r="I470" s="306">
        <f t="shared" ref="I470:S470" si="141">SUMIF($B$3:$B$451,$A470,I$3:I$451)</f>
        <v>0</v>
      </c>
      <c r="J470" s="306">
        <f t="shared" si="141"/>
        <v>0</v>
      </c>
      <c r="K470" s="306">
        <f t="shared" si="141"/>
        <v>0</v>
      </c>
      <c r="L470" s="306">
        <f t="shared" si="141"/>
        <v>0</v>
      </c>
      <c r="M470" s="306">
        <f t="shared" si="141"/>
        <v>0</v>
      </c>
      <c r="N470" s="306">
        <f t="shared" si="141"/>
        <v>0</v>
      </c>
      <c r="O470" s="306">
        <f t="shared" si="141"/>
        <v>0</v>
      </c>
      <c r="P470" s="306">
        <f t="shared" si="141"/>
        <v>0</v>
      </c>
      <c r="Q470" s="306">
        <f t="shared" si="141"/>
        <v>0</v>
      </c>
      <c r="R470" s="306">
        <f t="shared" si="141"/>
        <v>0</v>
      </c>
      <c r="S470" s="306">
        <f t="shared" si="141"/>
        <v>0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ht="12.75" customHeight="1">
      <c r="A471" s="305" t="s">
        <v>899</v>
      </c>
      <c r="B471" s="305"/>
      <c r="C471" s="305"/>
      <c r="D471" s="305"/>
      <c r="E471" s="305"/>
      <c r="F471" s="306">
        <f t="shared" ref="F471:H471" si="142">SUMIF($B$3:$B$451,$B471,F$3:F$451)</f>
        <v>0</v>
      </c>
      <c r="G471" s="306">
        <f t="shared" si="142"/>
        <v>0</v>
      </c>
      <c r="H471" s="306">
        <f t="shared" si="142"/>
        <v>0</v>
      </c>
      <c r="I471" s="306">
        <f t="shared" ref="I471:S471" si="143">SUMIF($B$3:$B$451,$A471,I$3:I$451)</f>
        <v>0</v>
      </c>
      <c r="J471" s="306">
        <f t="shared" si="143"/>
        <v>0</v>
      </c>
      <c r="K471" s="306">
        <f t="shared" si="143"/>
        <v>0</v>
      </c>
      <c r="L471" s="306">
        <f t="shared" si="143"/>
        <v>0</v>
      </c>
      <c r="M471" s="306">
        <f t="shared" si="143"/>
        <v>0</v>
      </c>
      <c r="N471" s="306">
        <f t="shared" si="143"/>
        <v>0</v>
      </c>
      <c r="O471" s="306">
        <f t="shared" si="143"/>
        <v>0</v>
      </c>
      <c r="P471" s="306">
        <f t="shared" si="143"/>
        <v>0</v>
      </c>
      <c r="Q471" s="306">
        <f t="shared" si="143"/>
        <v>0</v>
      </c>
      <c r="R471" s="306">
        <f t="shared" si="143"/>
        <v>0</v>
      </c>
      <c r="S471" s="306">
        <f t="shared" si="143"/>
        <v>0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ht="12.75" customHeight="1">
      <c r="A472" s="305" t="s">
        <v>900</v>
      </c>
      <c r="B472" s="305"/>
      <c r="C472" s="305"/>
      <c r="D472" s="305"/>
      <c r="E472" s="305"/>
      <c r="F472" s="306">
        <f t="shared" ref="F472:H472" si="144">SUMIF($B$3:$B$451,$B472,F$3:F$451)</f>
        <v>0</v>
      </c>
      <c r="G472" s="306">
        <f t="shared" si="144"/>
        <v>0</v>
      </c>
      <c r="H472" s="306">
        <f t="shared" si="144"/>
        <v>0</v>
      </c>
      <c r="I472" s="306">
        <f t="shared" ref="I472:S472" si="145">SUMIF($B$3:$B$451,$A472,I$3:I$451)</f>
        <v>0</v>
      </c>
      <c r="J472" s="306">
        <f t="shared" si="145"/>
        <v>0</v>
      </c>
      <c r="K472" s="306">
        <f t="shared" si="145"/>
        <v>0</v>
      </c>
      <c r="L472" s="306">
        <f t="shared" si="145"/>
        <v>0</v>
      </c>
      <c r="M472" s="306">
        <f t="shared" si="145"/>
        <v>0</v>
      </c>
      <c r="N472" s="306">
        <f t="shared" si="145"/>
        <v>0</v>
      </c>
      <c r="O472" s="306">
        <f t="shared" si="145"/>
        <v>0</v>
      </c>
      <c r="P472" s="306">
        <f t="shared" si="145"/>
        <v>0</v>
      </c>
      <c r="Q472" s="306">
        <f t="shared" si="145"/>
        <v>0</v>
      </c>
      <c r="R472" s="306">
        <f t="shared" si="145"/>
        <v>0</v>
      </c>
      <c r="S472" s="306">
        <f t="shared" si="145"/>
        <v>0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ht="12.75" customHeight="1">
      <c r="A473" s="305" t="s">
        <v>901</v>
      </c>
      <c r="B473" s="305"/>
      <c r="C473" s="305"/>
      <c r="D473" s="305"/>
      <c r="E473" s="305"/>
      <c r="F473" s="306">
        <f t="shared" ref="F473:H473" si="146">SUMIF($B$3:$B$451,$B473,F$3:F$451)</f>
        <v>0</v>
      </c>
      <c r="G473" s="306">
        <f t="shared" si="146"/>
        <v>0</v>
      </c>
      <c r="H473" s="306">
        <f t="shared" si="146"/>
        <v>0</v>
      </c>
      <c r="I473" s="306">
        <f t="shared" ref="I473:S473" si="147">SUMIF($B$3:$B$451,$A473,I$3:I$451)</f>
        <v>0</v>
      </c>
      <c r="J473" s="306">
        <f t="shared" si="147"/>
        <v>0</v>
      </c>
      <c r="K473" s="306">
        <f t="shared" si="147"/>
        <v>0</v>
      </c>
      <c r="L473" s="306">
        <f t="shared" si="147"/>
        <v>0</v>
      </c>
      <c r="M473" s="306">
        <f t="shared" si="147"/>
        <v>0</v>
      </c>
      <c r="N473" s="306">
        <f t="shared" si="147"/>
        <v>0</v>
      </c>
      <c r="O473" s="306">
        <f t="shared" si="147"/>
        <v>0</v>
      </c>
      <c r="P473" s="306">
        <f t="shared" si="147"/>
        <v>0</v>
      </c>
      <c r="Q473" s="306">
        <f t="shared" si="147"/>
        <v>0</v>
      </c>
      <c r="R473" s="306">
        <f t="shared" si="147"/>
        <v>0</v>
      </c>
      <c r="S473" s="306">
        <f t="shared" si="147"/>
        <v>0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ht="12.75" customHeight="1">
      <c r="A474" s="305" t="s">
        <v>902</v>
      </c>
      <c r="B474" s="305"/>
      <c r="C474" s="305"/>
      <c r="D474" s="305"/>
      <c r="E474" s="305"/>
      <c r="F474" s="306">
        <f t="shared" ref="F474:H474" si="148">SUMIF($B$3:$B$451,$B474,F$3:F$451)</f>
        <v>0</v>
      </c>
      <c r="G474" s="306">
        <f t="shared" si="148"/>
        <v>0</v>
      </c>
      <c r="H474" s="306">
        <f t="shared" si="148"/>
        <v>0</v>
      </c>
      <c r="I474" s="306">
        <f t="shared" ref="I474:S474" si="149">SUMIF($B$3:$B$451,$A474,I$3:I$451)</f>
        <v>0</v>
      </c>
      <c r="J474" s="306">
        <f t="shared" si="149"/>
        <v>0</v>
      </c>
      <c r="K474" s="306">
        <f t="shared" si="149"/>
        <v>0</v>
      </c>
      <c r="L474" s="306">
        <f t="shared" si="149"/>
        <v>0</v>
      </c>
      <c r="M474" s="306">
        <f t="shared" si="149"/>
        <v>0</v>
      </c>
      <c r="N474" s="306">
        <f t="shared" si="149"/>
        <v>0</v>
      </c>
      <c r="O474" s="306">
        <f t="shared" si="149"/>
        <v>0</v>
      </c>
      <c r="P474" s="306">
        <f t="shared" si="149"/>
        <v>0</v>
      </c>
      <c r="Q474" s="306">
        <f t="shared" si="149"/>
        <v>0</v>
      </c>
      <c r="R474" s="306">
        <f t="shared" si="149"/>
        <v>0</v>
      </c>
      <c r="S474" s="306">
        <f t="shared" si="149"/>
        <v>0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ht="12.75" customHeight="1">
      <c r="F475" s="309">
        <f t="shared" ref="F475:S475" si="150">SUM(F455:F474)</f>
        <v>0</v>
      </c>
      <c r="G475" s="309">
        <f t="shared" si="150"/>
        <v>0</v>
      </c>
      <c r="H475" s="309">
        <f t="shared" si="150"/>
        <v>0</v>
      </c>
      <c r="I475" s="309">
        <f t="shared" si="150"/>
        <v>484742.5538</v>
      </c>
      <c r="J475" s="309">
        <f t="shared" si="150"/>
        <v>448244.5008</v>
      </c>
      <c r="K475" s="309">
        <f t="shared" si="150"/>
        <v>508225.7914</v>
      </c>
      <c r="L475" s="309">
        <f t="shared" si="150"/>
        <v>471318.4529</v>
      </c>
      <c r="M475" s="309">
        <f t="shared" si="150"/>
        <v>479977.5018</v>
      </c>
      <c r="N475" s="309">
        <f t="shared" si="150"/>
        <v>526584.3334</v>
      </c>
      <c r="O475" s="309">
        <f t="shared" si="150"/>
        <v>519282.0337</v>
      </c>
      <c r="P475" s="309">
        <f t="shared" si="150"/>
        <v>446007.2292</v>
      </c>
      <c r="Q475" s="309">
        <f t="shared" si="150"/>
        <v>435075.8199</v>
      </c>
      <c r="R475" s="309">
        <f t="shared" si="150"/>
        <v>5610869.514</v>
      </c>
      <c r="S475" s="309">
        <f t="shared" si="150"/>
        <v>1291411.298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ht="12.75" customHeight="1">
      <c r="E476" s="14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ht="12.75" customHeight="1">
      <c r="A477" s="2"/>
      <c r="B477" s="305"/>
      <c r="C477" s="236"/>
      <c r="D477" s="2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4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</sheetData>
  <dataValidations>
    <dataValidation type="custom" allowBlank="1" sqref="J13:J19 N13:N19 J21:J24 N21:N24 J26:J28 N26:N28 J32:J36 N32:N36 S36 C13:C40 J38:J40 N38:N40 U13:U40 J42:J44 N42:N44 J46:J49 N46:N49 J51:J59 N51:N59 C42:C65 J61:J65 N61:N65 U42:U65 S67 J435">
      <formula1>AND(GTE(LEN(C13),MIN((0),(10000))),LTE(LEN(C13),MAX((0),(10000))))</formula1>
    </dataValidation>
  </dataValidations>
  <printOptions gridLines="1"/>
  <pageMargins bottom="0.59" footer="0.0" header="0.0" left="0.75" right="0.24" top="0.59"/>
  <pageSetup paperSize="9" orientation="portrait"/>
  <drawing r:id="rId2"/>
  <legacyDrawing r:id="rId3"/>
</worksheet>
</file>