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0" yWindow="0" windowWidth="25600" windowHeight="16000"/>
  </bookViews>
  <sheets>
    <sheet name="财务模型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P6" i="1"/>
  <c r="Q6" i="1"/>
  <c r="R6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R10" i="1"/>
  <c r="L9" i="1"/>
  <c r="M9" i="1"/>
  <c r="N9" i="1"/>
  <c r="O9" i="1"/>
  <c r="P9" i="1"/>
  <c r="Q9" i="1"/>
  <c r="R9" i="1"/>
  <c r="R4" i="1"/>
  <c r="R12" i="1"/>
  <c r="R59" i="1"/>
  <c r="R62" i="1"/>
  <c r="Q5" i="1"/>
  <c r="Q10" i="1"/>
  <c r="Q4" i="1"/>
  <c r="Q12" i="1"/>
  <c r="Q59" i="1"/>
  <c r="Q62" i="1"/>
  <c r="P5" i="1"/>
  <c r="P10" i="1"/>
  <c r="P4" i="1"/>
  <c r="P12" i="1"/>
  <c r="P59" i="1"/>
  <c r="P62" i="1"/>
  <c r="O5" i="1"/>
  <c r="O10" i="1"/>
  <c r="O4" i="1"/>
  <c r="O12" i="1"/>
  <c r="O59" i="1"/>
  <c r="O62" i="1"/>
  <c r="N5" i="1"/>
  <c r="J6" i="1"/>
  <c r="K6" i="1"/>
  <c r="L6" i="1"/>
  <c r="M6" i="1"/>
  <c r="N6" i="1"/>
  <c r="N10" i="1"/>
  <c r="N4" i="1"/>
  <c r="N12" i="1"/>
  <c r="N59" i="1"/>
  <c r="N62" i="1"/>
  <c r="M5" i="1"/>
  <c r="M10" i="1"/>
  <c r="M4" i="1"/>
  <c r="M12" i="1"/>
  <c r="M59" i="1"/>
  <c r="M62" i="1"/>
  <c r="L5" i="1"/>
  <c r="L10" i="1"/>
  <c r="L4" i="1"/>
  <c r="L12" i="1"/>
  <c r="L59" i="1"/>
  <c r="L62" i="1"/>
  <c r="K5" i="1"/>
  <c r="K10" i="1"/>
  <c r="K4" i="1"/>
  <c r="K12" i="1"/>
  <c r="K59" i="1"/>
  <c r="K62" i="1"/>
  <c r="J5" i="1"/>
  <c r="J10" i="1"/>
  <c r="H9" i="1"/>
  <c r="I9" i="1"/>
  <c r="J9" i="1"/>
  <c r="J4" i="1"/>
  <c r="J12" i="1"/>
  <c r="J59" i="1"/>
  <c r="J62" i="1"/>
  <c r="I5" i="1"/>
  <c r="I10" i="1"/>
  <c r="I4" i="1"/>
  <c r="I12" i="1"/>
  <c r="I59" i="1"/>
  <c r="I62" i="1"/>
  <c r="H5" i="1"/>
  <c r="F6" i="1"/>
  <c r="G6" i="1"/>
  <c r="H6" i="1"/>
  <c r="H10" i="1"/>
  <c r="H4" i="1"/>
  <c r="H12" i="1"/>
  <c r="H59" i="1"/>
  <c r="H62" i="1"/>
  <c r="G5" i="1"/>
  <c r="G10" i="1"/>
  <c r="G4" i="1"/>
  <c r="G12" i="1"/>
  <c r="G59" i="1"/>
  <c r="G62" i="1"/>
  <c r="F5" i="1"/>
  <c r="F10" i="1"/>
  <c r="D9" i="1"/>
  <c r="E9" i="1"/>
  <c r="F9" i="1"/>
  <c r="F4" i="1"/>
  <c r="F12" i="1"/>
  <c r="F59" i="1"/>
  <c r="F62" i="1"/>
  <c r="E5" i="1"/>
  <c r="E10" i="1"/>
  <c r="E4" i="1"/>
  <c r="E12" i="1"/>
  <c r="E59" i="1"/>
  <c r="E62" i="1"/>
  <c r="D5" i="1"/>
  <c r="D6" i="1"/>
  <c r="D10" i="1"/>
  <c r="D4" i="1"/>
  <c r="D12" i="1"/>
  <c r="D59" i="1"/>
  <c r="D62" i="1"/>
  <c r="C5" i="1"/>
  <c r="C10" i="1"/>
  <c r="C4" i="1"/>
  <c r="C12" i="1"/>
  <c r="C59" i="1"/>
  <c r="C62" i="1"/>
  <c r="B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12" i="1"/>
  <c r="B59" i="1"/>
  <c r="R36" i="1"/>
  <c r="R58" i="1"/>
  <c r="Q36" i="1"/>
  <c r="Q58" i="1"/>
  <c r="P36" i="1"/>
  <c r="P58" i="1"/>
  <c r="O36" i="1"/>
  <c r="O58" i="1"/>
  <c r="N36" i="1"/>
  <c r="N58" i="1"/>
  <c r="M36" i="1"/>
  <c r="M58" i="1"/>
  <c r="L36" i="1"/>
  <c r="L58" i="1"/>
  <c r="K36" i="1"/>
  <c r="K58" i="1"/>
  <c r="J36" i="1"/>
  <c r="J58" i="1"/>
  <c r="I36" i="1"/>
  <c r="I58" i="1"/>
  <c r="H36" i="1"/>
  <c r="H58" i="1"/>
  <c r="G36" i="1"/>
  <c r="G58" i="1"/>
  <c r="F36" i="1"/>
  <c r="F58" i="1"/>
  <c r="E36" i="1"/>
  <c r="E58" i="1"/>
  <c r="D36" i="1"/>
  <c r="D58" i="1"/>
  <c r="C36" i="1"/>
  <c r="C58" i="1"/>
  <c r="B36" i="1"/>
  <c r="B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R42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R13" i="1"/>
  <c r="R17" i="1"/>
  <c r="P18" i="1"/>
  <c r="Q18" i="1"/>
  <c r="R18" i="1"/>
  <c r="R1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R11" i="1"/>
  <c r="R50" i="1"/>
  <c r="R21" i="1"/>
  <c r="R51" i="1"/>
  <c r="R30" i="1"/>
  <c r="L32" i="1"/>
  <c r="M32" i="1"/>
  <c r="N32" i="1"/>
  <c r="O32" i="1"/>
  <c r="P32" i="1"/>
  <c r="Q32" i="1"/>
  <c r="R32" i="1"/>
  <c r="R31" i="1"/>
  <c r="R29" i="1"/>
  <c r="R23" i="1"/>
  <c r="R52" i="1"/>
  <c r="R34" i="1"/>
  <c r="B47" i="1"/>
  <c r="R37" i="1"/>
  <c r="R33" i="1"/>
  <c r="R53" i="1"/>
  <c r="R43" i="1"/>
  <c r="R54" i="1"/>
  <c r="Q42" i="1"/>
  <c r="Q13" i="1"/>
  <c r="Q17" i="1"/>
  <c r="Q16" i="1"/>
  <c r="Q11" i="1"/>
  <c r="Q50" i="1"/>
  <c r="Q21" i="1"/>
  <c r="Q51" i="1"/>
  <c r="Q30" i="1"/>
  <c r="Q31" i="1"/>
  <c r="Q29" i="1"/>
  <c r="Q23" i="1"/>
  <c r="Q52" i="1"/>
  <c r="Q34" i="1"/>
  <c r="Q37" i="1"/>
  <c r="Q33" i="1"/>
  <c r="Q53" i="1"/>
  <c r="Q43" i="1"/>
  <c r="Q54" i="1"/>
  <c r="P42" i="1"/>
  <c r="P13" i="1"/>
  <c r="P17" i="1"/>
  <c r="P16" i="1"/>
  <c r="P11" i="1"/>
  <c r="P50" i="1"/>
  <c r="P21" i="1"/>
  <c r="P51" i="1"/>
  <c r="P30" i="1"/>
  <c r="P31" i="1"/>
  <c r="P29" i="1"/>
  <c r="P23" i="1"/>
  <c r="P52" i="1"/>
  <c r="P34" i="1"/>
  <c r="P37" i="1"/>
  <c r="P33" i="1"/>
  <c r="P53" i="1"/>
  <c r="P43" i="1"/>
  <c r="P54" i="1"/>
  <c r="O42" i="1"/>
  <c r="O13" i="1"/>
  <c r="O17" i="1"/>
  <c r="O16" i="1"/>
  <c r="O11" i="1"/>
  <c r="O50" i="1"/>
  <c r="O21" i="1"/>
  <c r="O51" i="1"/>
  <c r="O30" i="1"/>
  <c r="O31" i="1"/>
  <c r="O29" i="1"/>
  <c r="O23" i="1"/>
  <c r="O52" i="1"/>
  <c r="O34" i="1"/>
  <c r="O37" i="1"/>
  <c r="O33" i="1"/>
  <c r="O53" i="1"/>
  <c r="O43" i="1"/>
  <c r="O54" i="1"/>
  <c r="N42" i="1"/>
  <c r="N13" i="1"/>
  <c r="N17" i="1"/>
  <c r="D18" i="1"/>
  <c r="E18" i="1"/>
  <c r="F18" i="1"/>
  <c r="G18" i="1"/>
  <c r="H18" i="1"/>
  <c r="I18" i="1"/>
  <c r="J18" i="1"/>
  <c r="K18" i="1"/>
  <c r="L18" i="1"/>
  <c r="M18" i="1"/>
  <c r="N18" i="1"/>
  <c r="N16" i="1"/>
  <c r="N11" i="1"/>
  <c r="N50" i="1"/>
  <c r="N21" i="1"/>
  <c r="N51" i="1"/>
  <c r="N30" i="1"/>
  <c r="N31" i="1"/>
  <c r="N29" i="1"/>
  <c r="N23" i="1"/>
  <c r="N52" i="1"/>
  <c r="N34" i="1"/>
  <c r="N37" i="1"/>
  <c r="N33" i="1"/>
  <c r="N53" i="1"/>
  <c r="N43" i="1"/>
  <c r="N54" i="1"/>
  <c r="M42" i="1"/>
  <c r="M13" i="1"/>
  <c r="M17" i="1"/>
  <c r="M16" i="1"/>
  <c r="M11" i="1"/>
  <c r="M50" i="1"/>
  <c r="M21" i="1"/>
  <c r="M51" i="1"/>
  <c r="M30" i="1"/>
  <c r="M31" i="1"/>
  <c r="M29" i="1"/>
  <c r="M23" i="1"/>
  <c r="M52" i="1"/>
  <c r="M34" i="1"/>
  <c r="M37" i="1"/>
  <c r="M38" i="1"/>
  <c r="M33" i="1"/>
  <c r="M53" i="1"/>
  <c r="M43" i="1"/>
  <c r="M54" i="1"/>
  <c r="L42" i="1"/>
  <c r="L13" i="1"/>
  <c r="L17" i="1"/>
  <c r="L16" i="1"/>
  <c r="L11" i="1"/>
  <c r="L50" i="1"/>
  <c r="L21" i="1"/>
  <c r="L51" i="1"/>
  <c r="L30" i="1"/>
  <c r="L31" i="1"/>
  <c r="L29" i="1"/>
  <c r="L23" i="1"/>
  <c r="L52" i="1"/>
  <c r="L34" i="1"/>
  <c r="L37" i="1"/>
  <c r="L38" i="1"/>
  <c r="L33" i="1"/>
  <c r="L53" i="1"/>
  <c r="L43" i="1"/>
  <c r="L54" i="1"/>
  <c r="K42" i="1"/>
  <c r="K13" i="1"/>
  <c r="K17" i="1"/>
  <c r="K16" i="1"/>
  <c r="K11" i="1"/>
  <c r="K50" i="1"/>
  <c r="K21" i="1"/>
  <c r="K51" i="1"/>
  <c r="K30" i="1"/>
  <c r="K31" i="1"/>
  <c r="K29" i="1"/>
  <c r="K23" i="1"/>
  <c r="K52" i="1"/>
  <c r="K34" i="1"/>
  <c r="K37" i="1"/>
  <c r="K38" i="1"/>
  <c r="K33" i="1"/>
  <c r="K53" i="1"/>
  <c r="K43" i="1"/>
  <c r="K54" i="1"/>
  <c r="J42" i="1"/>
  <c r="J13" i="1"/>
  <c r="J17" i="1"/>
  <c r="J16" i="1"/>
  <c r="J11" i="1"/>
  <c r="J50" i="1"/>
  <c r="J21" i="1"/>
  <c r="J51" i="1"/>
  <c r="J30" i="1"/>
  <c r="H32" i="1"/>
  <c r="I32" i="1"/>
  <c r="J32" i="1"/>
  <c r="J31" i="1"/>
  <c r="J29" i="1"/>
  <c r="J23" i="1"/>
  <c r="J52" i="1"/>
  <c r="J34" i="1"/>
  <c r="J37" i="1"/>
  <c r="J38" i="1"/>
  <c r="J33" i="1"/>
  <c r="J53" i="1"/>
  <c r="J43" i="1"/>
  <c r="J54" i="1"/>
  <c r="I42" i="1"/>
  <c r="I13" i="1"/>
  <c r="I17" i="1"/>
  <c r="I16" i="1"/>
  <c r="I11" i="1"/>
  <c r="I50" i="1"/>
  <c r="I21" i="1"/>
  <c r="I51" i="1"/>
  <c r="I30" i="1"/>
  <c r="I31" i="1"/>
  <c r="I29" i="1"/>
  <c r="I23" i="1"/>
  <c r="I52" i="1"/>
  <c r="I34" i="1"/>
  <c r="I37" i="1"/>
  <c r="I38" i="1"/>
  <c r="I33" i="1"/>
  <c r="I53" i="1"/>
  <c r="I43" i="1"/>
  <c r="I54" i="1"/>
  <c r="H42" i="1"/>
  <c r="H13" i="1"/>
  <c r="H17" i="1"/>
  <c r="H16" i="1"/>
  <c r="H11" i="1"/>
  <c r="H50" i="1"/>
  <c r="H21" i="1"/>
  <c r="H51" i="1"/>
  <c r="H30" i="1"/>
  <c r="H31" i="1"/>
  <c r="H29" i="1"/>
  <c r="H23" i="1"/>
  <c r="H52" i="1"/>
  <c r="H34" i="1"/>
  <c r="H37" i="1"/>
  <c r="H38" i="1"/>
  <c r="H33" i="1"/>
  <c r="H53" i="1"/>
  <c r="H43" i="1"/>
  <c r="H54" i="1"/>
  <c r="G42" i="1"/>
  <c r="G13" i="1"/>
  <c r="G17" i="1"/>
  <c r="G16" i="1"/>
  <c r="G11" i="1"/>
  <c r="G50" i="1"/>
  <c r="G21" i="1"/>
  <c r="G51" i="1"/>
  <c r="G30" i="1"/>
  <c r="G31" i="1"/>
  <c r="G29" i="1"/>
  <c r="G23" i="1"/>
  <c r="G52" i="1"/>
  <c r="G34" i="1"/>
  <c r="G37" i="1"/>
  <c r="G38" i="1"/>
  <c r="G33" i="1"/>
  <c r="G53" i="1"/>
  <c r="G43" i="1"/>
  <c r="G54" i="1"/>
  <c r="F42" i="1"/>
  <c r="F13" i="1"/>
  <c r="F17" i="1"/>
  <c r="F16" i="1"/>
  <c r="F11" i="1"/>
  <c r="F50" i="1"/>
  <c r="F21" i="1"/>
  <c r="F51" i="1"/>
  <c r="F30" i="1"/>
  <c r="D32" i="1"/>
  <c r="E32" i="1"/>
  <c r="F32" i="1"/>
  <c r="F31" i="1"/>
  <c r="F29" i="1"/>
  <c r="F23" i="1"/>
  <c r="F52" i="1"/>
  <c r="F34" i="1"/>
  <c r="F37" i="1"/>
  <c r="F38" i="1"/>
  <c r="F33" i="1"/>
  <c r="F53" i="1"/>
  <c r="F43" i="1"/>
  <c r="F54" i="1"/>
  <c r="E42" i="1"/>
  <c r="E13" i="1"/>
  <c r="E17" i="1"/>
  <c r="E16" i="1"/>
  <c r="E11" i="1"/>
  <c r="E50" i="1"/>
  <c r="E21" i="1"/>
  <c r="E51" i="1"/>
  <c r="E30" i="1"/>
  <c r="E31" i="1"/>
  <c r="E29" i="1"/>
  <c r="E23" i="1"/>
  <c r="E52" i="1"/>
  <c r="E34" i="1"/>
  <c r="E37" i="1"/>
  <c r="E38" i="1"/>
  <c r="E33" i="1"/>
  <c r="E53" i="1"/>
  <c r="E43" i="1"/>
  <c r="E54" i="1"/>
  <c r="D42" i="1"/>
  <c r="D13" i="1"/>
  <c r="D17" i="1"/>
  <c r="D16" i="1"/>
  <c r="D11" i="1"/>
  <c r="D50" i="1"/>
  <c r="D21" i="1"/>
  <c r="D51" i="1"/>
  <c r="D30" i="1"/>
  <c r="D31" i="1"/>
  <c r="D29" i="1"/>
  <c r="D23" i="1"/>
  <c r="D52" i="1"/>
  <c r="D34" i="1"/>
  <c r="D37" i="1"/>
  <c r="D38" i="1"/>
  <c r="D33" i="1"/>
  <c r="D53" i="1"/>
  <c r="D43" i="1"/>
  <c r="D54" i="1"/>
  <c r="C42" i="1"/>
  <c r="C13" i="1"/>
  <c r="C17" i="1"/>
  <c r="C16" i="1"/>
  <c r="C11" i="1"/>
  <c r="C50" i="1"/>
  <c r="C21" i="1"/>
  <c r="C51" i="1"/>
  <c r="C30" i="1"/>
  <c r="C31" i="1"/>
  <c r="C29" i="1"/>
  <c r="C23" i="1"/>
  <c r="C52" i="1"/>
  <c r="C34" i="1"/>
  <c r="C37" i="1"/>
  <c r="C38" i="1"/>
  <c r="C33" i="1"/>
  <c r="C53" i="1"/>
  <c r="C43" i="1"/>
  <c r="C54" i="1"/>
  <c r="B15" i="1"/>
  <c r="B13" i="1"/>
  <c r="B46" i="1"/>
  <c r="B44" i="1"/>
  <c r="B23" i="1"/>
  <c r="B52" i="1"/>
  <c r="B43" i="1"/>
  <c r="B54" i="1"/>
  <c r="R22" i="1"/>
  <c r="R39" i="1"/>
  <c r="R40" i="1"/>
  <c r="Q22" i="1"/>
  <c r="Q39" i="1"/>
  <c r="Q40" i="1"/>
  <c r="P22" i="1"/>
  <c r="P39" i="1"/>
  <c r="P40" i="1"/>
  <c r="O22" i="1"/>
  <c r="O39" i="1"/>
  <c r="O40" i="1"/>
  <c r="N22" i="1"/>
  <c r="N39" i="1"/>
  <c r="N40" i="1"/>
  <c r="M22" i="1"/>
  <c r="M39" i="1"/>
  <c r="M40" i="1"/>
  <c r="L22" i="1"/>
  <c r="L39" i="1"/>
  <c r="L40" i="1"/>
  <c r="K22" i="1"/>
  <c r="K39" i="1"/>
  <c r="K40" i="1"/>
  <c r="J22" i="1"/>
  <c r="J39" i="1"/>
  <c r="J40" i="1"/>
  <c r="I22" i="1"/>
  <c r="I39" i="1"/>
  <c r="I40" i="1"/>
  <c r="H22" i="1"/>
  <c r="H39" i="1"/>
  <c r="H40" i="1"/>
  <c r="G22" i="1"/>
  <c r="G39" i="1"/>
  <c r="G40" i="1"/>
  <c r="F22" i="1"/>
  <c r="F39" i="1"/>
  <c r="F40" i="1"/>
  <c r="E22" i="1"/>
  <c r="E39" i="1"/>
  <c r="E40" i="1"/>
  <c r="D22" i="1"/>
  <c r="D39" i="1"/>
  <c r="D40" i="1"/>
  <c r="C22" i="1"/>
  <c r="C39" i="1"/>
  <c r="C40" i="1"/>
  <c r="B11" i="1"/>
  <c r="B22" i="1"/>
  <c r="B34" i="1"/>
  <c r="B37" i="1"/>
  <c r="B38" i="1"/>
  <c r="B33" i="1"/>
  <c r="B3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P26" i="1"/>
  <c r="Q26" i="1"/>
  <c r="R26" i="1"/>
  <c r="D26" i="1"/>
  <c r="E26" i="1"/>
  <c r="F26" i="1"/>
  <c r="G26" i="1"/>
  <c r="H26" i="1"/>
  <c r="I26" i="1"/>
  <c r="J26" i="1"/>
  <c r="K26" i="1"/>
  <c r="L26" i="1"/>
  <c r="M26" i="1"/>
  <c r="N26" i="1"/>
  <c r="P25" i="1"/>
  <c r="Q25" i="1"/>
  <c r="R25" i="1"/>
  <c r="D25" i="1"/>
  <c r="E25" i="1"/>
  <c r="F25" i="1"/>
  <c r="G25" i="1"/>
  <c r="H25" i="1"/>
  <c r="I25" i="1"/>
  <c r="J25" i="1"/>
  <c r="K25" i="1"/>
  <c r="L25" i="1"/>
  <c r="M25" i="1"/>
  <c r="N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</calcChain>
</file>

<file path=xl/sharedStrings.xml><?xml version="1.0" encoding="utf-8"?>
<sst xmlns="http://schemas.openxmlformats.org/spreadsheetml/2006/main" count="82" uniqueCount="77">
  <si>
    <r>
      <rPr>
        <b/>
        <sz val="12"/>
        <color theme="1"/>
        <rFont val="宋体"/>
        <family val="3"/>
        <charset val="134"/>
      </rPr>
      <t>筹备期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</si>
  <si>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</si>
  <si>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</si>
  <si>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</si>
  <si>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Y1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</si>
  <si>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</si>
  <si>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</si>
  <si>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</si>
  <si>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Y2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</si>
  <si>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</si>
  <si>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</si>
  <si>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</si>
  <si>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Y3</t>
    </r>
  </si>
  <si>
    <r>
      <rPr>
        <b/>
        <sz val="12"/>
        <color theme="1"/>
        <rFont val="宋体"/>
        <family val="3"/>
        <charset val="134"/>
      </rPr>
      <t>第一季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</si>
  <si>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第二季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</si>
  <si>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第三季</t>
    </r>
    <r>
      <rPr>
        <b/>
        <sz val="12"/>
        <color theme="1"/>
        <rFont val="Arial"/>
        <family val="2"/>
      </rPr>
      <t xml:space="preserve"> Y4</t>
    </r>
  </si>
  <si>
    <r>
      <rPr>
        <b/>
        <sz val="12"/>
        <color theme="1"/>
        <rFont val="宋体"/>
        <family val="3"/>
        <charset val="134"/>
      </rPr>
      <t>第四季</t>
    </r>
    <r>
      <rPr>
        <b/>
        <sz val="12"/>
        <color theme="1"/>
        <rFont val="Arial"/>
        <family val="2"/>
      </rPr>
      <t xml:space="preserve"> Y4</t>
    </r>
  </si>
  <si>
    <t>单店模型</t>
  </si>
  <si>
    <r>
      <rPr>
        <b/>
        <sz val="12"/>
        <color theme="0"/>
        <rFont val="Arial"/>
        <family val="2"/>
      </rPr>
      <t>P&amp;L-</t>
    </r>
    <r>
      <rPr>
        <b/>
        <sz val="12"/>
        <color theme="0"/>
        <rFont val="宋体"/>
        <family val="3"/>
        <charset val="134"/>
      </rPr>
      <t>合作校</t>
    </r>
  </si>
  <si>
    <t>备注</t>
  </si>
  <si>
    <t>学费收入</t>
  </si>
  <si>
    <t>总在校学生数</t>
  </si>
  <si>
    <t>学科/学生</t>
  </si>
  <si>
    <t>课时/学科</t>
  </si>
  <si>
    <t>学费/学科</t>
  </si>
  <si>
    <t>前期学费折扣</t>
  </si>
  <si>
    <t>学费/学生</t>
  </si>
  <si>
    <t>成本</t>
  </si>
  <si>
    <t>总部分成 @20%</t>
  </si>
  <si>
    <t>场地租金</t>
  </si>
  <si>
    <t>场地面积（平方米）</t>
  </si>
  <si>
    <t>场地单价（平方米/天）</t>
  </si>
  <si>
    <t>教师工资</t>
  </si>
  <si>
    <t>教师人数</t>
  </si>
  <si>
    <t>教师平均工资/月</t>
  </si>
  <si>
    <t>学生人数/教师</t>
  </si>
  <si>
    <t>带宽</t>
  </si>
  <si>
    <t>税 @5%</t>
  </si>
  <si>
    <t>毛利</t>
  </si>
  <si>
    <t>市场费用</t>
  </si>
  <si>
    <t>销售人员工资</t>
  </si>
  <si>
    <t>销售人数</t>
  </si>
  <si>
    <t>销售平均工资/月</t>
  </si>
  <si>
    <t>销售人员提成</t>
  </si>
  <si>
    <t>销售提成比例 @5%</t>
  </si>
  <si>
    <t>总新生获取费用</t>
  </si>
  <si>
    <t>新生招收人数</t>
  </si>
  <si>
    <t>新生获取费用</t>
  </si>
  <si>
    <t>新生获取费用%</t>
  </si>
  <si>
    <t>第一年新生学费的100%，第二年50%，第三年30%</t>
  </si>
  <si>
    <t>管理费用</t>
  </si>
  <si>
    <t>日常管理费用</t>
  </si>
  <si>
    <t>管理费占收入比例</t>
  </si>
  <si>
    <r>
      <rPr>
        <sz val="12"/>
        <color theme="1"/>
        <rFont val="宋体"/>
        <family val="3"/>
        <charset val="134"/>
      </rPr>
      <t>咨询费摊销（</t>
    </r>
    <r>
      <rPr>
        <sz val="12"/>
        <color theme="1"/>
        <rFont val="Arial"/>
        <family val="2"/>
      </rPr>
      <t>5</t>
    </r>
    <r>
      <rPr>
        <sz val="12"/>
        <color theme="1"/>
        <rFont val="宋体"/>
        <family val="3"/>
        <charset val="134"/>
      </rPr>
      <t>年）</t>
    </r>
  </si>
  <si>
    <r>
      <t>通过合约的改变，约定第一年加盟费是4</t>
    </r>
    <r>
      <rPr>
        <sz val="12"/>
        <color theme="1"/>
        <rFont val="Arial"/>
        <family val="2"/>
      </rPr>
      <t>0</t>
    </r>
    <r>
      <rPr>
        <sz val="12"/>
        <color theme="1"/>
        <rFont val="宋体"/>
        <family val="3"/>
        <charset val="134"/>
      </rPr>
      <t>万的</t>
    </r>
    <r>
      <rPr>
        <sz val="12"/>
        <color theme="1"/>
        <rFont val="Arial"/>
        <family val="2"/>
      </rPr>
      <t>70%</t>
    </r>
    <r>
      <rPr>
        <sz val="12"/>
        <color theme="1"/>
        <rFont val="宋体"/>
        <family val="3"/>
        <charset val="134"/>
      </rPr>
      <t>，剩余</t>
    </r>
    <r>
      <rPr>
        <sz val="12"/>
        <color theme="1"/>
        <rFont val="Arial"/>
        <family val="2"/>
      </rPr>
      <t>4</t>
    </r>
    <r>
      <rPr>
        <sz val="12"/>
        <color theme="1"/>
        <rFont val="宋体"/>
        <family val="3"/>
        <charset val="134"/>
      </rPr>
      <t>年平均分摊</t>
    </r>
    <r>
      <rPr>
        <sz val="12"/>
        <color theme="1"/>
        <rFont val="Arial"/>
        <family val="2"/>
      </rPr>
      <t>30%</t>
    </r>
  </si>
  <si>
    <t>装修费摊销（5年）</t>
  </si>
  <si>
    <t>按5年摊销</t>
  </si>
  <si>
    <t>固定资产摊销（3年）</t>
  </si>
  <si>
    <t>按3年摊销</t>
  </si>
  <si>
    <t>EBIT</t>
  </si>
  <si>
    <r>
      <rPr>
        <b/>
        <sz val="12"/>
        <color theme="0"/>
        <rFont val="Arial"/>
        <family val="2"/>
      </rPr>
      <t>CFS-</t>
    </r>
    <r>
      <rPr>
        <b/>
        <sz val="12"/>
        <color theme="0"/>
        <rFont val="宋体"/>
        <family val="3"/>
        <charset val="134"/>
      </rPr>
      <t>合作校</t>
    </r>
  </si>
  <si>
    <t>现金收入</t>
  </si>
  <si>
    <t>现金支出</t>
  </si>
  <si>
    <t>Capex</t>
  </si>
  <si>
    <t>咨询费</t>
  </si>
  <si>
    <t>押金租金（押三付三）</t>
  </si>
  <si>
    <t>装修</t>
  </si>
  <si>
    <t>固定资产</t>
  </si>
  <si>
    <t>其他</t>
  </si>
  <si>
    <t>税</t>
  </si>
  <si>
    <t>市场宣传</t>
  </si>
  <si>
    <t>净现金流</t>
  </si>
  <si>
    <t>对集团公司贡献</t>
  </si>
  <si>
    <t>单校贡献收入</t>
  </si>
  <si>
    <t>通过合约的改变，约定第一年加盟费是25万的70%，剩余4年平均分摊30%</t>
  </si>
  <si>
    <t>学费分成</t>
  </si>
  <si>
    <t>单校贡献现金流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</si>
</sst>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_(* #,##0.0_);_(* \(#,##0.0\);_(* &quot;-&quot;??_);_(@_)"/>
    <numFmt numFmtId="177" formatCode="_(* #,##0_);_(* \(#,##0\);_(* &quot;-&quot;??_);_(@_)"/>
    <numFmt numFmtId="178" formatCode="_ * #,##0.00_ ;_ * \-#,##0.00_ ;_ * &quot;-&quot;??_ ;_ @_ "/>
  </numFmts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2"/>
      <name val="Arial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1" fillId="0" borderId="1" xfId="0" applyFont="1" applyFill="1" applyBorder="1" applyAlignment="1"/>
    <xf numFmtId="0" fontId="2" fillId="3" borderId="0" xfId="0" applyFont="1" applyFill="1" applyAlignment="1"/>
    <xf numFmtId="0" fontId="5" fillId="0" borderId="0" xfId="0" applyFont="1" applyFill="1" applyAlignment="1"/>
    <xf numFmtId="9" fontId="6" fillId="0" borderId="0" xfId="0" applyNumberFormat="1" applyFont="1" applyFill="1" applyAlignment="1">
      <alignment horizontal="center"/>
    </xf>
    <xf numFmtId="177" fontId="1" fillId="0" borderId="0" xfId="1" applyNumberFormat="1" applyFont="1" applyAlignment="1"/>
    <xf numFmtId="9" fontId="1" fillId="0" borderId="0" xfId="0" applyNumberFormat="1" applyFont="1" applyFill="1" applyAlignment="1">
      <alignment horizontal="center"/>
    </xf>
    <xf numFmtId="177" fontId="2" fillId="2" borderId="0" xfId="1" applyNumberFormat="1" applyFont="1" applyFill="1" applyAlignment="1"/>
    <xf numFmtId="9" fontId="2" fillId="2" borderId="0" xfId="0" applyNumberFormat="1" applyFont="1" applyFill="1" applyAlignment="1">
      <alignment horizontal="center"/>
    </xf>
    <xf numFmtId="177" fontId="1" fillId="0" borderId="0" xfId="1" applyNumberFormat="1" applyFont="1" applyFill="1" applyAlignment="1"/>
    <xf numFmtId="0" fontId="5" fillId="0" borderId="0" xfId="0" applyFont="1" applyFill="1" applyAlignment="1">
      <alignment horizontal="left" indent="1"/>
    </xf>
    <xf numFmtId="177" fontId="5" fillId="0" borderId="0" xfId="1" applyNumberFormat="1" applyFont="1" applyFill="1" applyAlignment="1"/>
    <xf numFmtId="176" fontId="4" fillId="0" borderId="0" xfId="0" applyNumberFormat="1" applyFont="1" applyFill="1" applyAlignment="1"/>
    <xf numFmtId="177" fontId="4" fillId="0" borderId="0" xfId="1" applyNumberFormat="1" applyFont="1" applyFill="1" applyAlignment="1"/>
    <xf numFmtId="177" fontId="4" fillId="0" borderId="0" xfId="0" applyNumberFormat="1" applyFont="1" applyFill="1" applyAlignment="1"/>
    <xf numFmtId="9" fontId="5" fillId="0" borderId="0" xfId="2" applyFont="1" applyFill="1" applyAlignment="1"/>
    <xf numFmtId="9" fontId="4" fillId="0" borderId="0" xfId="2" applyFont="1" applyFill="1" applyAlignment="1"/>
    <xf numFmtId="177" fontId="3" fillId="0" borderId="0" xfId="1" applyNumberFormat="1" applyFont="1" applyFill="1" applyAlignment="1"/>
    <xf numFmtId="0" fontId="3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 indent="2"/>
    </xf>
    <xf numFmtId="43" fontId="4" fillId="0" borderId="0" xfId="1" applyNumberFormat="1" applyFont="1" applyFill="1" applyAlignment="1"/>
    <xf numFmtId="177" fontId="5" fillId="0" borderId="0" xfId="1" applyNumberFormat="1" applyFont="1" applyAlignment="1">
      <alignment horizontal="left" indent="1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77" fontId="7" fillId="0" borderId="0" xfId="1" applyNumberFormat="1" applyFont="1" applyFill="1" applyAlignment="1"/>
    <xf numFmtId="0" fontId="3" fillId="0" borderId="0" xfId="0" applyFont="1" applyFill="1" applyAlignment="1">
      <alignment horizontal="left"/>
    </xf>
    <xf numFmtId="177" fontId="5" fillId="0" borderId="0" xfId="1" applyNumberFormat="1" applyFont="1" applyAlignment="1"/>
    <xf numFmtId="177" fontId="5" fillId="0" borderId="0" xfId="0" applyNumberFormat="1" applyFont="1" applyFill="1" applyAlignment="1"/>
    <xf numFmtId="9" fontId="4" fillId="0" borderId="0" xfId="2" applyFont="1" applyAlignment="1"/>
    <xf numFmtId="9" fontId="4" fillId="0" borderId="0" xfId="0" applyNumberFormat="1" applyFont="1" applyFill="1" applyAlignment="1"/>
    <xf numFmtId="177" fontId="3" fillId="0" borderId="0" xfId="1" applyNumberFormat="1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177" fontId="4" fillId="0" borderId="0" xfId="1" applyNumberFormat="1" applyFont="1" applyFill="1" applyAlignment="1">
      <alignment horizontal="left"/>
    </xf>
    <xf numFmtId="177" fontId="5" fillId="0" borderId="0" xfId="1" applyNumberFormat="1" applyFont="1" applyAlignment="1">
      <alignment horizontal="left"/>
    </xf>
    <xf numFmtId="9" fontId="5" fillId="0" borderId="0" xfId="2" applyFont="1" applyAlignment="1">
      <alignment horizontal="right"/>
    </xf>
    <xf numFmtId="0" fontId="8" fillId="0" borderId="0" xfId="0" applyFont="1" applyFill="1" applyAlignment="1">
      <alignment horizontal="left" indent="1"/>
    </xf>
    <xf numFmtId="0" fontId="1" fillId="0" borderId="1" xfId="0" applyFont="1" applyFill="1" applyBorder="1" applyAlignment="1">
      <alignment horizontal="left"/>
    </xf>
    <xf numFmtId="177" fontId="7" fillId="0" borderId="1" xfId="1" applyNumberFormat="1" applyFont="1" applyFill="1" applyBorder="1" applyAlignment="1"/>
    <xf numFmtId="177" fontId="1" fillId="0" borderId="0" xfId="1" applyNumberFormat="1" applyFont="1" applyAlignment="1">
      <alignment horizontal="left"/>
    </xf>
    <xf numFmtId="9" fontId="7" fillId="0" borderId="0" xfId="2" applyFont="1" applyFill="1" applyAlignment="1"/>
    <xf numFmtId="0" fontId="2" fillId="2" borderId="0" xfId="0" applyFont="1" applyFill="1" applyAlignment="1">
      <alignment horizontal="left"/>
    </xf>
    <xf numFmtId="177" fontId="2" fillId="2" borderId="0" xfId="1" applyNumberFormat="1" applyFont="1" applyFill="1" applyAlignment="1">
      <alignment horizontal="left" indent="1"/>
    </xf>
    <xf numFmtId="0" fontId="8" fillId="0" borderId="0" xfId="0" applyFont="1" applyFill="1" applyAlignment="1">
      <alignment horizontal="left" indent="2"/>
    </xf>
    <xf numFmtId="177" fontId="4" fillId="0" borderId="0" xfId="1" applyNumberFormat="1" applyFont="1" applyAlignment="1"/>
    <xf numFmtId="177" fontId="3" fillId="0" borderId="0" xfId="1" applyNumberFormat="1" applyFont="1" applyAlignment="1"/>
    <xf numFmtId="177" fontId="1" fillId="0" borderId="1" xfId="0" applyNumberFormat="1" applyFont="1" applyFill="1" applyBorder="1" applyAlignment="1"/>
    <xf numFmtId="0" fontId="2" fillId="3" borderId="0" xfId="0" applyFont="1" applyFill="1" applyAlignment="1">
      <alignment horizontal="left"/>
    </xf>
    <xf numFmtId="177" fontId="2" fillId="3" borderId="0" xfId="1" applyNumberFormat="1" applyFont="1" applyFill="1" applyAlignment="1">
      <alignment horizontal="left" indent="1"/>
    </xf>
    <xf numFmtId="0" fontId="8" fillId="0" borderId="0" xfId="0" applyFont="1" applyFill="1" applyAlignment="1">
      <alignment horizontal="left"/>
    </xf>
    <xf numFmtId="9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20034;&#23398;&#34701;&#36164;&#26448;&#26009;2017.07/3/Group%20Financial%20Model-Classba-SIG%20by%20Semester%2020170630%20V3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单店招生及留存假设-基础版"/>
      <sheetName val=" 单店模型-基础版"/>
      <sheetName val="单店招生及留存假设-加强版 500"/>
      <sheetName val=" 单店模型-加强版 500"/>
      <sheetName val="Summary--&gt;"/>
      <sheetName val="集团报表"/>
      <sheetName val="直营业务--&gt;"/>
      <sheetName val="单店招生及留存假设-直营"/>
      <sheetName val=" 单店模型-直营"/>
      <sheetName val="直营业务"/>
      <sheetName val="加盟业务--&gt;"/>
      <sheetName val="招生及留存假设-加盟"/>
      <sheetName val=" 单店模型-加盟"/>
      <sheetName val="加盟业务"/>
      <sheetName val="线上业务--&gt;"/>
      <sheetName val="线上业务"/>
      <sheetName val="支持信息--&gt;"/>
      <sheetName val="学校增长"/>
      <sheetName val="部门人员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>
            <v>30</v>
          </cell>
          <cell r="D4">
            <v>50</v>
          </cell>
          <cell r="E4">
            <v>50</v>
          </cell>
          <cell r="F4">
            <v>30</v>
          </cell>
          <cell r="G4">
            <v>36</v>
          </cell>
          <cell r="H4">
            <v>60</v>
          </cell>
          <cell r="I4">
            <v>60</v>
          </cell>
          <cell r="J4">
            <v>36</v>
          </cell>
          <cell r="K4">
            <v>40</v>
          </cell>
          <cell r="L4">
            <v>65</v>
          </cell>
          <cell r="M4">
            <v>65</v>
          </cell>
          <cell r="N4">
            <v>40</v>
          </cell>
          <cell r="O4">
            <v>50</v>
          </cell>
          <cell r="P4">
            <v>70</v>
          </cell>
          <cell r="Q4">
            <v>70</v>
          </cell>
          <cell r="R4">
            <v>50</v>
          </cell>
        </row>
        <row r="25">
          <cell r="C25">
            <v>30</v>
          </cell>
          <cell r="D25">
            <v>71</v>
          </cell>
          <cell r="E25">
            <v>103.9</v>
          </cell>
          <cell r="F25">
            <v>113.51</v>
          </cell>
          <cell r="G25">
            <v>132.15899999999999</v>
          </cell>
          <cell r="H25">
            <v>171.7431</v>
          </cell>
          <cell r="I25">
            <v>202.56879000000001</v>
          </cell>
          <cell r="J25">
            <v>206.31191100000001</v>
          </cell>
          <cell r="K25">
            <v>218.4807199</v>
          </cell>
          <cell r="L25">
            <v>253.63264791</v>
          </cell>
          <cell r="M25">
            <v>280.269383119</v>
          </cell>
          <cell r="N25">
            <v>270.14244480709999</v>
          </cell>
          <cell r="O25">
            <v>278.5381778085</v>
          </cell>
          <cell r="P25">
            <v>299.70098916450002</v>
          </cell>
          <cell r="Q25">
            <v>314.74751938489999</v>
          </cell>
          <cell r="R25">
            <v>312.68274492851998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selection activeCell="B8" sqref="B8"/>
    </sheetView>
  </sheetViews>
  <sheetFormatPr baseColWidth="10" defaultColWidth="10" defaultRowHeight="16" x14ac:dyDescent="0.2"/>
  <cols>
    <col min="1" max="1" width="25.1640625" style="7" customWidth="1"/>
    <col min="2" max="2" width="12.5" style="7" customWidth="1"/>
    <col min="3" max="3" width="11.1640625" style="7" customWidth="1"/>
    <col min="4" max="4" width="11.6640625" style="7" customWidth="1"/>
    <col min="5" max="5" width="11" style="7" customWidth="1"/>
    <col min="6" max="6" width="10.1640625" style="7" customWidth="1"/>
    <col min="7" max="18" width="12.33203125" style="7" customWidth="1"/>
    <col min="19" max="19" width="13.1640625" style="7" customWidth="1"/>
    <col min="20" max="16384" width="10" style="7"/>
  </cols>
  <sheetData>
    <row r="1" spans="1:19" s="1" customFormat="1" x14ac:dyDescent="0.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</row>
    <row r="2" spans="1:19" s="1" customFormat="1" x14ac:dyDescent="0.2">
      <c r="A2" s="1" t="s">
        <v>17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9" s="2" customFormat="1" x14ac:dyDescent="0.2">
      <c r="A3" s="2" t="s">
        <v>18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2" t="s">
        <v>19</v>
      </c>
    </row>
    <row r="4" spans="1:19" s="1" customFormat="1" x14ac:dyDescent="0.2">
      <c r="A4" s="1" t="s">
        <v>20</v>
      </c>
      <c r="B4" s="13"/>
      <c r="C4" s="13">
        <f t="shared" ref="C4:R4" si="0">C5*C10*C9</f>
        <v>168000</v>
      </c>
      <c r="D4" s="13">
        <f t="shared" si="0"/>
        <v>397600</v>
      </c>
      <c r="E4" s="13">
        <f t="shared" si="0"/>
        <v>872760</v>
      </c>
      <c r="F4" s="13">
        <f t="shared" si="0"/>
        <v>953483.99999999988</v>
      </c>
      <c r="G4" s="13">
        <f t="shared" si="0"/>
        <v>1268726.4000000001</v>
      </c>
      <c r="H4" s="13">
        <f t="shared" si="0"/>
        <v>1648733.76</v>
      </c>
      <c r="I4" s="13">
        <f t="shared" si="0"/>
        <v>2592880.5120000001</v>
      </c>
      <c r="J4" s="13">
        <f t="shared" si="0"/>
        <v>2640792.4608000005</v>
      </c>
      <c r="K4" s="13">
        <f t="shared" si="0"/>
        <v>3495691.5183999999</v>
      </c>
      <c r="L4" s="13">
        <f t="shared" si="0"/>
        <v>4058122.36656</v>
      </c>
      <c r="M4" s="13">
        <f t="shared" si="0"/>
        <v>4484310.1299040001</v>
      </c>
      <c r="N4" s="13">
        <f t="shared" si="0"/>
        <v>4322279.1169135999</v>
      </c>
      <c r="O4" s="13">
        <f t="shared" si="0"/>
        <v>4456610.8449360002</v>
      </c>
      <c r="P4" s="13">
        <f t="shared" si="0"/>
        <v>4795215.8266320005</v>
      </c>
      <c r="Q4" s="13">
        <f t="shared" si="0"/>
        <v>5035960.3101583999</v>
      </c>
      <c r="R4" s="13">
        <f t="shared" si="0"/>
        <v>5002923.91885632</v>
      </c>
      <c r="S4" s="26"/>
    </row>
    <row r="5" spans="1:19" x14ac:dyDescent="0.2">
      <c r="A5" s="14" t="s">
        <v>21</v>
      </c>
      <c r="B5" s="15"/>
      <c r="C5" s="15">
        <f>'[1]招生及留存假设-加盟'!C25</f>
        <v>30</v>
      </c>
      <c r="D5" s="15">
        <f>'[1]招生及留存假设-加盟'!D25</f>
        <v>71</v>
      </c>
      <c r="E5" s="15">
        <f>'[1]招生及留存假设-加盟'!E25</f>
        <v>103.9</v>
      </c>
      <c r="F5" s="15">
        <f>'[1]招生及留存假设-加盟'!F25</f>
        <v>113.51</v>
      </c>
      <c r="G5" s="15">
        <f>'[1]招生及留存假设-加盟'!G25</f>
        <v>132.15899999999999</v>
      </c>
      <c r="H5" s="15">
        <f>'[1]招生及留存假设-加盟'!H25</f>
        <v>171.7431</v>
      </c>
      <c r="I5" s="15">
        <f>'[1]招生及留存假设-加盟'!I25</f>
        <v>202.56879000000001</v>
      </c>
      <c r="J5" s="15">
        <f>'[1]招生及留存假设-加盟'!J25</f>
        <v>206.31191100000001</v>
      </c>
      <c r="K5" s="15">
        <f>'[1]招生及留存假设-加盟'!K25</f>
        <v>218.4807199</v>
      </c>
      <c r="L5" s="15">
        <f>'[1]招生及留存假设-加盟'!L25</f>
        <v>253.63264791</v>
      </c>
      <c r="M5" s="15">
        <f>'[1]招生及留存假设-加盟'!M25</f>
        <v>280.269383119</v>
      </c>
      <c r="N5" s="15">
        <f>'[1]招生及留存假设-加盟'!N25</f>
        <v>270.14244480709999</v>
      </c>
      <c r="O5" s="15">
        <f>'[1]招生及留存假设-加盟'!O25</f>
        <v>278.5381778085</v>
      </c>
      <c r="P5" s="15">
        <f>'[1]招生及留存假设-加盟'!P25</f>
        <v>299.70098916450002</v>
      </c>
      <c r="Q5" s="15">
        <f>'[1]招生及留存假设-加盟'!Q25</f>
        <v>314.74751938489999</v>
      </c>
      <c r="R5" s="15">
        <f>'[1]招生及留存假设-加盟'!R25</f>
        <v>312.68274492851998</v>
      </c>
      <c r="S5" s="26"/>
    </row>
    <row r="6" spans="1:19" x14ac:dyDescent="0.2">
      <c r="A6" s="14" t="s">
        <v>22</v>
      </c>
      <c r="B6" s="15"/>
      <c r="C6" s="16">
        <v>1</v>
      </c>
      <c r="D6" s="16">
        <f t="shared" ref="D6:H6" si="1">C6</f>
        <v>1</v>
      </c>
      <c r="E6" s="16">
        <v>1.5</v>
      </c>
      <c r="F6" s="16">
        <f t="shared" si="1"/>
        <v>1.5</v>
      </c>
      <c r="G6" s="16">
        <f t="shared" si="1"/>
        <v>1.5</v>
      </c>
      <c r="H6" s="16">
        <f t="shared" si="1"/>
        <v>1.5</v>
      </c>
      <c r="I6" s="16">
        <v>2</v>
      </c>
      <c r="J6" s="16">
        <f t="shared" ref="J6:N6" si="2">I6</f>
        <v>2</v>
      </c>
      <c r="K6" s="16">
        <f t="shared" si="2"/>
        <v>2</v>
      </c>
      <c r="L6" s="16">
        <f t="shared" si="2"/>
        <v>2</v>
      </c>
      <c r="M6" s="16">
        <f t="shared" si="2"/>
        <v>2</v>
      </c>
      <c r="N6" s="16">
        <f t="shared" si="2"/>
        <v>2</v>
      </c>
      <c r="O6" s="16">
        <v>2</v>
      </c>
      <c r="P6" s="16">
        <f t="shared" ref="P6:R6" si="3">O6</f>
        <v>2</v>
      </c>
      <c r="Q6" s="16">
        <f t="shared" si="3"/>
        <v>2</v>
      </c>
      <c r="R6" s="16">
        <f t="shared" si="3"/>
        <v>2</v>
      </c>
      <c r="S6" s="26"/>
    </row>
    <row r="7" spans="1:19" hidden="1" x14ac:dyDescent="0.2">
      <c r="A7" s="14" t="s">
        <v>23</v>
      </c>
      <c r="B7" s="15"/>
      <c r="C7" s="17">
        <v>17</v>
      </c>
      <c r="D7" s="17">
        <f t="shared" ref="D7:R7" si="4">C7</f>
        <v>17</v>
      </c>
      <c r="E7" s="18">
        <f t="shared" si="4"/>
        <v>17</v>
      </c>
      <c r="F7" s="18">
        <f t="shared" si="4"/>
        <v>17</v>
      </c>
      <c r="G7" s="18">
        <f t="shared" si="4"/>
        <v>17</v>
      </c>
      <c r="H7" s="17">
        <f t="shared" si="4"/>
        <v>17</v>
      </c>
      <c r="I7" s="18">
        <f t="shared" si="4"/>
        <v>17</v>
      </c>
      <c r="J7" s="18">
        <f t="shared" si="4"/>
        <v>17</v>
      </c>
      <c r="K7" s="18">
        <f t="shared" si="4"/>
        <v>17</v>
      </c>
      <c r="L7" s="17">
        <f t="shared" si="4"/>
        <v>17</v>
      </c>
      <c r="M7" s="18">
        <f t="shared" si="4"/>
        <v>17</v>
      </c>
      <c r="N7" s="18">
        <f t="shared" si="4"/>
        <v>17</v>
      </c>
      <c r="O7" s="18">
        <f t="shared" si="4"/>
        <v>17</v>
      </c>
      <c r="P7" s="17">
        <f t="shared" si="4"/>
        <v>17</v>
      </c>
      <c r="Q7" s="18">
        <f t="shared" si="4"/>
        <v>17</v>
      </c>
      <c r="R7" s="18">
        <f t="shared" si="4"/>
        <v>17</v>
      </c>
      <c r="S7" s="26"/>
    </row>
    <row r="8" spans="1:19" x14ac:dyDescent="0.2">
      <c r="A8" s="14" t="s">
        <v>24</v>
      </c>
      <c r="B8" s="15"/>
      <c r="C8" s="17">
        <v>8000</v>
      </c>
      <c r="D8" s="17">
        <f t="shared" ref="D8:R8" si="5">C8</f>
        <v>8000</v>
      </c>
      <c r="E8" s="17">
        <f t="shared" si="5"/>
        <v>8000</v>
      </c>
      <c r="F8" s="17">
        <f t="shared" si="5"/>
        <v>8000</v>
      </c>
      <c r="G8" s="17">
        <f t="shared" si="5"/>
        <v>8000</v>
      </c>
      <c r="H8" s="17">
        <f t="shared" si="5"/>
        <v>8000</v>
      </c>
      <c r="I8" s="17">
        <f t="shared" si="5"/>
        <v>8000</v>
      </c>
      <c r="J8" s="17">
        <f t="shared" si="5"/>
        <v>8000</v>
      </c>
      <c r="K8" s="17">
        <f t="shared" si="5"/>
        <v>8000</v>
      </c>
      <c r="L8" s="17">
        <f t="shared" si="5"/>
        <v>8000</v>
      </c>
      <c r="M8" s="17">
        <f t="shared" si="5"/>
        <v>8000</v>
      </c>
      <c r="N8" s="17">
        <f t="shared" si="5"/>
        <v>8000</v>
      </c>
      <c r="O8" s="17">
        <f t="shared" si="5"/>
        <v>8000</v>
      </c>
      <c r="P8" s="17">
        <f t="shared" si="5"/>
        <v>8000</v>
      </c>
      <c r="Q8" s="17">
        <f t="shared" si="5"/>
        <v>8000</v>
      </c>
      <c r="R8" s="17">
        <f t="shared" si="5"/>
        <v>8000</v>
      </c>
      <c r="S8" s="52"/>
    </row>
    <row r="9" spans="1:19" x14ac:dyDescent="0.2">
      <c r="A9" s="14" t="s">
        <v>25</v>
      </c>
      <c r="B9" s="19"/>
      <c r="C9" s="20">
        <v>0.7</v>
      </c>
      <c r="D9" s="20">
        <f t="shared" ref="D9:J9" si="6">C9</f>
        <v>0.7</v>
      </c>
      <c r="E9" s="20">
        <f t="shared" si="6"/>
        <v>0.7</v>
      </c>
      <c r="F9" s="20">
        <f t="shared" si="6"/>
        <v>0.7</v>
      </c>
      <c r="G9" s="20">
        <v>0.8</v>
      </c>
      <c r="H9" s="20">
        <f t="shared" si="6"/>
        <v>0.8</v>
      </c>
      <c r="I9" s="20">
        <f t="shared" si="6"/>
        <v>0.8</v>
      </c>
      <c r="J9" s="20">
        <f t="shared" si="6"/>
        <v>0.8</v>
      </c>
      <c r="K9" s="20">
        <v>1</v>
      </c>
      <c r="L9" s="20">
        <f t="shared" ref="L9:R9" si="7">K9</f>
        <v>1</v>
      </c>
      <c r="M9" s="20">
        <f t="shared" si="7"/>
        <v>1</v>
      </c>
      <c r="N9" s="20">
        <f t="shared" si="7"/>
        <v>1</v>
      </c>
      <c r="O9" s="20">
        <f t="shared" si="7"/>
        <v>1</v>
      </c>
      <c r="P9" s="20">
        <f t="shared" si="7"/>
        <v>1</v>
      </c>
      <c r="Q9" s="20">
        <f t="shared" si="7"/>
        <v>1</v>
      </c>
      <c r="R9" s="20">
        <f t="shared" si="7"/>
        <v>1</v>
      </c>
      <c r="S9" s="26"/>
    </row>
    <row r="10" spans="1:19" x14ac:dyDescent="0.2">
      <c r="A10" s="14" t="s">
        <v>26</v>
      </c>
      <c r="B10" s="15"/>
      <c r="C10" s="21">
        <f t="shared" ref="C10:R10" si="8">C6*C8</f>
        <v>8000</v>
      </c>
      <c r="D10" s="21">
        <f t="shared" si="8"/>
        <v>8000</v>
      </c>
      <c r="E10" s="21">
        <f t="shared" si="8"/>
        <v>12000</v>
      </c>
      <c r="F10" s="21">
        <f t="shared" si="8"/>
        <v>12000</v>
      </c>
      <c r="G10" s="21">
        <f t="shared" si="8"/>
        <v>12000</v>
      </c>
      <c r="H10" s="21">
        <f t="shared" si="8"/>
        <v>12000</v>
      </c>
      <c r="I10" s="21">
        <f t="shared" si="8"/>
        <v>16000</v>
      </c>
      <c r="J10" s="21">
        <f t="shared" si="8"/>
        <v>16000</v>
      </c>
      <c r="K10" s="21">
        <f t="shared" si="8"/>
        <v>16000</v>
      </c>
      <c r="L10" s="21">
        <f t="shared" si="8"/>
        <v>16000</v>
      </c>
      <c r="M10" s="21">
        <f t="shared" si="8"/>
        <v>16000</v>
      </c>
      <c r="N10" s="21">
        <f t="shared" si="8"/>
        <v>16000</v>
      </c>
      <c r="O10" s="21">
        <f t="shared" si="8"/>
        <v>16000</v>
      </c>
      <c r="P10" s="21">
        <f t="shared" si="8"/>
        <v>16000</v>
      </c>
      <c r="Q10" s="21">
        <f t="shared" si="8"/>
        <v>16000</v>
      </c>
      <c r="R10" s="21">
        <f t="shared" si="8"/>
        <v>16000</v>
      </c>
      <c r="S10" s="26"/>
    </row>
    <row r="11" spans="1:19" x14ac:dyDescent="0.2">
      <c r="A11" s="7" t="s">
        <v>27</v>
      </c>
      <c r="B11" s="15">
        <f t="shared" ref="B11:R11" si="9">SUM(B12,B13,B16,B20)</f>
        <v>62500</v>
      </c>
      <c r="C11" s="15">
        <f t="shared" si="9"/>
        <v>159100</v>
      </c>
      <c r="D11" s="15">
        <f t="shared" si="9"/>
        <v>225520</v>
      </c>
      <c r="E11" s="15">
        <f t="shared" si="9"/>
        <v>337002</v>
      </c>
      <c r="F11" s="15">
        <f t="shared" si="9"/>
        <v>357951.8</v>
      </c>
      <c r="G11" s="15">
        <f t="shared" si="9"/>
        <v>430324.78</v>
      </c>
      <c r="H11" s="15">
        <f t="shared" si="9"/>
        <v>526118.30200000003</v>
      </c>
      <c r="I11" s="15">
        <f t="shared" si="9"/>
        <v>730360.49739999999</v>
      </c>
      <c r="J11" s="15">
        <f t="shared" si="9"/>
        <v>741814.44766000018</v>
      </c>
      <c r="K11" s="15">
        <f t="shared" si="9"/>
        <v>918878.66363000008</v>
      </c>
      <c r="L11" s="15">
        <f t="shared" si="9"/>
        <v>1048940.797267</v>
      </c>
      <c r="M11" s="15">
        <f t="shared" si="9"/>
        <v>1147496.7175403</v>
      </c>
      <c r="N11" s="15">
        <f t="shared" si="9"/>
        <v>1110027.0457862699</v>
      </c>
      <c r="O11" s="15">
        <f t="shared" si="9"/>
        <v>1263961.8863728039</v>
      </c>
      <c r="P11" s="15">
        <f t="shared" si="9"/>
        <v>1349319.9696960945</v>
      </c>
      <c r="Q11" s="15">
        <f t="shared" si="9"/>
        <v>1410008.6446870556</v>
      </c>
      <c r="R11" s="15">
        <f t="shared" si="9"/>
        <v>1401680.5833946925</v>
      </c>
      <c r="S11" s="26"/>
    </row>
    <row r="12" spans="1:19" x14ac:dyDescent="0.2">
      <c r="A12" s="14" t="s">
        <v>28</v>
      </c>
      <c r="B12" s="15">
        <f t="shared" ref="B12:R12" si="10">B4*$S$12</f>
        <v>0</v>
      </c>
      <c r="C12" s="15">
        <f t="shared" si="10"/>
        <v>33600</v>
      </c>
      <c r="D12" s="15">
        <f t="shared" si="10"/>
        <v>79520</v>
      </c>
      <c r="E12" s="15">
        <f t="shared" si="10"/>
        <v>174552</v>
      </c>
      <c r="F12" s="15">
        <f t="shared" si="10"/>
        <v>190696.8</v>
      </c>
      <c r="G12" s="15">
        <f t="shared" si="10"/>
        <v>253745.28000000003</v>
      </c>
      <c r="H12" s="15">
        <f t="shared" si="10"/>
        <v>329746.75200000004</v>
      </c>
      <c r="I12" s="15">
        <f t="shared" si="10"/>
        <v>518576.10240000003</v>
      </c>
      <c r="J12" s="15">
        <f t="shared" si="10"/>
        <v>528158.49216000014</v>
      </c>
      <c r="K12" s="15">
        <f t="shared" si="10"/>
        <v>699138.30368000001</v>
      </c>
      <c r="L12" s="15">
        <f t="shared" si="10"/>
        <v>811624.47331200005</v>
      </c>
      <c r="M12" s="15">
        <f t="shared" si="10"/>
        <v>896862.02598080004</v>
      </c>
      <c r="N12" s="15">
        <f t="shared" si="10"/>
        <v>864455.82338272</v>
      </c>
      <c r="O12" s="15">
        <f t="shared" si="10"/>
        <v>891322.16898720013</v>
      </c>
      <c r="P12" s="15">
        <f t="shared" si="10"/>
        <v>959043.16532640019</v>
      </c>
      <c r="Q12" s="15">
        <f t="shared" si="10"/>
        <v>1007192.06203168</v>
      </c>
      <c r="R12" s="15">
        <f t="shared" si="10"/>
        <v>1000584.783771264</v>
      </c>
      <c r="S12" s="53">
        <v>0.2</v>
      </c>
    </row>
    <row r="13" spans="1:19" s="3" customFormat="1" x14ac:dyDescent="0.2">
      <c r="A13" s="22" t="s">
        <v>29</v>
      </c>
      <c r="B13" s="21">
        <f t="shared" ref="B13:R13" si="11">ROUNDUP(B14*B15*90,0)</f>
        <v>62500</v>
      </c>
      <c r="C13" s="21">
        <f t="shared" si="11"/>
        <v>62500</v>
      </c>
      <c r="D13" s="21">
        <f t="shared" si="11"/>
        <v>62500</v>
      </c>
      <c r="E13" s="21">
        <f t="shared" si="11"/>
        <v>62500</v>
      </c>
      <c r="F13" s="21">
        <f t="shared" si="11"/>
        <v>62500</v>
      </c>
      <c r="G13" s="21">
        <f t="shared" si="11"/>
        <v>62500</v>
      </c>
      <c r="H13" s="21">
        <f t="shared" si="11"/>
        <v>62500</v>
      </c>
      <c r="I13" s="21">
        <f t="shared" si="11"/>
        <v>62500</v>
      </c>
      <c r="J13" s="21">
        <f t="shared" si="11"/>
        <v>62500</v>
      </c>
      <c r="K13" s="21">
        <f t="shared" si="11"/>
        <v>62500</v>
      </c>
      <c r="L13" s="21">
        <f t="shared" si="11"/>
        <v>62500</v>
      </c>
      <c r="M13" s="21">
        <f t="shared" si="11"/>
        <v>62500</v>
      </c>
      <c r="N13" s="21">
        <f t="shared" si="11"/>
        <v>62500</v>
      </c>
      <c r="O13" s="21">
        <f t="shared" si="11"/>
        <v>62500</v>
      </c>
      <c r="P13" s="21">
        <f t="shared" si="11"/>
        <v>62500</v>
      </c>
      <c r="Q13" s="21">
        <f t="shared" si="11"/>
        <v>62500</v>
      </c>
      <c r="R13" s="21">
        <f t="shared" si="11"/>
        <v>62500</v>
      </c>
      <c r="S13" s="26"/>
    </row>
    <row r="14" spans="1:19" x14ac:dyDescent="0.2">
      <c r="A14" s="23" t="s">
        <v>30</v>
      </c>
      <c r="B14" s="17">
        <v>300</v>
      </c>
      <c r="C14" s="17">
        <f t="shared" ref="C14:R14" si="12">B14</f>
        <v>300</v>
      </c>
      <c r="D14" s="17">
        <f t="shared" si="12"/>
        <v>300</v>
      </c>
      <c r="E14" s="17">
        <f t="shared" si="12"/>
        <v>300</v>
      </c>
      <c r="F14" s="17">
        <f t="shared" si="12"/>
        <v>300</v>
      </c>
      <c r="G14" s="17">
        <f t="shared" si="12"/>
        <v>300</v>
      </c>
      <c r="H14" s="17">
        <f t="shared" si="12"/>
        <v>300</v>
      </c>
      <c r="I14" s="17">
        <f t="shared" si="12"/>
        <v>300</v>
      </c>
      <c r="J14" s="17">
        <f t="shared" si="12"/>
        <v>300</v>
      </c>
      <c r="K14" s="17">
        <f t="shared" si="12"/>
        <v>300</v>
      </c>
      <c r="L14" s="17">
        <f t="shared" si="12"/>
        <v>300</v>
      </c>
      <c r="M14" s="17">
        <f t="shared" si="12"/>
        <v>300</v>
      </c>
      <c r="N14" s="17">
        <f t="shared" si="12"/>
        <v>300</v>
      </c>
      <c r="O14" s="17">
        <f t="shared" si="12"/>
        <v>300</v>
      </c>
      <c r="P14" s="17">
        <f t="shared" si="12"/>
        <v>300</v>
      </c>
      <c r="Q14" s="17">
        <f t="shared" si="12"/>
        <v>300</v>
      </c>
      <c r="R14" s="17">
        <f t="shared" si="12"/>
        <v>300</v>
      </c>
      <c r="S14" s="26"/>
    </row>
    <row r="15" spans="1:19" x14ac:dyDescent="0.2">
      <c r="A15" s="23" t="s">
        <v>31</v>
      </c>
      <c r="B15" s="24">
        <f>2.3148</f>
        <v>2.3148</v>
      </c>
      <c r="C15" s="24">
        <f>2.3148</f>
        <v>2.3148</v>
      </c>
      <c r="D15" s="24">
        <f t="shared" ref="D15:R15" si="13">C15</f>
        <v>2.3148</v>
      </c>
      <c r="E15" s="24">
        <f t="shared" si="13"/>
        <v>2.3148</v>
      </c>
      <c r="F15" s="24">
        <f t="shared" si="13"/>
        <v>2.3148</v>
      </c>
      <c r="G15" s="24">
        <f t="shared" si="13"/>
        <v>2.3148</v>
      </c>
      <c r="H15" s="24">
        <f t="shared" si="13"/>
        <v>2.3148</v>
      </c>
      <c r="I15" s="24">
        <f t="shared" si="13"/>
        <v>2.3148</v>
      </c>
      <c r="J15" s="24">
        <f t="shared" si="13"/>
        <v>2.3148</v>
      </c>
      <c r="K15" s="24">
        <f t="shared" si="13"/>
        <v>2.3148</v>
      </c>
      <c r="L15" s="24">
        <f t="shared" si="13"/>
        <v>2.3148</v>
      </c>
      <c r="M15" s="24">
        <f t="shared" si="13"/>
        <v>2.3148</v>
      </c>
      <c r="N15" s="24">
        <f t="shared" si="13"/>
        <v>2.3148</v>
      </c>
      <c r="O15" s="24">
        <f t="shared" si="13"/>
        <v>2.3148</v>
      </c>
      <c r="P15" s="24">
        <f t="shared" si="13"/>
        <v>2.3148</v>
      </c>
      <c r="Q15" s="24">
        <f t="shared" si="13"/>
        <v>2.3148</v>
      </c>
      <c r="R15" s="24">
        <f t="shared" si="13"/>
        <v>2.3148</v>
      </c>
      <c r="S15" s="26"/>
    </row>
    <row r="16" spans="1:19" x14ac:dyDescent="0.2">
      <c r="A16" s="14" t="s">
        <v>32</v>
      </c>
      <c r="B16" s="15"/>
      <c r="C16" s="15">
        <f t="shared" ref="C16:R16" si="14">C17*C18*3</f>
        <v>60000</v>
      </c>
      <c r="D16" s="15">
        <f t="shared" si="14"/>
        <v>80500</v>
      </c>
      <c r="E16" s="15">
        <f t="shared" si="14"/>
        <v>96950</v>
      </c>
      <c r="F16" s="15">
        <f t="shared" si="14"/>
        <v>101755</v>
      </c>
      <c r="G16" s="15">
        <f t="shared" si="14"/>
        <v>111079.5</v>
      </c>
      <c r="H16" s="15">
        <f t="shared" si="14"/>
        <v>130871.54999999999</v>
      </c>
      <c r="I16" s="15">
        <f t="shared" si="14"/>
        <v>146284.39499999999</v>
      </c>
      <c r="J16" s="15">
        <f t="shared" si="14"/>
        <v>148155.95550000001</v>
      </c>
      <c r="K16" s="15">
        <f t="shared" si="14"/>
        <v>154240.35995000001</v>
      </c>
      <c r="L16" s="15">
        <f t="shared" si="14"/>
        <v>171816.32395499997</v>
      </c>
      <c r="M16" s="15">
        <f t="shared" si="14"/>
        <v>185134.6915595</v>
      </c>
      <c r="N16" s="15">
        <f t="shared" si="14"/>
        <v>180071.22240355</v>
      </c>
      <c r="O16" s="15">
        <f t="shared" si="14"/>
        <v>307139.71738560387</v>
      </c>
      <c r="P16" s="15">
        <f t="shared" si="14"/>
        <v>324776.80436969432</v>
      </c>
      <c r="Q16" s="15">
        <f t="shared" si="14"/>
        <v>337316.58265537559</v>
      </c>
      <c r="R16" s="15">
        <f t="shared" si="14"/>
        <v>335595.79962342861</v>
      </c>
      <c r="S16" s="26"/>
    </row>
    <row r="17" spans="1:19" x14ac:dyDescent="0.2">
      <c r="A17" s="23" t="s">
        <v>33</v>
      </c>
      <c r="B17" s="25"/>
      <c r="C17" s="17">
        <f t="shared" ref="C17:R17" si="15">C5/30+3</f>
        <v>4</v>
      </c>
      <c r="D17" s="17">
        <f t="shared" si="15"/>
        <v>5.3666666666666671</v>
      </c>
      <c r="E17" s="17">
        <f t="shared" si="15"/>
        <v>6.4633333333333329</v>
      </c>
      <c r="F17" s="17">
        <f t="shared" si="15"/>
        <v>6.783666666666667</v>
      </c>
      <c r="G17" s="17">
        <f t="shared" si="15"/>
        <v>7.4052999999999995</v>
      </c>
      <c r="H17" s="17">
        <f t="shared" si="15"/>
        <v>8.7247699999999995</v>
      </c>
      <c r="I17" s="17">
        <f t="shared" si="15"/>
        <v>9.7522929999999999</v>
      </c>
      <c r="J17" s="17">
        <f t="shared" si="15"/>
        <v>9.8770637000000008</v>
      </c>
      <c r="K17" s="17">
        <f t="shared" si="15"/>
        <v>10.282690663333334</v>
      </c>
      <c r="L17" s="17">
        <f t="shared" si="15"/>
        <v>11.454421597</v>
      </c>
      <c r="M17" s="17">
        <f t="shared" si="15"/>
        <v>12.342312770633333</v>
      </c>
      <c r="N17" s="17">
        <f t="shared" si="15"/>
        <v>12.004748160236666</v>
      </c>
      <c r="O17" s="17">
        <f t="shared" si="15"/>
        <v>12.28460592695</v>
      </c>
      <c r="P17" s="17">
        <f t="shared" si="15"/>
        <v>12.990032972150001</v>
      </c>
      <c r="Q17" s="17">
        <f t="shared" si="15"/>
        <v>13.491583979496665</v>
      </c>
      <c r="R17" s="17">
        <f t="shared" si="15"/>
        <v>13.422758164284</v>
      </c>
      <c r="S17" s="26"/>
    </row>
    <row r="18" spans="1:19" x14ac:dyDescent="0.2">
      <c r="A18" s="23" t="s">
        <v>34</v>
      </c>
      <c r="B18" s="25"/>
      <c r="C18" s="17">
        <v>5000</v>
      </c>
      <c r="D18" s="17">
        <f t="shared" ref="D18:N18" si="16">C18</f>
        <v>5000</v>
      </c>
      <c r="E18" s="17">
        <f t="shared" si="16"/>
        <v>5000</v>
      </c>
      <c r="F18" s="17">
        <f t="shared" si="16"/>
        <v>5000</v>
      </c>
      <c r="G18" s="17">
        <f t="shared" si="16"/>
        <v>5000</v>
      </c>
      <c r="H18" s="17">
        <f t="shared" si="16"/>
        <v>5000</v>
      </c>
      <c r="I18" s="17">
        <f t="shared" si="16"/>
        <v>5000</v>
      </c>
      <c r="J18" s="17">
        <f t="shared" si="16"/>
        <v>5000</v>
      </c>
      <c r="K18" s="17">
        <f t="shared" si="16"/>
        <v>5000</v>
      </c>
      <c r="L18" s="17">
        <f t="shared" si="16"/>
        <v>5000</v>
      </c>
      <c r="M18" s="17">
        <f t="shared" si="16"/>
        <v>5000</v>
      </c>
      <c r="N18" s="17">
        <f t="shared" si="16"/>
        <v>5000</v>
      </c>
      <c r="O18" s="17">
        <v>8334</v>
      </c>
      <c r="P18" s="17">
        <f t="shared" ref="P18:R18" si="17">O18</f>
        <v>8334</v>
      </c>
      <c r="Q18" s="17">
        <f t="shared" si="17"/>
        <v>8334</v>
      </c>
      <c r="R18" s="17">
        <f t="shared" si="17"/>
        <v>8334</v>
      </c>
      <c r="S18" s="26"/>
    </row>
    <row r="19" spans="1:19" x14ac:dyDescent="0.2">
      <c r="A19" s="23" t="s">
        <v>35</v>
      </c>
      <c r="B19" s="25"/>
      <c r="C19" s="21">
        <f t="shared" ref="C19:R19" si="18">C5/C17</f>
        <v>7.5</v>
      </c>
      <c r="D19" s="21">
        <f t="shared" si="18"/>
        <v>13.229813664596271</v>
      </c>
      <c r="E19" s="21">
        <f t="shared" si="18"/>
        <v>16.075296544610627</v>
      </c>
      <c r="F19" s="21">
        <f t="shared" si="18"/>
        <v>16.732838681145889</v>
      </c>
      <c r="G19" s="21">
        <f t="shared" si="18"/>
        <v>17.8465423412961</v>
      </c>
      <c r="H19" s="21">
        <f t="shared" si="18"/>
        <v>19.684541827463647</v>
      </c>
      <c r="I19" s="21">
        <f t="shared" si="18"/>
        <v>20.771401146376551</v>
      </c>
      <c r="J19" s="21">
        <f t="shared" si="18"/>
        <v>20.887980200026451</v>
      </c>
      <c r="K19" s="21">
        <f t="shared" si="18"/>
        <v>21.247427064889962</v>
      </c>
      <c r="L19" s="21">
        <f t="shared" si="18"/>
        <v>22.142772182964553</v>
      </c>
      <c r="M19" s="21">
        <f t="shared" si="18"/>
        <v>22.708011725797341</v>
      </c>
      <c r="N19" s="21">
        <f t="shared" si="18"/>
        <v>22.502966426392263</v>
      </c>
      <c r="O19" s="21">
        <f t="shared" si="18"/>
        <v>22.673757665880206</v>
      </c>
      <c r="P19" s="21">
        <f t="shared" si="18"/>
        <v>23.07161111962105</v>
      </c>
      <c r="Q19" s="21">
        <f t="shared" si="18"/>
        <v>23.329174681284709</v>
      </c>
      <c r="R19" s="21">
        <f t="shared" si="18"/>
        <v>23.294969714981764</v>
      </c>
      <c r="S19" s="26"/>
    </row>
    <row r="20" spans="1:19" x14ac:dyDescent="0.2">
      <c r="A20" s="14" t="s">
        <v>36</v>
      </c>
      <c r="B20" s="25"/>
      <c r="C20" s="17">
        <v>3000</v>
      </c>
      <c r="D20" s="17">
        <f t="shared" ref="D20:R20" si="19">C20</f>
        <v>3000</v>
      </c>
      <c r="E20" s="17">
        <f t="shared" si="19"/>
        <v>3000</v>
      </c>
      <c r="F20" s="17">
        <f t="shared" si="19"/>
        <v>3000</v>
      </c>
      <c r="G20" s="17">
        <f t="shared" si="19"/>
        <v>3000</v>
      </c>
      <c r="H20" s="17">
        <f t="shared" si="19"/>
        <v>3000</v>
      </c>
      <c r="I20" s="17">
        <f t="shared" si="19"/>
        <v>3000</v>
      </c>
      <c r="J20" s="17">
        <f t="shared" si="19"/>
        <v>3000</v>
      </c>
      <c r="K20" s="17">
        <f t="shared" si="19"/>
        <v>3000</v>
      </c>
      <c r="L20" s="17">
        <f t="shared" si="19"/>
        <v>3000</v>
      </c>
      <c r="M20" s="17">
        <f t="shared" si="19"/>
        <v>3000</v>
      </c>
      <c r="N20" s="17">
        <f t="shared" si="19"/>
        <v>3000</v>
      </c>
      <c r="O20" s="17">
        <f t="shared" si="19"/>
        <v>3000</v>
      </c>
      <c r="P20" s="17">
        <f t="shared" si="19"/>
        <v>3000</v>
      </c>
      <c r="Q20" s="17">
        <f t="shared" si="19"/>
        <v>3000</v>
      </c>
      <c r="R20" s="17">
        <f t="shared" si="19"/>
        <v>3000</v>
      </c>
      <c r="S20" s="26"/>
    </row>
    <row r="21" spans="1:19" x14ac:dyDescent="0.2">
      <c r="A21" s="26" t="s">
        <v>37</v>
      </c>
      <c r="B21" s="19"/>
      <c r="C21" s="21">
        <f t="shared" ref="C21:R21" si="20">C4*$S$21</f>
        <v>8400</v>
      </c>
      <c r="D21" s="21">
        <f t="shared" si="20"/>
        <v>19880</v>
      </c>
      <c r="E21" s="21">
        <f t="shared" si="20"/>
        <v>43638</v>
      </c>
      <c r="F21" s="21">
        <f t="shared" si="20"/>
        <v>47674.2</v>
      </c>
      <c r="G21" s="21">
        <f t="shared" si="20"/>
        <v>63436.320000000007</v>
      </c>
      <c r="H21" s="21">
        <f t="shared" si="20"/>
        <v>82436.688000000009</v>
      </c>
      <c r="I21" s="21">
        <f t="shared" si="20"/>
        <v>129644.02560000001</v>
      </c>
      <c r="J21" s="21">
        <f t="shared" si="20"/>
        <v>132039.62304000003</v>
      </c>
      <c r="K21" s="21">
        <f t="shared" si="20"/>
        <v>174784.57592</v>
      </c>
      <c r="L21" s="21">
        <f t="shared" si="20"/>
        <v>202906.11832800001</v>
      </c>
      <c r="M21" s="21">
        <f t="shared" si="20"/>
        <v>224215.50649520001</v>
      </c>
      <c r="N21" s="21">
        <f t="shared" si="20"/>
        <v>216113.95584568</v>
      </c>
      <c r="O21" s="21">
        <f t="shared" si="20"/>
        <v>222830.54224680003</v>
      </c>
      <c r="P21" s="21">
        <f t="shared" si="20"/>
        <v>239760.79133160005</v>
      </c>
      <c r="Q21" s="21">
        <f t="shared" si="20"/>
        <v>251798.01550792</v>
      </c>
      <c r="R21" s="21">
        <f t="shared" si="20"/>
        <v>250146.195942816</v>
      </c>
      <c r="S21" s="53">
        <v>0.05</v>
      </c>
    </row>
    <row r="22" spans="1:19" s="1" customFormat="1" x14ac:dyDescent="0.2">
      <c r="A22" s="27" t="s">
        <v>38</v>
      </c>
      <c r="B22" s="28">
        <f t="shared" ref="B22:R22" si="21">B4-B11-B21</f>
        <v>-62500</v>
      </c>
      <c r="C22" s="28">
        <f t="shared" si="21"/>
        <v>500</v>
      </c>
      <c r="D22" s="28">
        <f t="shared" si="21"/>
        <v>152200</v>
      </c>
      <c r="E22" s="28">
        <f t="shared" si="21"/>
        <v>492120</v>
      </c>
      <c r="F22" s="28">
        <f t="shared" si="21"/>
        <v>547858</v>
      </c>
      <c r="G22" s="28">
        <f t="shared" si="21"/>
        <v>774965.3</v>
      </c>
      <c r="H22" s="28">
        <f t="shared" si="21"/>
        <v>1040178.7700000001</v>
      </c>
      <c r="I22" s="28">
        <f t="shared" si="21"/>
        <v>1732875.9890000001</v>
      </c>
      <c r="J22" s="28">
        <f t="shared" si="21"/>
        <v>1766938.3901000004</v>
      </c>
      <c r="K22" s="28">
        <f t="shared" si="21"/>
        <v>2402028.2788499999</v>
      </c>
      <c r="L22" s="28">
        <f t="shared" si="21"/>
        <v>2806275.4509649999</v>
      </c>
      <c r="M22" s="28">
        <f t="shared" si="21"/>
        <v>3112597.9058685</v>
      </c>
      <c r="N22" s="28">
        <f t="shared" si="21"/>
        <v>2996138.1152816499</v>
      </c>
      <c r="O22" s="28">
        <f t="shared" si="21"/>
        <v>2969818.4163163966</v>
      </c>
      <c r="P22" s="28">
        <f t="shared" si="21"/>
        <v>3206135.0656043063</v>
      </c>
      <c r="Q22" s="28">
        <f t="shared" si="21"/>
        <v>3374153.6499634241</v>
      </c>
      <c r="R22" s="28">
        <f t="shared" si="21"/>
        <v>3351097.1395188118</v>
      </c>
      <c r="S22" s="26"/>
    </row>
    <row r="23" spans="1:19" s="3" customFormat="1" x14ac:dyDescent="0.2">
      <c r="A23" s="29" t="s">
        <v>39</v>
      </c>
      <c r="B23" s="30">
        <f t="shared" ref="B23:R23" si="22">B29*0.6</f>
        <v>0</v>
      </c>
      <c r="C23" s="30">
        <f t="shared" si="22"/>
        <v>100800</v>
      </c>
      <c r="D23" s="30">
        <f t="shared" si="22"/>
        <v>168000</v>
      </c>
      <c r="E23" s="30">
        <f t="shared" si="22"/>
        <v>168000</v>
      </c>
      <c r="F23" s="30">
        <f t="shared" si="22"/>
        <v>100800</v>
      </c>
      <c r="G23" s="30">
        <f t="shared" si="22"/>
        <v>69120</v>
      </c>
      <c r="H23" s="30">
        <f t="shared" si="22"/>
        <v>115200</v>
      </c>
      <c r="I23" s="30">
        <f t="shared" si="22"/>
        <v>115200</v>
      </c>
      <c r="J23" s="30">
        <f t="shared" si="22"/>
        <v>69120</v>
      </c>
      <c r="K23" s="30">
        <f t="shared" si="22"/>
        <v>57600</v>
      </c>
      <c r="L23" s="30">
        <f t="shared" si="22"/>
        <v>93600</v>
      </c>
      <c r="M23" s="30">
        <f t="shared" si="22"/>
        <v>93600</v>
      </c>
      <c r="N23" s="30">
        <f t="shared" si="22"/>
        <v>57600</v>
      </c>
      <c r="O23" s="30">
        <f t="shared" si="22"/>
        <v>72000</v>
      </c>
      <c r="P23" s="30">
        <f t="shared" si="22"/>
        <v>100800</v>
      </c>
      <c r="Q23" s="30">
        <f t="shared" si="22"/>
        <v>100800</v>
      </c>
      <c r="R23" s="30">
        <f t="shared" si="22"/>
        <v>72000</v>
      </c>
      <c r="S23" s="29"/>
    </row>
    <row r="24" spans="1:19" hidden="1" x14ac:dyDescent="0.2">
      <c r="A24" s="14" t="s">
        <v>40</v>
      </c>
      <c r="B24" s="30"/>
      <c r="C24" s="15">
        <f t="shared" ref="C24:R24" si="23">C25*C26*3</f>
        <v>0</v>
      </c>
      <c r="D24" s="15">
        <f t="shared" si="23"/>
        <v>0</v>
      </c>
      <c r="E24" s="15">
        <f t="shared" si="23"/>
        <v>0</v>
      </c>
      <c r="F24" s="15">
        <f t="shared" si="23"/>
        <v>0</v>
      </c>
      <c r="G24" s="15">
        <f t="shared" si="23"/>
        <v>0</v>
      </c>
      <c r="H24" s="15">
        <f t="shared" si="23"/>
        <v>0</v>
      </c>
      <c r="I24" s="15">
        <f t="shared" si="23"/>
        <v>0</v>
      </c>
      <c r="J24" s="15">
        <f t="shared" si="23"/>
        <v>0</v>
      </c>
      <c r="K24" s="15">
        <f t="shared" si="23"/>
        <v>0</v>
      </c>
      <c r="L24" s="15">
        <f t="shared" si="23"/>
        <v>0</v>
      </c>
      <c r="M24" s="15">
        <f t="shared" si="23"/>
        <v>0</v>
      </c>
      <c r="N24" s="15">
        <f t="shared" si="23"/>
        <v>0</v>
      </c>
      <c r="O24" s="15">
        <f t="shared" si="23"/>
        <v>0</v>
      </c>
      <c r="P24" s="15">
        <f t="shared" si="23"/>
        <v>0</v>
      </c>
      <c r="Q24" s="15">
        <f t="shared" si="23"/>
        <v>0</v>
      </c>
      <c r="R24" s="15">
        <f t="shared" si="23"/>
        <v>0</v>
      </c>
      <c r="S24" s="26"/>
    </row>
    <row r="25" spans="1:19" hidden="1" x14ac:dyDescent="0.2">
      <c r="A25" s="23" t="s">
        <v>41</v>
      </c>
      <c r="B25" s="25"/>
      <c r="C25" s="17">
        <v>4</v>
      </c>
      <c r="D25" s="17">
        <f t="shared" ref="D25:N25" si="24">C25</f>
        <v>4</v>
      </c>
      <c r="E25" s="17">
        <f t="shared" si="24"/>
        <v>4</v>
      </c>
      <c r="F25" s="17">
        <f t="shared" si="24"/>
        <v>4</v>
      </c>
      <c r="G25" s="17">
        <f t="shared" si="24"/>
        <v>4</v>
      </c>
      <c r="H25" s="17">
        <f t="shared" si="24"/>
        <v>4</v>
      </c>
      <c r="I25" s="17">
        <f t="shared" si="24"/>
        <v>4</v>
      </c>
      <c r="J25" s="17">
        <f t="shared" si="24"/>
        <v>4</v>
      </c>
      <c r="K25" s="17">
        <f t="shared" si="24"/>
        <v>4</v>
      </c>
      <c r="L25" s="17">
        <f t="shared" si="24"/>
        <v>4</v>
      </c>
      <c r="M25" s="17">
        <f t="shared" si="24"/>
        <v>4</v>
      </c>
      <c r="N25" s="17">
        <f t="shared" si="24"/>
        <v>4</v>
      </c>
      <c r="O25" s="17">
        <v>5</v>
      </c>
      <c r="P25" s="17">
        <f t="shared" ref="P25:R25" si="25">O25</f>
        <v>5</v>
      </c>
      <c r="Q25" s="17">
        <f t="shared" si="25"/>
        <v>5</v>
      </c>
      <c r="R25" s="17">
        <f t="shared" si="25"/>
        <v>5</v>
      </c>
      <c r="S25" s="26"/>
    </row>
    <row r="26" spans="1:19" hidden="1" x14ac:dyDescent="0.2">
      <c r="A26" s="23" t="s">
        <v>42</v>
      </c>
      <c r="B26" s="25"/>
      <c r="C26" s="17">
        <v>0</v>
      </c>
      <c r="D26" s="17">
        <f t="shared" ref="D26:N26" si="26">C26</f>
        <v>0</v>
      </c>
      <c r="E26" s="17">
        <f t="shared" si="26"/>
        <v>0</v>
      </c>
      <c r="F26" s="17">
        <f t="shared" si="26"/>
        <v>0</v>
      </c>
      <c r="G26" s="17">
        <f t="shared" si="26"/>
        <v>0</v>
      </c>
      <c r="H26" s="17">
        <f t="shared" si="26"/>
        <v>0</v>
      </c>
      <c r="I26" s="17">
        <f t="shared" si="26"/>
        <v>0</v>
      </c>
      <c r="J26" s="17">
        <f t="shared" si="26"/>
        <v>0</v>
      </c>
      <c r="K26" s="17">
        <f t="shared" si="26"/>
        <v>0</v>
      </c>
      <c r="L26" s="17">
        <f t="shared" si="26"/>
        <v>0</v>
      </c>
      <c r="M26" s="17">
        <f t="shared" si="26"/>
        <v>0</v>
      </c>
      <c r="N26" s="17">
        <f t="shared" si="26"/>
        <v>0</v>
      </c>
      <c r="O26" s="17">
        <v>0</v>
      </c>
      <c r="P26" s="17">
        <f t="shared" ref="P26:R26" si="27">O26</f>
        <v>0</v>
      </c>
      <c r="Q26" s="17">
        <f t="shared" si="27"/>
        <v>0</v>
      </c>
      <c r="R26" s="17">
        <f t="shared" si="27"/>
        <v>0</v>
      </c>
      <c r="S26" s="26"/>
    </row>
    <row r="27" spans="1:19" hidden="1" x14ac:dyDescent="0.2">
      <c r="A27" s="14" t="s">
        <v>43</v>
      </c>
      <c r="B27" s="30"/>
      <c r="C27" s="31">
        <f t="shared" ref="C27:R27" si="28">C4*C28</f>
        <v>0</v>
      </c>
      <c r="D27" s="31">
        <f t="shared" si="28"/>
        <v>0</v>
      </c>
      <c r="E27" s="31">
        <f t="shared" si="28"/>
        <v>0</v>
      </c>
      <c r="F27" s="31">
        <f t="shared" si="28"/>
        <v>0</v>
      </c>
      <c r="G27" s="31">
        <f t="shared" si="28"/>
        <v>0</v>
      </c>
      <c r="H27" s="31">
        <f t="shared" si="28"/>
        <v>0</v>
      </c>
      <c r="I27" s="31">
        <f t="shared" si="28"/>
        <v>0</v>
      </c>
      <c r="J27" s="31">
        <f t="shared" si="28"/>
        <v>0</v>
      </c>
      <c r="K27" s="31">
        <f t="shared" si="28"/>
        <v>0</v>
      </c>
      <c r="L27" s="31">
        <f t="shared" si="28"/>
        <v>0</v>
      </c>
      <c r="M27" s="31">
        <f t="shared" si="28"/>
        <v>0</v>
      </c>
      <c r="N27" s="31">
        <f t="shared" si="28"/>
        <v>0</v>
      </c>
      <c r="O27" s="31">
        <f t="shared" si="28"/>
        <v>0</v>
      </c>
      <c r="P27" s="31">
        <f t="shared" si="28"/>
        <v>0</v>
      </c>
      <c r="Q27" s="31">
        <f t="shared" si="28"/>
        <v>0</v>
      </c>
      <c r="R27" s="31">
        <f t="shared" si="28"/>
        <v>0</v>
      </c>
      <c r="S27" s="26"/>
    </row>
    <row r="28" spans="1:19" hidden="1" x14ac:dyDescent="0.2">
      <c r="A28" s="23" t="s">
        <v>44</v>
      </c>
      <c r="B28" s="30"/>
      <c r="C28" s="32">
        <v>0</v>
      </c>
      <c r="D28" s="33">
        <f t="shared" ref="D28:R28" si="29">C28</f>
        <v>0</v>
      </c>
      <c r="E28" s="33">
        <f t="shared" si="29"/>
        <v>0</v>
      </c>
      <c r="F28" s="33">
        <f t="shared" si="29"/>
        <v>0</v>
      </c>
      <c r="G28" s="33">
        <f t="shared" si="29"/>
        <v>0</v>
      </c>
      <c r="H28" s="33">
        <f t="shared" si="29"/>
        <v>0</v>
      </c>
      <c r="I28" s="33">
        <f t="shared" si="29"/>
        <v>0</v>
      </c>
      <c r="J28" s="33">
        <f t="shared" si="29"/>
        <v>0</v>
      </c>
      <c r="K28" s="33">
        <f t="shared" si="29"/>
        <v>0</v>
      </c>
      <c r="L28" s="33">
        <f t="shared" si="29"/>
        <v>0</v>
      </c>
      <c r="M28" s="33">
        <f t="shared" si="29"/>
        <v>0</v>
      </c>
      <c r="N28" s="33">
        <f t="shared" si="29"/>
        <v>0</v>
      </c>
      <c r="O28" s="33">
        <f t="shared" si="29"/>
        <v>0</v>
      </c>
      <c r="P28" s="33">
        <f t="shared" si="29"/>
        <v>0</v>
      </c>
      <c r="Q28" s="33">
        <f t="shared" si="29"/>
        <v>0</v>
      </c>
      <c r="R28" s="33">
        <f t="shared" si="29"/>
        <v>0</v>
      </c>
      <c r="S28" s="26"/>
    </row>
    <row r="29" spans="1:19" s="3" customFormat="1" hidden="1" x14ac:dyDescent="0.2">
      <c r="A29" s="22" t="s">
        <v>45</v>
      </c>
      <c r="B29" s="34"/>
      <c r="C29" s="21">
        <f t="shared" ref="C29:R29" si="30">C30*C31</f>
        <v>168000</v>
      </c>
      <c r="D29" s="21">
        <f t="shared" si="30"/>
        <v>280000</v>
      </c>
      <c r="E29" s="21">
        <f t="shared" si="30"/>
        <v>280000</v>
      </c>
      <c r="F29" s="21">
        <f t="shared" si="30"/>
        <v>168000</v>
      </c>
      <c r="G29" s="21">
        <f t="shared" si="30"/>
        <v>115200</v>
      </c>
      <c r="H29" s="21">
        <f t="shared" si="30"/>
        <v>192000</v>
      </c>
      <c r="I29" s="21">
        <f t="shared" si="30"/>
        <v>192000</v>
      </c>
      <c r="J29" s="21">
        <f t="shared" si="30"/>
        <v>115200</v>
      </c>
      <c r="K29" s="21">
        <f t="shared" si="30"/>
        <v>96000</v>
      </c>
      <c r="L29" s="21">
        <f t="shared" si="30"/>
        <v>156000</v>
      </c>
      <c r="M29" s="21">
        <f t="shared" si="30"/>
        <v>156000</v>
      </c>
      <c r="N29" s="21">
        <f t="shared" si="30"/>
        <v>96000</v>
      </c>
      <c r="O29" s="21">
        <f t="shared" si="30"/>
        <v>120000</v>
      </c>
      <c r="P29" s="21">
        <f t="shared" si="30"/>
        <v>168000</v>
      </c>
      <c r="Q29" s="21">
        <f t="shared" si="30"/>
        <v>168000</v>
      </c>
      <c r="R29" s="21">
        <f t="shared" si="30"/>
        <v>120000</v>
      </c>
    </row>
    <row r="30" spans="1:19" s="3" customFormat="1" hidden="1" x14ac:dyDescent="0.2">
      <c r="A30" s="35" t="s">
        <v>46</v>
      </c>
      <c r="B30" s="34"/>
      <c r="C30" s="21">
        <f>'[1]招生及留存假设-加盟'!C4</f>
        <v>30</v>
      </c>
      <c r="D30" s="21">
        <f>'[1]招生及留存假设-加盟'!D4</f>
        <v>50</v>
      </c>
      <c r="E30" s="21">
        <f>'[1]招生及留存假设-加盟'!E4</f>
        <v>50</v>
      </c>
      <c r="F30" s="21">
        <f>'[1]招生及留存假设-加盟'!F4</f>
        <v>30</v>
      </c>
      <c r="G30" s="21">
        <f>'[1]招生及留存假设-加盟'!G4</f>
        <v>36</v>
      </c>
      <c r="H30" s="21">
        <f>'[1]招生及留存假设-加盟'!H4</f>
        <v>60</v>
      </c>
      <c r="I30" s="21">
        <f>'[1]招生及留存假设-加盟'!I4</f>
        <v>60</v>
      </c>
      <c r="J30" s="21">
        <f>'[1]招生及留存假设-加盟'!J4</f>
        <v>36</v>
      </c>
      <c r="K30" s="21">
        <f>'[1]招生及留存假设-加盟'!K4</f>
        <v>40</v>
      </c>
      <c r="L30" s="21">
        <f>'[1]招生及留存假设-加盟'!L4</f>
        <v>65</v>
      </c>
      <c r="M30" s="21">
        <f>'[1]招生及留存假设-加盟'!M4</f>
        <v>65</v>
      </c>
      <c r="N30" s="21">
        <f>'[1]招生及留存假设-加盟'!N4</f>
        <v>40</v>
      </c>
      <c r="O30" s="21">
        <f>'[1]招生及留存假设-加盟'!O4</f>
        <v>50</v>
      </c>
      <c r="P30" s="21">
        <f>'[1]招生及留存假设-加盟'!P4</f>
        <v>70</v>
      </c>
      <c r="Q30" s="21">
        <f>'[1]招生及留存假设-加盟'!Q4</f>
        <v>70</v>
      </c>
      <c r="R30" s="21">
        <f>'[1]招生及留存假设-加盟'!R4</f>
        <v>50</v>
      </c>
      <c r="S30" s="29"/>
    </row>
    <row r="31" spans="1:19" s="3" customFormat="1" hidden="1" x14ac:dyDescent="0.2">
      <c r="A31" s="35" t="s">
        <v>47</v>
      </c>
      <c r="B31" s="34"/>
      <c r="C31" s="21">
        <f t="shared" ref="C31:R31" si="31">C32*$C$10*C9</f>
        <v>5600</v>
      </c>
      <c r="D31" s="21">
        <f t="shared" si="31"/>
        <v>5600</v>
      </c>
      <c r="E31" s="21">
        <f t="shared" si="31"/>
        <v>5600</v>
      </c>
      <c r="F31" s="21">
        <f t="shared" si="31"/>
        <v>5600</v>
      </c>
      <c r="G31" s="21">
        <f t="shared" si="31"/>
        <v>3200</v>
      </c>
      <c r="H31" s="21">
        <f t="shared" si="31"/>
        <v>3200</v>
      </c>
      <c r="I31" s="21">
        <f t="shared" si="31"/>
        <v>3200</v>
      </c>
      <c r="J31" s="21">
        <f t="shared" si="31"/>
        <v>3200</v>
      </c>
      <c r="K31" s="21">
        <f t="shared" si="31"/>
        <v>2400</v>
      </c>
      <c r="L31" s="21">
        <f t="shared" si="31"/>
        <v>2400</v>
      </c>
      <c r="M31" s="21">
        <f t="shared" si="31"/>
        <v>2400</v>
      </c>
      <c r="N31" s="21">
        <f t="shared" si="31"/>
        <v>2400</v>
      </c>
      <c r="O31" s="21">
        <f t="shared" si="31"/>
        <v>2400</v>
      </c>
      <c r="P31" s="21">
        <f t="shared" si="31"/>
        <v>2400</v>
      </c>
      <c r="Q31" s="21">
        <f t="shared" si="31"/>
        <v>2400</v>
      </c>
      <c r="R31" s="21">
        <f t="shared" si="31"/>
        <v>2400</v>
      </c>
      <c r="S31" s="29"/>
    </row>
    <row r="32" spans="1:19" s="4" customFormat="1" hidden="1" x14ac:dyDescent="0.2">
      <c r="A32" s="35" t="s">
        <v>48</v>
      </c>
      <c r="B32" s="36"/>
      <c r="C32" s="20">
        <v>1</v>
      </c>
      <c r="D32" s="20">
        <f t="shared" ref="D32:J32" si="32">C32</f>
        <v>1</v>
      </c>
      <c r="E32" s="20">
        <f t="shared" si="32"/>
        <v>1</v>
      </c>
      <c r="F32" s="20">
        <f t="shared" si="32"/>
        <v>1</v>
      </c>
      <c r="G32" s="20">
        <v>0.5</v>
      </c>
      <c r="H32" s="20">
        <f t="shared" si="32"/>
        <v>0.5</v>
      </c>
      <c r="I32" s="20">
        <f t="shared" si="32"/>
        <v>0.5</v>
      </c>
      <c r="J32" s="20">
        <f t="shared" si="32"/>
        <v>0.5</v>
      </c>
      <c r="K32" s="20">
        <v>0.3</v>
      </c>
      <c r="L32" s="20">
        <f t="shared" ref="L32:R32" si="33">K32</f>
        <v>0.3</v>
      </c>
      <c r="M32" s="20">
        <f t="shared" si="33"/>
        <v>0.3</v>
      </c>
      <c r="N32" s="20">
        <f t="shared" si="33"/>
        <v>0.3</v>
      </c>
      <c r="O32" s="20">
        <f t="shared" si="33"/>
        <v>0.3</v>
      </c>
      <c r="P32" s="20">
        <f t="shared" si="33"/>
        <v>0.3</v>
      </c>
      <c r="Q32" s="20">
        <f t="shared" si="33"/>
        <v>0.3</v>
      </c>
      <c r="R32" s="20">
        <f t="shared" si="33"/>
        <v>0.3</v>
      </c>
      <c r="S32" s="54" t="s">
        <v>49</v>
      </c>
    </row>
    <row r="33" spans="1:19" x14ac:dyDescent="0.2">
      <c r="A33" s="26" t="s">
        <v>50</v>
      </c>
      <c r="B33" s="31">
        <f t="shared" ref="B33:R33" si="34">SUM(B34:B38)</f>
        <v>173166.66666666666</v>
      </c>
      <c r="C33" s="31">
        <f t="shared" si="34"/>
        <v>108286.75666666667</v>
      </c>
      <c r="D33" s="31">
        <f t="shared" si="34"/>
        <v>128950.75666666667</v>
      </c>
      <c r="E33" s="31">
        <f t="shared" si="34"/>
        <v>171715.15666666665</v>
      </c>
      <c r="F33" s="31">
        <f t="shared" si="34"/>
        <v>116480.31666666665</v>
      </c>
      <c r="G33" s="31">
        <f t="shared" si="34"/>
        <v>119477.58466666669</v>
      </c>
      <c r="H33" s="31">
        <f t="shared" si="34"/>
        <v>146078.09986666669</v>
      </c>
      <c r="I33" s="31">
        <f t="shared" si="34"/>
        <v>212168.3725066667</v>
      </c>
      <c r="J33" s="31">
        <f t="shared" si="34"/>
        <v>215522.2089226667</v>
      </c>
      <c r="K33" s="31">
        <f t="shared" si="34"/>
        <v>205451.29258666665</v>
      </c>
      <c r="L33" s="31">
        <f t="shared" si="34"/>
        <v>233572.83499466666</v>
      </c>
      <c r="M33" s="31">
        <f t="shared" si="34"/>
        <v>254882.22316186666</v>
      </c>
      <c r="N33" s="31">
        <f t="shared" si="34"/>
        <v>232614.00584567999</v>
      </c>
      <c r="O33" s="31">
        <f t="shared" si="34"/>
        <v>239330.59224680002</v>
      </c>
      <c r="P33" s="31">
        <f t="shared" si="34"/>
        <v>256260.84133160004</v>
      </c>
      <c r="Q33" s="31">
        <f t="shared" si="34"/>
        <v>268298.06550791999</v>
      </c>
      <c r="R33" s="31">
        <f t="shared" si="34"/>
        <v>266646.24594281602</v>
      </c>
      <c r="S33" s="26"/>
    </row>
    <row r="34" spans="1:19" x14ac:dyDescent="0.2">
      <c r="A34" s="14" t="s">
        <v>51</v>
      </c>
      <c r="B34" s="37">
        <f>B49</f>
        <v>80000</v>
      </c>
      <c r="C34" s="37">
        <f t="shared" ref="C34:R34" si="35">C35*C4</f>
        <v>15120</v>
      </c>
      <c r="D34" s="37">
        <f t="shared" si="35"/>
        <v>35784</v>
      </c>
      <c r="E34" s="37">
        <f t="shared" si="35"/>
        <v>78548.399999999994</v>
      </c>
      <c r="F34" s="37">
        <f t="shared" si="35"/>
        <v>85813.559999999983</v>
      </c>
      <c r="G34" s="37">
        <f t="shared" si="35"/>
        <v>88810.848000000013</v>
      </c>
      <c r="H34" s="37">
        <f t="shared" si="35"/>
        <v>115411.36320000001</v>
      </c>
      <c r="I34" s="37">
        <f t="shared" si="35"/>
        <v>181501.63584000003</v>
      </c>
      <c r="J34" s="37">
        <f t="shared" si="35"/>
        <v>184855.47225600004</v>
      </c>
      <c r="K34" s="37">
        <f t="shared" si="35"/>
        <v>174784.57592</v>
      </c>
      <c r="L34" s="37">
        <f t="shared" si="35"/>
        <v>202906.11832800001</v>
      </c>
      <c r="M34" s="37">
        <f t="shared" si="35"/>
        <v>224215.50649520001</v>
      </c>
      <c r="N34" s="37">
        <f t="shared" si="35"/>
        <v>216113.95584568</v>
      </c>
      <c r="O34" s="37">
        <f t="shared" si="35"/>
        <v>222830.54224680003</v>
      </c>
      <c r="P34" s="37">
        <f t="shared" si="35"/>
        <v>239760.79133160005</v>
      </c>
      <c r="Q34" s="37">
        <f t="shared" si="35"/>
        <v>251798.01550792</v>
      </c>
      <c r="R34" s="37">
        <f t="shared" si="35"/>
        <v>250146.195942816</v>
      </c>
      <c r="S34" s="26"/>
    </row>
    <row r="35" spans="1:19" x14ac:dyDescent="0.2">
      <c r="A35" s="14" t="s">
        <v>52</v>
      </c>
      <c r="B35" s="38"/>
      <c r="C35" s="20">
        <v>0.09</v>
      </c>
      <c r="D35" s="20">
        <v>0.09</v>
      </c>
      <c r="E35" s="20">
        <v>0.09</v>
      </c>
      <c r="F35" s="20">
        <v>0.09</v>
      </c>
      <c r="G35" s="20">
        <v>7.0000000000000007E-2</v>
      </c>
      <c r="H35" s="20">
        <v>7.0000000000000007E-2</v>
      </c>
      <c r="I35" s="20">
        <v>7.0000000000000007E-2</v>
      </c>
      <c r="J35" s="20">
        <v>7.0000000000000007E-2</v>
      </c>
      <c r="K35" s="20">
        <v>0.05</v>
      </c>
      <c r="L35" s="20">
        <v>0.05</v>
      </c>
      <c r="M35" s="20">
        <v>0.05</v>
      </c>
      <c r="N35" s="20">
        <v>0.05</v>
      </c>
      <c r="O35" s="20">
        <v>0.05</v>
      </c>
      <c r="P35" s="20">
        <v>0.05</v>
      </c>
      <c r="Q35" s="20">
        <v>0.05</v>
      </c>
      <c r="R35" s="20">
        <v>0.05</v>
      </c>
      <c r="S35" s="26"/>
    </row>
    <row r="36" spans="1:19" x14ac:dyDescent="0.2">
      <c r="A36" s="39" t="s">
        <v>53</v>
      </c>
      <c r="B36" s="37">
        <f>$B$45*0.7/4</f>
        <v>70000</v>
      </c>
      <c r="C36" s="37">
        <f>$B$45*0.7/4</f>
        <v>70000</v>
      </c>
      <c r="D36" s="37">
        <f>$B$45*0.7/4</f>
        <v>70000</v>
      </c>
      <c r="E36" s="37">
        <f>$B$45*0.7/4</f>
        <v>70000</v>
      </c>
      <c r="F36" s="37">
        <f t="shared" ref="F36:R36" si="36">$B$45*0.3/4/4</f>
        <v>7500</v>
      </c>
      <c r="G36" s="37">
        <f t="shared" si="36"/>
        <v>7500</v>
      </c>
      <c r="H36" s="37">
        <f t="shared" si="36"/>
        <v>7500</v>
      </c>
      <c r="I36" s="37">
        <f t="shared" si="36"/>
        <v>7500</v>
      </c>
      <c r="J36" s="37">
        <f t="shared" si="36"/>
        <v>7500</v>
      </c>
      <c r="K36" s="37">
        <f t="shared" si="36"/>
        <v>7500</v>
      </c>
      <c r="L36" s="37">
        <f t="shared" si="36"/>
        <v>7500</v>
      </c>
      <c r="M36" s="37">
        <f t="shared" si="36"/>
        <v>7500</v>
      </c>
      <c r="N36" s="37">
        <f t="shared" si="36"/>
        <v>7500</v>
      </c>
      <c r="O36" s="37">
        <f t="shared" si="36"/>
        <v>7500</v>
      </c>
      <c r="P36" s="37">
        <f t="shared" si="36"/>
        <v>7500</v>
      </c>
      <c r="Q36" s="37">
        <f t="shared" si="36"/>
        <v>7500</v>
      </c>
      <c r="R36" s="37">
        <f t="shared" si="36"/>
        <v>7500</v>
      </c>
      <c r="S36" s="52" t="s">
        <v>54</v>
      </c>
    </row>
    <row r="37" spans="1:19" x14ac:dyDescent="0.2">
      <c r="A37" s="14" t="s">
        <v>55</v>
      </c>
      <c r="B37" s="37">
        <f t="shared" ref="B37:R37" si="37">$B$47/20</f>
        <v>9000</v>
      </c>
      <c r="C37" s="37">
        <f t="shared" si="37"/>
        <v>9000</v>
      </c>
      <c r="D37" s="37">
        <f t="shared" si="37"/>
        <v>9000</v>
      </c>
      <c r="E37" s="37">
        <f t="shared" si="37"/>
        <v>9000</v>
      </c>
      <c r="F37" s="37">
        <f t="shared" si="37"/>
        <v>9000</v>
      </c>
      <c r="G37" s="37">
        <f t="shared" si="37"/>
        <v>9000</v>
      </c>
      <c r="H37" s="37">
        <f t="shared" si="37"/>
        <v>9000</v>
      </c>
      <c r="I37" s="37">
        <f t="shared" si="37"/>
        <v>9000</v>
      </c>
      <c r="J37" s="37">
        <f t="shared" si="37"/>
        <v>9000</v>
      </c>
      <c r="K37" s="37">
        <f t="shared" si="37"/>
        <v>9000</v>
      </c>
      <c r="L37" s="37">
        <f t="shared" si="37"/>
        <v>9000</v>
      </c>
      <c r="M37" s="37">
        <f t="shared" si="37"/>
        <v>9000</v>
      </c>
      <c r="N37" s="37">
        <f t="shared" si="37"/>
        <v>9000</v>
      </c>
      <c r="O37" s="37">
        <f t="shared" si="37"/>
        <v>9000</v>
      </c>
      <c r="P37" s="37">
        <f t="shared" si="37"/>
        <v>9000</v>
      </c>
      <c r="Q37" s="37">
        <f t="shared" si="37"/>
        <v>9000</v>
      </c>
      <c r="R37" s="37">
        <f t="shared" si="37"/>
        <v>9000</v>
      </c>
      <c r="S37" s="26" t="s">
        <v>56</v>
      </c>
    </row>
    <row r="38" spans="1:19" x14ac:dyDescent="0.2">
      <c r="A38" s="14" t="s">
        <v>57</v>
      </c>
      <c r="B38" s="37">
        <f t="shared" ref="B38:M38" si="38">$B$48/12</f>
        <v>14166.666666666666</v>
      </c>
      <c r="C38" s="37">
        <f t="shared" si="38"/>
        <v>14166.666666666666</v>
      </c>
      <c r="D38" s="37">
        <f t="shared" si="38"/>
        <v>14166.666666666666</v>
      </c>
      <c r="E38" s="37">
        <f t="shared" si="38"/>
        <v>14166.666666666666</v>
      </c>
      <c r="F38" s="37">
        <f t="shared" si="38"/>
        <v>14166.666666666666</v>
      </c>
      <c r="G38" s="37">
        <f t="shared" si="38"/>
        <v>14166.666666666666</v>
      </c>
      <c r="H38" s="37">
        <f t="shared" si="38"/>
        <v>14166.666666666666</v>
      </c>
      <c r="I38" s="37">
        <f t="shared" si="38"/>
        <v>14166.666666666666</v>
      </c>
      <c r="J38" s="37">
        <f t="shared" si="38"/>
        <v>14166.666666666666</v>
      </c>
      <c r="K38" s="37">
        <f t="shared" si="38"/>
        <v>14166.666666666666</v>
      </c>
      <c r="L38" s="37">
        <f t="shared" si="38"/>
        <v>14166.666666666666</v>
      </c>
      <c r="M38" s="37">
        <f t="shared" si="38"/>
        <v>14166.666666666666</v>
      </c>
      <c r="N38" s="37"/>
      <c r="O38" s="37"/>
      <c r="P38" s="37"/>
      <c r="Q38" s="37"/>
      <c r="R38" s="37"/>
      <c r="S38" s="26" t="s">
        <v>58</v>
      </c>
    </row>
    <row r="39" spans="1:19" s="5" customFormat="1" x14ac:dyDescent="0.2">
      <c r="A39" s="40" t="s">
        <v>59</v>
      </c>
      <c r="B39" s="41">
        <f t="shared" ref="B39:R39" si="39">B22-B23-B33</f>
        <v>-235666.66666666666</v>
      </c>
      <c r="C39" s="41">
        <f t="shared" si="39"/>
        <v>-208586.75666666665</v>
      </c>
      <c r="D39" s="41">
        <f t="shared" si="39"/>
        <v>-144750.75666666665</v>
      </c>
      <c r="E39" s="41">
        <f t="shared" si="39"/>
        <v>152404.84333333335</v>
      </c>
      <c r="F39" s="41">
        <f t="shared" si="39"/>
        <v>330577.68333333335</v>
      </c>
      <c r="G39" s="41">
        <f t="shared" si="39"/>
        <v>586367.71533333336</v>
      </c>
      <c r="H39" s="41">
        <f t="shared" si="39"/>
        <v>778900.67013333342</v>
      </c>
      <c r="I39" s="41">
        <f t="shared" si="39"/>
        <v>1405507.6164933334</v>
      </c>
      <c r="J39" s="41">
        <f t="shared" si="39"/>
        <v>1482296.1811773337</v>
      </c>
      <c r="K39" s="41">
        <f t="shared" si="39"/>
        <v>2138976.9862633334</v>
      </c>
      <c r="L39" s="41">
        <f t="shared" si="39"/>
        <v>2479102.6159703331</v>
      </c>
      <c r="M39" s="41">
        <f t="shared" si="39"/>
        <v>2764115.6827066336</v>
      </c>
      <c r="N39" s="41">
        <f t="shared" si="39"/>
        <v>2705924.10943597</v>
      </c>
      <c r="O39" s="41">
        <f t="shared" si="39"/>
        <v>2658487.8240695964</v>
      </c>
      <c r="P39" s="41">
        <f t="shared" si="39"/>
        <v>2849074.2242727061</v>
      </c>
      <c r="Q39" s="41">
        <f t="shared" si="39"/>
        <v>3005055.5844555041</v>
      </c>
      <c r="R39" s="41">
        <f t="shared" si="39"/>
        <v>3012450.8935759957</v>
      </c>
      <c r="S39" s="40"/>
    </row>
    <row r="40" spans="1:19" s="1" customFormat="1" x14ac:dyDescent="0.2">
      <c r="A40" s="27"/>
      <c r="B40" s="42"/>
      <c r="C40" s="43">
        <f t="shared" ref="C40:R40" si="40">C39/C4</f>
        <v>-1.2415878373015872</v>
      </c>
      <c r="D40" s="43">
        <f t="shared" si="40"/>
        <v>-0.36406125922199861</v>
      </c>
      <c r="E40" s="43">
        <f t="shared" si="40"/>
        <v>0.17462400125273081</v>
      </c>
      <c r="F40" s="43">
        <f t="shared" si="40"/>
        <v>0.34670501375307128</v>
      </c>
      <c r="G40" s="43">
        <f t="shared" si="40"/>
        <v>0.4621703428992518</v>
      </c>
      <c r="H40" s="43">
        <f t="shared" si="40"/>
        <v>0.47242355863043251</v>
      </c>
      <c r="I40" s="43">
        <f t="shared" si="40"/>
        <v>0.54206416762691656</v>
      </c>
      <c r="J40" s="43">
        <f t="shared" si="40"/>
        <v>0.56130733602908256</v>
      </c>
      <c r="K40" s="43">
        <f t="shared" si="40"/>
        <v>0.61188951456516294</v>
      </c>
      <c r="L40" s="43">
        <f t="shared" si="40"/>
        <v>0.610898931091579</v>
      </c>
      <c r="M40" s="43">
        <f t="shared" si="40"/>
        <v>0.61639708285872008</v>
      </c>
      <c r="N40" s="43">
        <f t="shared" si="40"/>
        <v>0.62604103905445674</v>
      </c>
      <c r="O40" s="43">
        <f t="shared" si="40"/>
        <v>0.59652680401529967</v>
      </c>
      <c r="P40" s="43">
        <f t="shared" si="40"/>
        <v>0.59414932033910151</v>
      </c>
      <c r="Q40" s="43">
        <f t="shared" si="40"/>
        <v>0.59671947342273313</v>
      </c>
      <c r="R40" s="43">
        <f t="shared" si="40"/>
        <v>0.60213805815073218</v>
      </c>
      <c r="S40" s="27"/>
    </row>
    <row r="41" spans="1:19" s="2" customFormat="1" x14ac:dyDescent="0.2">
      <c r="A41" s="44" t="s">
        <v>60</v>
      </c>
      <c r="B41" s="45"/>
      <c r="S41" s="44"/>
    </row>
    <row r="42" spans="1:19" x14ac:dyDescent="0.2">
      <c r="A42" s="7" t="s">
        <v>61</v>
      </c>
      <c r="B42" s="30"/>
      <c r="C42" s="30">
        <f t="shared" ref="C42:R42" si="41">C4</f>
        <v>168000</v>
      </c>
      <c r="D42" s="30">
        <f t="shared" si="41"/>
        <v>397600</v>
      </c>
      <c r="E42" s="30">
        <f t="shared" si="41"/>
        <v>872760</v>
      </c>
      <c r="F42" s="15">
        <f t="shared" si="41"/>
        <v>953483.99999999988</v>
      </c>
      <c r="G42" s="30">
        <f t="shared" si="41"/>
        <v>1268726.4000000001</v>
      </c>
      <c r="H42" s="30">
        <f t="shared" si="41"/>
        <v>1648733.76</v>
      </c>
      <c r="I42" s="30">
        <f t="shared" si="41"/>
        <v>2592880.5120000001</v>
      </c>
      <c r="J42" s="15">
        <f t="shared" si="41"/>
        <v>2640792.4608000005</v>
      </c>
      <c r="K42" s="30">
        <f t="shared" si="41"/>
        <v>3495691.5183999999</v>
      </c>
      <c r="L42" s="30">
        <f t="shared" si="41"/>
        <v>4058122.36656</v>
      </c>
      <c r="M42" s="30">
        <f t="shared" si="41"/>
        <v>4484310.1299040001</v>
      </c>
      <c r="N42" s="15">
        <f t="shared" si="41"/>
        <v>4322279.1169135999</v>
      </c>
      <c r="O42" s="30">
        <f t="shared" si="41"/>
        <v>4456610.8449360002</v>
      </c>
      <c r="P42" s="30">
        <f t="shared" si="41"/>
        <v>4795215.8266320005</v>
      </c>
      <c r="Q42" s="30">
        <f t="shared" si="41"/>
        <v>5035960.3101583999</v>
      </c>
      <c r="R42" s="15">
        <f t="shared" si="41"/>
        <v>5002923.91885632</v>
      </c>
    </row>
    <row r="43" spans="1:19" x14ac:dyDescent="0.2">
      <c r="A43" s="7" t="s">
        <v>62</v>
      </c>
      <c r="B43" s="30">
        <f t="shared" ref="B43:R43" si="42">SUM(B44,B50:B53)</f>
        <v>955000</v>
      </c>
      <c r="C43" s="30">
        <f t="shared" si="42"/>
        <v>283420.08999999997</v>
      </c>
      <c r="D43" s="30">
        <f t="shared" si="42"/>
        <v>449184.08999999997</v>
      </c>
      <c r="E43" s="30">
        <f t="shared" si="42"/>
        <v>627188.49</v>
      </c>
      <c r="F43" s="30">
        <f t="shared" si="42"/>
        <v>592239.65</v>
      </c>
      <c r="G43" s="30">
        <f t="shared" si="42"/>
        <v>651692.01800000016</v>
      </c>
      <c r="H43" s="30">
        <f t="shared" si="42"/>
        <v>839166.42320000008</v>
      </c>
      <c r="I43" s="30">
        <f t="shared" si="42"/>
        <v>1156706.22884</v>
      </c>
      <c r="J43" s="30">
        <f t="shared" si="42"/>
        <v>1127829.6129560003</v>
      </c>
      <c r="K43" s="30">
        <f t="shared" si="42"/>
        <v>1326047.8654700001</v>
      </c>
      <c r="L43" s="30">
        <f t="shared" si="42"/>
        <v>1548353.0839229999</v>
      </c>
      <c r="M43" s="30">
        <f t="shared" si="42"/>
        <v>1689527.7805307</v>
      </c>
      <c r="N43" s="30">
        <f t="shared" si="42"/>
        <v>1599855.0074776299</v>
      </c>
      <c r="O43" s="30">
        <f t="shared" si="42"/>
        <v>1781623.0208664041</v>
      </c>
      <c r="P43" s="30">
        <f t="shared" si="42"/>
        <v>1929641.6023592947</v>
      </c>
      <c r="Q43" s="30">
        <f t="shared" si="42"/>
        <v>2014404.7257028956</v>
      </c>
      <c r="R43" s="30">
        <f t="shared" si="42"/>
        <v>1973973.0252803247</v>
      </c>
    </row>
    <row r="44" spans="1:19" x14ac:dyDescent="0.2">
      <c r="A44" s="14" t="s">
        <v>63</v>
      </c>
      <c r="B44" s="30">
        <f>SUM(B45:B49)</f>
        <v>955000</v>
      </c>
      <c r="S44" s="26"/>
    </row>
    <row r="45" spans="1:19" x14ac:dyDescent="0.2">
      <c r="A45" s="46" t="s">
        <v>64</v>
      </c>
      <c r="B45" s="47">
        <v>400000</v>
      </c>
      <c r="S45" s="26"/>
    </row>
    <row r="46" spans="1:19" x14ac:dyDescent="0.2">
      <c r="A46" s="23" t="s">
        <v>65</v>
      </c>
      <c r="B46" s="30">
        <f>B13*2</f>
        <v>125000</v>
      </c>
      <c r="S46" s="26"/>
    </row>
    <row r="47" spans="1:19" x14ac:dyDescent="0.2">
      <c r="A47" s="23" t="s">
        <v>66</v>
      </c>
      <c r="B47" s="47">
        <f>600*C14</f>
        <v>180000</v>
      </c>
      <c r="S47" s="26"/>
    </row>
    <row r="48" spans="1:19" x14ac:dyDescent="0.2">
      <c r="A48" s="23" t="s">
        <v>67</v>
      </c>
      <c r="B48" s="47">
        <v>170000</v>
      </c>
      <c r="S48" s="26"/>
    </row>
    <row r="49" spans="1:19" x14ac:dyDescent="0.2">
      <c r="A49" s="23" t="s">
        <v>68</v>
      </c>
      <c r="B49" s="47">
        <v>80000</v>
      </c>
      <c r="S49" s="26"/>
    </row>
    <row r="50" spans="1:19" x14ac:dyDescent="0.2">
      <c r="A50" s="14" t="s">
        <v>27</v>
      </c>
      <c r="B50" s="31"/>
      <c r="C50" s="31">
        <f t="shared" ref="C50:R50" si="43">C11</f>
        <v>159100</v>
      </c>
      <c r="D50" s="31">
        <f t="shared" si="43"/>
        <v>225520</v>
      </c>
      <c r="E50" s="31">
        <f t="shared" si="43"/>
        <v>337002</v>
      </c>
      <c r="F50" s="31">
        <f t="shared" si="43"/>
        <v>357951.8</v>
      </c>
      <c r="G50" s="31">
        <f t="shared" si="43"/>
        <v>430324.78</v>
      </c>
      <c r="H50" s="31">
        <f t="shared" si="43"/>
        <v>526118.30200000003</v>
      </c>
      <c r="I50" s="31">
        <f t="shared" si="43"/>
        <v>730360.49739999999</v>
      </c>
      <c r="J50" s="31">
        <f t="shared" si="43"/>
        <v>741814.44766000018</v>
      </c>
      <c r="K50" s="31">
        <f t="shared" si="43"/>
        <v>918878.66363000008</v>
      </c>
      <c r="L50" s="31">
        <f t="shared" si="43"/>
        <v>1048940.797267</v>
      </c>
      <c r="M50" s="31">
        <f t="shared" si="43"/>
        <v>1147496.7175403</v>
      </c>
      <c r="N50" s="31">
        <f t="shared" si="43"/>
        <v>1110027.0457862699</v>
      </c>
      <c r="O50" s="31">
        <f t="shared" si="43"/>
        <v>1263961.8863728039</v>
      </c>
      <c r="P50" s="31">
        <f t="shared" si="43"/>
        <v>1349319.9696960945</v>
      </c>
      <c r="Q50" s="31">
        <f t="shared" si="43"/>
        <v>1410008.6446870556</v>
      </c>
      <c r="R50" s="31">
        <f t="shared" si="43"/>
        <v>1401680.5833946925</v>
      </c>
      <c r="S50" s="26"/>
    </row>
    <row r="51" spans="1:19" x14ac:dyDescent="0.2">
      <c r="A51" s="14" t="s">
        <v>69</v>
      </c>
      <c r="B51" s="31"/>
      <c r="C51" s="31">
        <f t="shared" ref="C51:R51" si="44">C21</f>
        <v>8400</v>
      </c>
      <c r="D51" s="31">
        <f t="shared" si="44"/>
        <v>19880</v>
      </c>
      <c r="E51" s="31">
        <f t="shared" si="44"/>
        <v>43638</v>
      </c>
      <c r="F51" s="31">
        <f t="shared" si="44"/>
        <v>47674.2</v>
      </c>
      <c r="G51" s="31">
        <f t="shared" si="44"/>
        <v>63436.320000000007</v>
      </c>
      <c r="H51" s="31">
        <f t="shared" si="44"/>
        <v>82436.688000000009</v>
      </c>
      <c r="I51" s="31">
        <f t="shared" si="44"/>
        <v>129644.02560000001</v>
      </c>
      <c r="J51" s="31">
        <f t="shared" si="44"/>
        <v>132039.62304000003</v>
      </c>
      <c r="K51" s="31">
        <f t="shared" si="44"/>
        <v>174784.57592</v>
      </c>
      <c r="L51" s="31">
        <f t="shared" si="44"/>
        <v>202906.11832800001</v>
      </c>
      <c r="M51" s="31">
        <f t="shared" si="44"/>
        <v>224215.50649520001</v>
      </c>
      <c r="N51" s="31">
        <f t="shared" si="44"/>
        <v>216113.95584568</v>
      </c>
      <c r="O51" s="31">
        <f t="shared" si="44"/>
        <v>222830.54224680003</v>
      </c>
      <c r="P51" s="31">
        <f t="shared" si="44"/>
        <v>239760.79133160005</v>
      </c>
      <c r="Q51" s="31">
        <f t="shared" si="44"/>
        <v>251798.01550792</v>
      </c>
      <c r="R51" s="31">
        <f t="shared" si="44"/>
        <v>250146.195942816</v>
      </c>
      <c r="S51" s="26"/>
    </row>
    <row r="52" spans="1:19" s="3" customFormat="1" x14ac:dyDescent="0.2">
      <c r="A52" s="22" t="s">
        <v>70</v>
      </c>
      <c r="B52" s="48">
        <f t="shared" ref="B52:R52" si="45">B23</f>
        <v>0</v>
      </c>
      <c r="C52" s="48">
        <f t="shared" si="45"/>
        <v>100800</v>
      </c>
      <c r="D52" s="48">
        <f t="shared" si="45"/>
        <v>168000</v>
      </c>
      <c r="E52" s="48">
        <f t="shared" si="45"/>
        <v>168000</v>
      </c>
      <c r="F52" s="48">
        <f t="shared" si="45"/>
        <v>100800</v>
      </c>
      <c r="G52" s="48">
        <f t="shared" si="45"/>
        <v>69120</v>
      </c>
      <c r="H52" s="48">
        <f t="shared" si="45"/>
        <v>115200</v>
      </c>
      <c r="I52" s="48">
        <f t="shared" si="45"/>
        <v>115200</v>
      </c>
      <c r="J52" s="48">
        <f t="shared" si="45"/>
        <v>69120</v>
      </c>
      <c r="K52" s="48">
        <f t="shared" si="45"/>
        <v>57600</v>
      </c>
      <c r="L52" s="48">
        <f t="shared" si="45"/>
        <v>93600</v>
      </c>
      <c r="M52" s="48">
        <f t="shared" si="45"/>
        <v>93600</v>
      </c>
      <c r="N52" s="48">
        <f t="shared" si="45"/>
        <v>57600</v>
      </c>
      <c r="O52" s="48">
        <f t="shared" si="45"/>
        <v>72000</v>
      </c>
      <c r="P52" s="48">
        <f t="shared" si="45"/>
        <v>100800</v>
      </c>
      <c r="Q52" s="48">
        <f t="shared" si="45"/>
        <v>100800</v>
      </c>
      <c r="R52" s="48">
        <f t="shared" si="45"/>
        <v>72000</v>
      </c>
      <c r="S52" s="29"/>
    </row>
    <row r="53" spans="1:19" x14ac:dyDescent="0.2">
      <c r="A53" s="14" t="s">
        <v>50</v>
      </c>
      <c r="B53" s="31"/>
      <c r="C53" s="31">
        <f t="shared" ref="C53:R53" si="46">C33-SUM(C36:C38)</f>
        <v>15120.089999999997</v>
      </c>
      <c r="D53" s="31">
        <f t="shared" si="46"/>
        <v>35784.089999999997</v>
      </c>
      <c r="E53" s="31">
        <f t="shared" si="46"/>
        <v>78548.489999999976</v>
      </c>
      <c r="F53" s="31">
        <f t="shared" si="46"/>
        <v>85813.65</v>
      </c>
      <c r="G53" s="31">
        <f t="shared" si="46"/>
        <v>88810.918000000034</v>
      </c>
      <c r="H53" s="31">
        <f t="shared" si="46"/>
        <v>115411.43320000003</v>
      </c>
      <c r="I53" s="31">
        <f t="shared" si="46"/>
        <v>181501.70584000004</v>
      </c>
      <c r="J53" s="31">
        <f t="shared" si="46"/>
        <v>184855.54225600004</v>
      </c>
      <c r="K53" s="31">
        <f t="shared" si="46"/>
        <v>174784.62591999999</v>
      </c>
      <c r="L53" s="31">
        <f t="shared" si="46"/>
        <v>202906.168328</v>
      </c>
      <c r="M53" s="31">
        <f t="shared" si="46"/>
        <v>224215.5564952</v>
      </c>
      <c r="N53" s="31">
        <f t="shared" si="46"/>
        <v>216114.00584567999</v>
      </c>
      <c r="O53" s="31">
        <f t="shared" si="46"/>
        <v>222830.59224680002</v>
      </c>
      <c r="P53" s="31">
        <f t="shared" si="46"/>
        <v>239760.84133160004</v>
      </c>
      <c r="Q53" s="31">
        <f t="shared" si="46"/>
        <v>251798.06550791999</v>
      </c>
      <c r="R53" s="31">
        <f t="shared" si="46"/>
        <v>250146.24594281602</v>
      </c>
      <c r="S53" s="26"/>
    </row>
    <row r="54" spans="1:19" s="5" customFormat="1" x14ac:dyDescent="0.2">
      <c r="A54" s="40" t="s">
        <v>71</v>
      </c>
      <c r="B54" s="49">
        <f t="shared" ref="B54:R54" si="47">B42-B43</f>
        <v>-955000</v>
      </c>
      <c r="C54" s="49">
        <f t="shared" si="47"/>
        <v>-115420.08999999997</v>
      </c>
      <c r="D54" s="49">
        <f t="shared" si="47"/>
        <v>-51584.089999999967</v>
      </c>
      <c r="E54" s="49">
        <f t="shared" si="47"/>
        <v>245571.51</v>
      </c>
      <c r="F54" s="49">
        <f t="shared" si="47"/>
        <v>361244.34999999986</v>
      </c>
      <c r="G54" s="49">
        <f t="shared" si="47"/>
        <v>617034.38199999998</v>
      </c>
      <c r="H54" s="49">
        <f t="shared" si="47"/>
        <v>809567.33679999993</v>
      </c>
      <c r="I54" s="49">
        <f t="shared" si="47"/>
        <v>1436174.2831600001</v>
      </c>
      <c r="J54" s="49">
        <f t="shared" si="47"/>
        <v>1512962.8478440002</v>
      </c>
      <c r="K54" s="49">
        <f t="shared" si="47"/>
        <v>2169643.6529299999</v>
      </c>
      <c r="L54" s="49">
        <f t="shared" si="47"/>
        <v>2509769.2826370001</v>
      </c>
      <c r="M54" s="49">
        <f t="shared" si="47"/>
        <v>2794782.3493733001</v>
      </c>
      <c r="N54" s="49">
        <f t="shared" si="47"/>
        <v>2722424.10943597</v>
      </c>
      <c r="O54" s="49">
        <f t="shared" si="47"/>
        <v>2674987.8240695959</v>
      </c>
      <c r="P54" s="49">
        <f t="shared" si="47"/>
        <v>2865574.2242727056</v>
      </c>
      <c r="Q54" s="49">
        <f t="shared" si="47"/>
        <v>3021555.5844555041</v>
      </c>
      <c r="R54" s="49">
        <f t="shared" si="47"/>
        <v>3028950.8935759952</v>
      </c>
      <c r="S54" s="40"/>
    </row>
    <row r="56" spans="1:19" s="6" customFormat="1" x14ac:dyDescent="0.2">
      <c r="A56" s="50" t="s">
        <v>72</v>
      </c>
      <c r="B56" s="51"/>
      <c r="S56" s="50"/>
    </row>
    <row r="57" spans="1:19" x14ac:dyDescent="0.2">
      <c r="A57" s="7" t="s">
        <v>73</v>
      </c>
      <c r="B57" s="31">
        <f t="shared" ref="B57:R57" si="48">SUM(B58:B59)</f>
        <v>70000</v>
      </c>
      <c r="C57" s="31">
        <f t="shared" si="48"/>
        <v>103600</v>
      </c>
      <c r="D57" s="31">
        <f t="shared" si="48"/>
        <v>149520</v>
      </c>
      <c r="E57" s="31">
        <f t="shared" si="48"/>
        <v>244552</v>
      </c>
      <c r="F57" s="31">
        <f t="shared" si="48"/>
        <v>198196.8</v>
      </c>
      <c r="G57" s="31">
        <f t="shared" si="48"/>
        <v>261245.28000000003</v>
      </c>
      <c r="H57" s="31">
        <f t="shared" si="48"/>
        <v>337246.75200000004</v>
      </c>
      <c r="I57" s="31">
        <f t="shared" si="48"/>
        <v>526076.10239999997</v>
      </c>
      <c r="J57" s="31">
        <f t="shared" si="48"/>
        <v>535658.49216000014</v>
      </c>
      <c r="K57" s="31">
        <f t="shared" si="48"/>
        <v>706638.30368000001</v>
      </c>
      <c r="L57" s="31">
        <f t="shared" si="48"/>
        <v>819124.47331200005</v>
      </c>
      <c r="M57" s="31">
        <f t="shared" si="48"/>
        <v>904362.02598080004</v>
      </c>
      <c r="N57" s="31">
        <f t="shared" si="48"/>
        <v>871955.82338272</v>
      </c>
      <c r="O57" s="31">
        <f t="shared" si="48"/>
        <v>898822.16898720013</v>
      </c>
      <c r="P57" s="31">
        <f t="shared" si="48"/>
        <v>966543.16532640019</v>
      </c>
      <c r="Q57" s="31">
        <f t="shared" si="48"/>
        <v>1014692.06203168</v>
      </c>
      <c r="R57" s="31">
        <f t="shared" si="48"/>
        <v>1008084.783771264</v>
      </c>
    </row>
    <row r="58" spans="1:19" x14ac:dyDescent="0.2">
      <c r="A58" s="39" t="s">
        <v>64</v>
      </c>
      <c r="B58" s="31">
        <f t="shared" ref="B58:R58" si="49">B36</f>
        <v>70000</v>
      </c>
      <c r="C58" s="31">
        <f t="shared" si="49"/>
        <v>70000</v>
      </c>
      <c r="D58" s="31">
        <f t="shared" si="49"/>
        <v>70000</v>
      </c>
      <c r="E58" s="31">
        <f t="shared" si="49"/>
        <v>70000</v>
      </c>
      <c r="F58" s="31">
        <f t="shared" si="49"/>
        <v>7500</v>
      </c>
      <c r="G58" s="31">
        <f t="shared" si="49"/>
        <v>7500</v>
      </c>
      <c r="H58" s="31">
        <f t="shared" si="49"/>
        <v>7500</v>
      </c>
      <c r="I58" s="31">
        <f t="shared" si="49"/>
        <v>7500</v>
      </c>
      <c r="J58" s="31">
        <f t="shared" si="49"/>
        <v>7500</v>
      </c>
      <c r="K58" s="31">
        <f t="shared" si="49"/>
        <v>7500</v>
      </c>
      <c r="L58" s="31">
        <f t="shared" si="49"/>
        <v>7500</v>
      </c>
      <c r="M58" s="31">
        <f t="shared" si="49"/>
        <v>7500</v>
      </c>
      <c r="N58" s="31">
        <f t="shared" si="49"/>
        <v>7500</v>
      </c>
      <c r="O58" s="31">
        <f t="shared" si="49"/>
        <v>7500</v>
      </c>
      <c r="P58" s="31">
        <f t="shared" si="49"/>
        <v>7500</v>
      </c>
      <c r="Q58" s="31">
        <f t="shared" si="49"/>
        <v>7500</v>
      </c>
      <c r="R58" s="31">
        <f t="shared" si="49"/>
        <v>7500</v>
      </c>
      <c r="S58" s="26" t="s">
        <v>74</v>
      </c>
    </row>
    <row r="59" spans="1:19" x14ac:dyDescent="0.2">
      <c r="A59" s="14" t="s">
        <v>75</v>
      </c>
      <c r="B59" s="31">
        <f t="shared" ref="B59:R59" si="50">B12</f>
        <v>0</v>
      </c>
      <c r="C59" s="31">
        <f t="shared" si="50"/>
        <v>33600</v>
      </c>
      <c r="D59" s="31">
        <f t="shared" si="50"/>
        <v>79520</v>
      </c>
      <c r="E59" s="31">
        <f t="shared" si="50"/>
        <v>174552</v>
      </c>
      <c r="F59" s="31">
        <f t="shared" si="50"/>
        <v>190696.8</v>
      </c>
      <c r="G59" s="31">
        <f t="shared" si="50"/>
        <v>253745.28000000003</v>
      </c>
      <c r="H59" s="31">
        <f t="shared" si="50"/>
        <v>329746.75200000004</v>
      </c>
      <c r="I59" s="31">
        <f t="shared" si="50"/>
        <v>518576.10240000003</v>
      </c>
      <c r="J59" s="31">
        <f t="shared" si="50"/>
        <v>528158.49216000014</v>
      </c>
      <c r="K59" s="31">
        <f t="shared" si="50"/>
        <v>699138.30368000001</v>
      </c>
      <c r="L59" s="31">
        <f t="shared" si="50"/>
        <v>811624.47331200005</v>
      </c>
      <c r="M59" s="31">
        <f t="shared" si="50"/>
        <v>896862.02598080004</v>
      </c>
      <c r="N59" s="31">
        <f t="shared" si="50"/>
        <v>864455.82338272</v>
      </c>
      <c r="O59" s="31">
        <f t="shared" si="50"/>
        <v>891322.16898720013</v>
      </c>
      <c r="P59" s="31">
        <f t="shared" si="50"/>
        <v>959043.16532640019</v>
      </c>
      <c r="Q59" s="31">
        <f t="shared" si="50"/>
        <v>1007192.06203168</v>
      </c>
      <c r="R59" s="31">
        <f t="shared" si="50"/>
        <v>1000584.783771264</v>
      </c>
      <c r="S59" s="26"/>
    </row>
    <row r="60" spans="1:19" x14ac:dyDescent="0.2">
      <c r="A60" s="7" t="s">
        <v>76</v>
      </c>
      <c r="B60" s="31">
        <f t="shared" ref="B60:R60" si="51">SUM(B61:B62)</f>
        <v>400000</v>
      </c>
      <c r="C60" s="31">
        <f t="shared" si="51"/>
        <v>33600</v>
      </c>
      <c r="D60" s="31">
        <f t="shared" si="51"/>
        <v>79520</v>
      </c>
      <c r="E60" s="31">
        <f t="shared" si="51"/>
        <v>174552</v>
      </c>
      <c r="F60" s="31">
        <f t="shared" si="51"/>
        <v>190696.8</v>
      </c>
      <c r="G60" s="31">
        <f t="shared" si="51"/>
        <v>253745.28000000003</v>
      </c>
      <c r="H60" s="31">
        <f t="shared" si="51"/>
        <v>329746.75200000004</v>
      </c>
      <c r="I60" s="31">
        <f t="shared" si="51"/>
        <v>518576.10240000003</v>
      </c>
      <c r="J60" s="31">
        <f t="shared" si="51"/>
        <v>528158.49216000014</v>
      </c>
      <c r="K60" s="31">
        <f t="shared" si="51"/>
        <v>699138.30368000001</v>
      </c>
      <c r="L60" s="31">
        <f t="shared" si="51"/>
        <v>811624.47331200005</v>
      </c>
      <c r="M60" s="31">
        <f t="shared" si="51"/>
        <v>896862.02598080004</v>
      </c>
      <c r="N60" s="31">
        <f t="shared" si="51"/>
        <v>864455.82338272</v>
      </c>
      <c r="O60" s="31">
        <f t="shared" si="51"/>
        <v>891322.16898720013</v>
      </c>
      <c r="P60" s="31">
        <f t="shared" si="51"/>
        <v>959043.16532640019</v>
      </c>
      <c r="Q60" s="31">
        <f t="shared" si="51"/>
        <v>1007192.06203168</v>
      </c>
      <c r="R60" s="31">
        <f t="shared" si="51"/>
        <v>1000584.783771264</v>
      </c>
    </row>
    <row r="61" spans="1:19" x14ac:dyDescent="0.2">
      <c r="A61" s="39" t="s">
        <v>64</v>
      </c>
      <c r="B61" s="31">
        <f>B45</f>
        <v>400000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26"/>
    </row>
    <row r="62" spans="1:19" x14ac:dyDescent="0.2">
      <c r="A62" s="14" t="s">
        <v>75</v>
      </c>
      <c r="B62" s="31"/>
      <c r="C62" s="31">
        <f t="shared" ref="C62:R62" si="52">C59</f>
        <v>33600</v>
      </c>
      <c r="D62" s="31">
        <f t="shared" si="52"/>
        <v>79520</v>
      </c>
      <c r="E62" s="31">
        <f t="shared" si="52"/>
        <v>174552</v>
      </c>
      <c r="F62" s="31">
        <f t="shared" si="52"/>
        <v>190696.8</v>
      </c>
      <c r="G62" s="31">
        <f t="shared" si="52"/>
        <v>253745.28000000003</v>
      </c>
      <c r="H62" s="31">
        <f t="shared" si="52"/>
        <v>329746.75200000004</v>
      </c>
      <c r="I62" s="31">
        <f t="shared" si="52"/>
        <v>518576.10240000003</v>
      </c>
      <c r="J62" s="31">
        <f t="shared" si="52"/>
        <v>528158.49216000014</v>
      </c>
      <c r="K62" s="31">
        <f t="shared" si="52"/>
        <v>699138.30368000001</v>
      </c>
      <c r="L62" s="31">
        <f t="shared" si="52"/>
        <v>811624.47331200005</v>
      </c>
      <c r="M62" s="31">
        <f t="shared" si="52"/>
        <v>896862.02598080004</v>
      </c>
      <c r="N62" s="31">
        <f t="shared" si="52"/>
        <v>864455.82338272</v>
      </c>
      <c r="O62" s="31">
        <f t="shared" si="52"/>
        <v>891322.16898720013</v>
      </c>
      <c r="P62" s="31">
        <f t="shared" si="52"/>
        <v>959043.16532640019</v>
      </c>
      <c r="Q62" s="31">
        <f t="shared" si="52"/>
        <v>1007192.06203168</v>
      </c>
      <c r="R62" s="31">
        <f t="shared" si="52"/>
        <v>1000584.783771264</v>
      </c>
      <c r="S62" s="26"/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财务模型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于笑颜</dc:creator>
  <cp:lastModifiedBy>Microsoft Office 用户</cp:lastModifiedBy>
  <dcterms:created xsi:type="dcterms:W3CDTF">2017-07-26T03:56:00Z</dcterms:created>
  <dcterms:modified xsi:type="dcterms:W3CDTF">2018-02-06T05:59:39Z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