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Mc_new_root\mc_RSTUDIO_BLOGDOWN\k12ivy\static\yx市调_20190512_岳阳\"/>
    </mc:Choice>
  </mc:AlternateContent>
  <bookViews>
    <workbookView xWindow="0" yWindow="0" windowWidth="21600" windowHeight="11530" activeTab="2"/>
  </bookViews>
  <sheets>
    <sheet name="预算说明目录" sheetId="1" r:id="rId1"/>
    <sheet name="1、首期投资" sheetId="2" r:id="rId2"/>
    <sheet name="2、5年收益表 - 乂学盈利模型5年" sheetId="3" r:id="rId3"/>
  </sheets>
  <calcPr calcId="152511"/>
</workbook>
</file>

<file path=xl/calcChain.xml><?xml version="1.0" encoding="utf-8"?>
<calcChain xmlns="http://schemas.openxmlformats.org/spreadsheetml/2006/main">
  <c r="K143" i="3" l="1"/>
  <c r="Q135" i="3"/>
  <c r="Q123" i="3"/>
  <c r="Q111" i="3"/>
  <c r="J103" i="3"/>
  <c r="Q99" i="3"/>
  <c r="O99" i="3"/>
  <c r="O93" i="3"/>
  <c r="J91" i="3"/>
  <c r="O90" i="3"/>
  <c r="J90" i="3"/>
  <c r="Q79" i="3"/>
  <c r="K83" i="3" s="1"/>
  <c r="Q75" i="3"/>
  <c r="K79" i="3" s="1"/>
  <c r="O75" i="3"/>
  <c r="M75" i="3"/>
  <c r="O79" i="3" s="1"/>
  <c r="Q83" i="3" s="1"/>
  <c r="K75" i="3"/>
  <c r="M79" i="3" s="1"/>
  <c r="S71" i="3"/>
  <c r="O91" i="3" s="1"/>
  <c r="S59" i="3"/>
  <c r="S60" i="3" s="1"/>
  <c r="Q68" i="3" s="1"/>
  <c r="Q72" i="3" s="1"/>
  <c r="V55" i="3"/>
  <c r="X54" i="3"/>
  <c r="U54" i="3"/>
  <c r="X53" i="3"/>
  <c r="U53" i="3"/>
  <c r="X52" i="3"/>
  <c r="U52" i="3"/>
  <c r="X51" i="3"/>
  <c r="U51" i="3"/>
  <c r="X50" i="3"/>
  <c r="U50" i="3"/>
  <c r="X49" i="3"/>
  <c r="U49" i="3"/>
  <c r="X48" i="3"/>
  <c r="U48" i="3"/>
  <c r="X47" i="3"/>
  <c r="U47" i="3"/>
  <c r="X46" i="3"/>
  <c r="U46" i="3"/>
  <c r="X45" i="3"/>
  <c r="U45" i="3"/>
  <c r="I43" i="3"/>
  <c r="H41" i="3"/>
  <c r="S32" i="3"/>
  <c r="S30" i="3" s="1"/>
  <c r="M32" i="3"/>
  <c r="M30" i="3" s="1"/>
  <c r="Q30" i="3"/>
  <c r="O30" i="3"/>
  <c r="K30" i="3"/>
  <c r="K28" i="3"/>
  <c r="S27" i="3"/>
  <c r="Q27" i="3"/>
  <c r="O27" i="3"/>
  <c r="M27" i="3"/>
  <c r="K27" i="3"/>
  <c r="K26" i="3" s="1"/>
  <c r="Q26" i="3"/>
  <c r="M26" i="3"/>
  <c r="S24" i="3"/>
  <c r="Q24" i="3"/>
  <c r="S119" i="3" s="1"/>
  <c r="M123" i="3" s="1"/>
  <c r="O24" i="3"/>
  <c r="M24" i="3"/>
  <c r="K21" i="3"/>
  <c r="K36" i="3" s="1"/>
  <c r="J36" i="3" s="1"/>
  <c r="K20" i="3"/>
  <c r="H20" i="3"/>
  <c r="M19" i="3"/>
  <c r="M20" i="3" s="1"/>
  <c r="O12" i="3"/>
  <c r="M12" i="3"/>
  <c r="K12" i="3"/>
  <c r="AD5" i="3"/>
  <c r="B10" i="2"/>
  <c r="J30" i="3" l="1"/>
  <c r="O19" i="3"/>
  <c r="Q19" i="3" s="1"/>
  <c r="Q20" i="3" s="1"/>
  <c r="M21" i="3"/>
  <c r="K38" i="3"/>
  <c r="J24" i="3"/>
  <c r="J26" i="3"/>
  <c r="L30" i="3"/>
  <c r="J25" i="3"/>
  <c r="M83" i="3"/>
  <c r="Q21" i="3"/>
  <c r="S26" i="3"/>
  <c r="M68" i="3"/>
  <c r="M72" i="3" s="1"/>
  <c r="K68" i="3"/>
  <c r="P24" i="3"/>
  <c r="O68" i="3"/>
  <c r="O72" i="3" s="1"/>
  <c r="S95" i="3"/>
  <c r="M99" i="3" s="1"/>
  <c r="S107" i="3"/>
  <c r="M111" i="3" s="1"/>
  <c r="O20" i="3"/>
  <c r="L26" i="3"/>
  <c r="O26" i="3"/>
  <c r="J108" i="3"/>
  <c r="Q76" i="3"/>
  <c r="M38" i="3"/>
  <c r="M36" i="3"/>
  <c r="L36" i="3" s="1"/>
  <c r="L24" i="3"/>
  <c r="S120" i="3"/>
  <c r="O123" i="3" s="1"/>
  <c r="J120" i="3"/>
  <c r="S19" i="3"/>
  <c r="O21" i="3"/>
  <c r="N24" i="3" s="1"/>
  <c r="M34" i="3"/>
  <c r="L34" i="3" s="1"/>
  <c r="O83" i="3"/>
  <c r="M80" i="3"/>
  <c r="K76" i="3"/>
  <c r="S131" i="3"/>
  <c r="M135" i="3" s="1"/>
  <c r="O102" i="3"/>
  <c r="O105" i="3" s="1"/>
  <c r="J102" i="3"/>
  <c r="M76" i="3"/>
  <c r="K34" i="3"/>
  <c r="J34" i="3" s="1"/>
  <c r="S76" i="3" l="1"/>
  <c r="S68" i="3"/>
  <c r="K72" i="3"/>
  <c r="S72" i="3" s="1"/>
  <c r="S132" i="3"/>
  <c r="O135" i="3" s="1"/>
  <c r="K80" i="3"/>
  <c r="S80" i="3" s="1"/>
  <c r="M40" i="3"/>
  <c r="M42" i="3" s="1"/>
  <c r="J115" i="3"/>
  <c r="O114" i="3"/>
  <c r="O115" i="3"/>
  <c r="J114" i="3"/>
  <c r="O34" i="3"/>
  <c r="N30" i="3"/>
  <c r="O38" i="3"/>
  <c r="O36" i="3"/>
  <c r="N36" i="3" s="1"/>
  <c r="L40" i="3"/>
  <c r="K40" i="3"/>
  <c r="Q36" i="3"/>
  <c r="P36" i="3" s="1"/>
  <c r="Q38" i="3"/>
  <c r="Q34" i="3"/>
  <c r="P30" i="3"/>
  <c r="P26" i="3"/>
  <c r="S21" i="3"/>
  <c r="S20" i="3"/>
  <c r="S108" i="3"/>
  <c r="O111" i="3" s="1"/>
  <c r="N26" i="3"/>
  <c r="J132" i="3"/>
  <c r="M84" i="3"/>
  <c r="S84" i="3" s="1"/>
  <c r="S34" i="3" l="1"/>
  <c r="S38" i="3"/>
  <c r="S36" i="3"/>
  <c r="R36" i="3" s="1"/>
  <c r="R30" i="3"/>
  <c r="R24" i="3"/>
  <c r="P34" i="3"/>
  <c r="P40" i="3" s="1"/>
  <c r="Q40" i="3"/>
  <c r="Q42" i="3" s="1"/>
  <c r="J40" i="3"/>
  <c r="K42" i="3"/>
  <c r="M54" i="3"/>
  <c r="M53" i="3"/>
  <c r="M52" i="3"/>
  <c r="M51" i="3"/>
  <c r="M50" i="3"/>
  <c r="M49" i="3"/>
  <c r="M48" i="3"/>
  <c r="M47" i="3"/>
  <c r="M46" i="3"/>
  <c r="M45" i="3"/>
  <c r="L42" i="3"/>
  <c r="S86" i="3"/>
  <c r="S87" i="3" s="1"/>
  <c r="N34" i="3"/>
  <c r="N40" i="3" s="1"/>
  <c r="O40" i="3"/>
  <c r="O42" i="3" s="1"/>
  <c r="O117" i="3"/>
  <c r="Q129" i="3"/>
  <c r="Q117" i="3"/>
  <c r="Q105" i="3"/>
  <c r="S105" i="3" s="1"/>
  <c r="J117" i="3"/>
  <c r="J105" i="3"/>
  <c r="J129" i="3"/>
  <c r="R26" i="3"/>
  <c r="M55" i="3" l="1"/>
  <c r="Q93" i="3"/>
  <c r="S93" i="3" s="1"/>
  <c r="J93" i="3"/>
  <c r="K53" i="3"/>
  <c r="K51" i="3"/>
  <c r="K49" i="3"/>
  <c r="K47" i="3"/>
  <c r="K45" i="3"/>
  <c r="K54" i="3"/>
  <c r="K52" i="3"/>
  <c r="K50" i="3"/>
  <c r="K48" i="3"/>
  <c r="K46" i="3"/>
  <c r="J42" i="3"/>
  <c r="R34" i="3"/>
  <c r="R40" i="3" s="1"/>
  <c r="S40" i="3"/>
  <c r="S42" i="3" s="1"/>
  <c r="J127" i="3"/>
  <c r="O126" i="3"/>
  <c r="O129" i="3" s="1"/>
  <c r="S129" i="3" s="1"/>
  <c r="O127" i="3"/>
  <c r="J126" i="3"/>
  <c r="S117" i="3"/>
  <c r="K111" i="3"/>
  <c r="S111" i="3"/>
  <c r="O54" i="3"/>
  <c r="O53" i="3"/>
  <c r="O52" i="3"/>
  <c r="O51" i="3"/>
  <c r="O50" i="3"/>
  <c r="O49" i="3"/>
  <c r="O48" i="3"/>
  <c r="O47" i="3"/>
  <c r="O46" i="3"/>
  <c r="O45" i="3"/>
  <c r="N42" i="3"/>
  <c r="Q54" i="3"/>
  <c r="Q52" i="3"/>
  <c r="Q50" i="3"/>
  <c r="Q48" i="3"/>
  <c r="Q46" i="3"/>
  <c r="Q53" i="3"/>
  <c r="Q51" i="3"/>
  <c r="Q49" i="3"/>
  <c r="Q47" i="3"/>
  <c r="Q45" i="3"/>
  <c r="P42" i="3"/>
  <c r="Q55" i="3" l="1"/>
  <c r="R42" i="3"/>
  <c r="S54" i="3"/>
  <c r="S52" i="3"/>
  <c r="Z52" i="3" s="1"/>
  <c r="S50" i="3"/>
  <c r="S48" i="3"/>
  <c r="S46" i="3"/>
  <c r="S53" i="3"/>
  <c r="Z53" i="3" s="1"/>
  <c r="S51" i="3"/>
  <c r="S49" i="3"/>
  <c r="S47" i="3"/>
  <c r="Z47" i="3" s="1"/>
  <c r="S45" i="3"/>
  <c r="Z46" i="3"/>
  <c r="Z54" i="3"/>
  <c r="Z51" i="3"/>
  <c r="K135" i="3"/>
  <c r="S135" i="3"/>
  <c r="Z50" i="3"/>
  <c r="O55" i="3"/>
  <c r="K123" i="3"/>
  <c r="S123" i="3"/>
  <c r="Z48" i="3"/>
  <c r="K55" i="3"/>
  <c r="Z45" i="3"/>
  <c r="Z49" i="3"/>
  <c r="K99" i="3"/>
  <c r="S99" i="3"/>
  <c r="Z55" i="3" l="1"/>
  <c r="S55" i="3"/>
</calcChain>
</file>

<file path=xl/comments1.xml><?xml version="1.0" encoding="utf-8"?>
<comments xmlns="http://schemas.openxmlformats.org/spreadsheetml/2006/main">
  <authors>
    <author>鹏飞</author>
  </authors>
  <commentList>
    <comment ref="AE16" authorId="0" shapeId="0">
      <text>
        <r>
          <rPr>
            <sz val="9"/>
            <rFont val="宋体"/>
            <family val="3"/>
            <charset val="134"/>
          </rPr>
          <t xml:space="preserve">300平，10个教室，6个人/教室，1课次=2小时，一天6轮课
</t>
        </r>
        <r>
          <rPr>
            <b/>
            <sz val="9"/>
            <rFont val="宋体"/>
            <family val="3"/>
            <charset val="134"/>
          </rPr>
          <t>每个学生报1科</t>
        </r>
        <r>
          <rPr>
            <sz val="9"/>
            <rFont val="宋体"/>
            <family val="3"/>
            <charset val="134"/>
          </rPr>
          <t xml:space="preserve">，周六周日两天可容纳 720个学生
</t>
        </r>
        <r>
          <rPr>
            <i/>
            <sz val="9"/>
            <rFont val="宋体"/>
            <family val="3"/>
            <charset val="134"/>
          </rPr>
          <t xml:space="preserve">2天 * 6(个学生) / 周 * 6(轮课) * 10(个教室)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每个学生报2科</t>
        </r>
        <r>
          <rPr>
            <sz val="9"/>
            <rFont val="宋体"/>
            <family val="3"/>
            <charset val="134"/>
          </rPr>
          <t xml:space="preserve">，周六周日两天可容纳 360个学生
</t>
        </r>
        <r>
          <rPr>
            <i/>
            <sz val="9"/>
            <rFont val="宋体"/>
            <family val="3"/>
            <charset val="134"/>
          </rPr>
          <t>1天 * 6(个学生) / 周 * 6(轮课) * 10(个教室)
周一周五 可容纳 600个学生
5天 * 6(个学生) / 周 * 2(轮课) * 10(个教室)</t>
        </r>
      </text>
    </comment>
  </commentList>
</comments>
</file>

<file path=xl/sharedStrings.xml><?xml version="1.0" encoding="utf-8"?>
<sst xmlns="http://schemas.openxmlformats.org/spreadsheetml/2006/main" count="300" uniqueCount="192">
  <si>
    <t>1、首期投资</t>
  </si>
  <si>
    <t>2、5年收益表</t>
  </si>
  <si>
    <t>3、5年平均投资回报率</t>
  </si>
  <si>
    <t>4、重要相关说明</t>
  </si>
  <si>
    <t>首期投资</t>
  </si>
  <si>
    <t>金额</t>
  </si>
  <si>
    <t>咨询费</t>
  </si>
  <si>
    <t>5年咨询费，含小学中学全科（教育培训者满足条件8折优惠）</t>
  </si>
  <si>
    <t>半年付租金</t>
  </si>
  <si>
    <t>半年付（300平）</t>
  </si>
  <si>
    <t>装修</t>
  </si>
  <si>
    <t>装修标准（纯毛坯适当加预算）</t>
  </si>
  <si>
    <t>固定资产</t>
  </si>
  <si>
    <t>硬件投入</t>
  </si>
  <si>
    <t>开业市场宣传</t>
  </si>
  <si>
    <t>开业宣传成本</t>
  </si>
  <si>
    <t>流动资金</t>
  </si>
  <si>
    <r>
      <rPr>
        <sz val="10"/>
        <color rgb="FF000000"/>
        <rFont val="宋体"/>
        <family val="3"/>
        <charset val="134"/>
      </rPr>
      <t>预留资金（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宋体"/>
        <family val="3"/>
        <charset val="134"/>
      </rPr>
      <t>个月）</t>
    </r>
  </si>
  <si>
    <t>总额</t>
  </si>
  <si>
    <t>全国平均值，需结合实际情况</t>
  </si>
  <si>
    <t>片区</t>
  </si>
  <si>
    <t>时间</t>
  </si>
  <si>
    <t>阶段</t>
  </si>
  <si>
    <t>第一年</t>
  </si>
  <si>
    <t>第二年</t>
  </si>
  <si>
    <t>第三年</t>
  </si>
  <si>
    <t>第四年</t>
  </si>
  <si>
    <t>第五年</t>
  </si>
  <si>
    <t>股比</t>
  </si>
  <si>
    <t>出资</t>
  </si>
  <si>
    <t>累计分红</t>
  </si>
  <si>
    <t>参数区</t>
  </si>
  <si>
    <t>标识</t>
  </si>
  <si>
    <t>↓</t>
  </si>
  <si>
    <t>√</t>
  </si>
  <si>
    <t>临湘县</t>
  </si>
  <si>
    <t>省</t>
  </si>
  <si>
    <t>市</t>
  </si>
  <si>
    <t>县</t>
  </si>
  <si>
    <t>5年咨询费，含小学中学全科</t>
  </si>
  <si>
    <t>人均课次</t>
  </si>
  <si>
    <t>*kc</t>
  </si>
  <si>
    <t>年付租金*</t>
  </si>
  <si>
    <t>可半年付（300平）</t>
  </si>
  <si>
    <t>管理学生数/师</t>
  </si>
  <si>
    <t>*ls</t>
  </si>
  <si>
    <t>装修*</t>
  </si>
  <si>
    <t>硬件投入，电脑、桌椅板凳等</t>
  </si>
  <si>
    <t>基本工资</t>
  </si>
  <si>
    <t>老师</t>
  </si>
  <si>
    <t>销售</t>
  </si>
  <si>
    <t>乂学分成</t>
  </si>
  <si>
    <t>底价</t>
  </si>
  <si>
    <t>临湘片区</t>
  </si>
  <si>
    <r>
      <rPr>
        <b/>
        <sz val="23"/>
        <color theme="0"/>
        <rFont val="宋体"/>
        <family val="3"/>
        <charset val="134"/>
      </rPr>
      <t>5年盈利模型预测</t>
    </r>
    <r>
      <rPr>
        <sz val="16"/>
        <color theme="0"/>
        <rFont val="宋体"/>
        <family val="3"/>
        <charset val="134"/>
      </rPr>
      <t>/临湘片区</t>
    </r>
  </si>
  <si>
    <t xml:space="preserve">                   收支
   构成</t>
  </si>
  <si>
    <t>成本比例</t>
  </si>
  <si>
    <t>收支结构</t>
  </si>
  <si>
    <t>在校生</t>
  </si>
  <si>
    <t>全年课时</t>
  </si>
  <si>
    <t>单课时费</t>
  </si>
  <si>
    <t>全年收入</t>
  </si>
  <si>
    <t>二、支出</t>
  </si>
  <si>
    <t>场地面积</t>
  </si>
  <si>
    <t>场地租金</t>
  </si>
  <si>
    <t>装修+硬件+流动资金</t>
  </si>
  <si>
    <t>*</t>
  </si>
  <si>
    <t>教师工资</t>
  </si>
  <si>
    <t>教师人数*</t>
  </si>
  <si>
    <t>折合月薪</t>
  </si>
  <si>
    <t>销售工资加提成</t>
  </si>
  <si>
    <t>销售人员*</t>
  </si>
  <si>
    <t>市场推广10%</t>
  </si>
  <si>
    <t>管理税收</t>
  </si>
  <si>
    <r>
      <rPr>
        <b/>
        <sz val="10"/>
        <color rgb="FF000000"/>
        <rFont val="宋体"/>
        <family val="3"/>
        <charset val="134"/>
      </rPr>
      <t>课程分成</t>
    </r>
    <r>
      <rPr>
        <sz val="8"/>
        <color rgb="FF000000"/>
        <rFont val="宋体"/>
        <family val="3"/>
        <charset val="134"/>
      </rPr>
      <t>/指导价20%</t>
    </r>
  </si>
  <si>
    <t>咨询合作费</t>
  </si>
  <si>
    <t>成本合计</t>
  </si>
  <si>
    <t>利润</t>
  </si>
  <si>
    <t xml:space="preserve">            年度分红
出资人</t>
  </si>
  <si>
    <t>第1年末</t>
  </si>
  <si>
    <t>第2年末</t>
  </si>
  <si>
    <t>第3年末</t>
  </si>
  <si>
    <t>第4年末</t>
  </si>
  <si>
    <t>第5年末</t>
  </si>
  <si>
    <t>占比</t>
  </si>
  <si>
    <t>易欣</t>
  </si>
  <si>
    <t>孙俊</t>
  </si>
  <si>
    <t>大姐</t>
  </si>
  <si>
    <t>二姐</t>
  </si>
  <si>
    <t>A</t>
  </si>
  <si>
    <t>B</t>
  </si>
  <si>
    <t>C</t>
  </si>
  <si>
    <t>D</t>
  </si>
  <si>
    <t>E</t>
  </si>
  <si>
    <t>F</t>
  </si>
  <si>
    <t>计</t>
  </si>
  <si>
    <r>
      <rPr>
        <b/>
        <sz val="23"/>
        <color theme="0"/>
        <rFont val="宋体"/>
        <family val="3"/>
        <charset val="134"/>
      </rPr>
      <t>招生进度预演</t>
    </r>
    <r>
      <rPr>
        <sz val="16"/>
        <color theme="0"/>
        <rFont val="宋体"/>
        <family val="3"/>
        <charset val="134"/>
      </rPr>
      <t>/临湘片区</t>
    </r>
  </si>
  <si>
    <t>一、第一年招生</t>
  </si>
  <si>
    <t>1课时=</t>
  </si>
  <si>
    <t>1h</t>
  </si>
  <si>
    <t>演示1：按每个月新增1个学生~~~</t>
  </si>
  <si>
    <t>1次课=</t>
  </si>
  <si>
    <t>2h</t>
  </si>
  <si>
    <t>月份</t>
  </si>
  <si>
    <r>
      <rPr>
        <sz val="10"/>
        <color rgb="FF000000"/>
        <rFont val="Helvetica"/>
        <family val="2"/>
      </rPr>
      <t>1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</si>
  <si>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2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</si>
  <si>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3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</si>
  <si>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4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</si>
  <si>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5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</si>
  <si>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6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</si>
  <si>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7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</si>
  <si>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8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</si>
  <si>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9</t>
    </r>
    <r>
      <rPr>
        <sz val="10"/>
        <color rgb="FF000000"/>
        <rFont val="宋体"/>
        <family val="3"/>
        <charset val="134"/>
      </rPr>
      <t>月</t>
    </r>
  </si>
  <si>
    <r>
      <rPr>
        <sz val="10"/>
        <color rgb="FF000000"/>
        <rFont val="Helvetica"/>
        <family val="2"/>
      </rPr>
      <t>10-11-12</t>
    </r>
    <r>
      <rPr>
        <sz val="10"/>
        <color rgb="FF000000"/>
        <rFont val="宋体"/>
        <family val="3"/>
        <charset val="134"/>
      </rPr>
      <t>月</t>
    </r>
  </si>
  <si>
    <r>
      <t>1</t>
    </r>
    <r>
      <rPr>
        <sz val="10"/>
        <color rgb="FF000000"/>
        <rFont val="宋体"/>
        <family val="3"/>
        <charset val="134"/>
      </rPr>
      <t>月份</t>
    </r>
  </si>
  <si>
    <t>新招生数</t>
  </si>
  <si>
    <t>12+12+12</t>
  </si>
  <si>
    <r>
      <t>2</t>
    </r>
    <r>
      <rPr>
        <sz val="10"/>
        <color rgb="FF000000"/>
        <rFont val="宋体"/>
        <family val="3"/>
        <charset val="134"/>
      </rPr>
      <t>月份</t>
    </r>
  </si>
  <si>
    <t>演示2：按季度排班，限额招生~~~</t>
  </si>
  <si>
    <r>
      <rPr>
        <sz val="10"/>
        <color rgb="FF000000"/>
        <rFont val="Helvetica"/>
        <family val="2"/>
      </rPr>
      <t>85</t>
    </r>
    <r>
      <rPr>
        <sz val="10"/>
        <color rgb="FF000000"/>
        <rFont val="宋体"/>
        <family val="3"/>
        <charset val="134"/>
      </rPr>
      <t>个</t>
    </r>
  </si>
  <si>
    <r>
      <t>3</t>
    </r>
    <r>
      <rPr>
        <sz val="10"/>
        <color rgb="FF000000"/>
        <rFont val="宋体"/>
        <family val="3"/>
        <charset val="134"/>
      </rPr>
      <t>月份</t>
    </r>
  </si>
  <si>
    <t>春</t>
  </si>
  <si>
    <t>暑</t>
  </si>
  <si>
    <t>秋</t>
  </si>
  <si>
    <t>寒</t>
  </si>
  <si>
    <r>
      <t>4</t>
    </r>
    <r>
      <rPr>
        <sz val="10"/>
        <color rgb="FF000000"/>
        <rFont val="宋体"/>
        <family val="3"/>
        <charset val="134"/>
      </rPr>
      <t>月份</t>
    </r>
  </si>
  <si>
    <t>3-4-5-6月</t>
  </si>
  <si>
    <t>7-8月</t>
  </si>
  <si>
    <t>9-10-11-12月</t>
  </si>
  <si>
    <t>1-2月</t>
  </si>
  <si>
    <r>
      <t>5</t>
    </r>
    <r>
      <rPr>
        <sz val="10"/>
        <color rgb="FF000000"/>
        <rFont val="宋体"/>
        <family val="3"/>
        <charset val="134"/>
      </rPr>
      <t>月份</t>
    </r>
  </si>
  <si>
    <t>课次</t>
  </si>
  <si>
    <r>
      <t>6</t>
    </r>
    <r>
      <rPr>
        <sz val="10"/>
        <color rgb="FF000000"/>
        <rFont val="宋体"/>
        <family val="3"/>
        <charset val="134"/>
      </rPr>
      <t>月份</t>
    </r>
  </si>
  <si>
    <r>
      <rPr>
        <sz val="10"/>
        <color rgb="FF000000"/>
        <rFont val="宋体"/>
        <family val="3"/>
        <charset val="134"/>
      </rPr>
      <t>课时费</t>
    </r>
    <r>
      <rPr>
        <sz val="10"/>
        <color rgb="FF000000"/>
        <rFont val="华文楷体"/>
        <family val="3"/>
        <charset val="134"/>
      </rPr>
      <t>(一科)</t>
    </r>
  </si>
  <si>
    <r>
      <t>7</t>
    </r>
    <r>
      <rPr>
        <sz val="10"/>
        <color rgb="FF000000"/>
        <rFont val="宋体"/>
        <family val="3"/>
        <charset val="134"/>
      </rPr>
      <t>月份</t>
    </r>
  </si>
  <si>
    <t>注：若此时5月底启动 9月初开业,预期招生情况如下。依次为秋季班招10人，到寒假再新招15人，春、暑各新招30人.</t>
  </si>
  <si>
    <r>
      <t>8</t>
    </r>
    <r>
      <rPr>
        <sz val="10"/>
        <color rgb="FF000000"/>
        <rFont val="宋体"/>
        <family val="3"/>
        <charset val="134"/>
      </rPr>
      <t>月份</t>
    </r>
  </si>
  <si>
    <t>第3批</t>
  </si>
  <si>
    <t>第4批</t>
  </si>
  <si>
    <t>第1批</t>
  </si>
  <si>
    <t>第2批</t>
  </si>
  <si>
    <r>
      <t>9</t>
    </r>
    <r>
      <rPr>
        <sz val="10"/>
        <color rgb="FF000000"/>
        <rFont val="宋体"/>
        <family val="3"/>
        <charset val="134"/>
      </rPr>
      <t>月份</t>
    </r>
  </si>
  <si>
    <t>招新生</t>
  </si>
  <si>
    <t>9月份</t>
  </si>
  <si>
    <t>xz</t>
  </si>
  <si>
    <t>学费收入</t>
  </si>
  <si>
    <r>
      <t>1</t>
    </r>
    <r>
      <rPr>
        <sz val="10"/>
        <color rgb="FF000000"/>
        <rFont val="宋体"/>
        <family val="3"/>
        <charset val="134"/>
      </rPr>
      <t>0月份</t>
    </r>
  </si>
  <si>
    <t>寒假、春季、暑假续班情况假设如下</t>
  </si>
  <si>
    <t>假设续班率：</t>
  </si>
  <si>
    <r>
      <t>1</t>
    </r>
    <r>
      <rPr>
        <sz val="10"/>
        <color rgb="FF000000"/>
        <rFont val="宋体"/>
        <family val="3"/>
        <charset val="134"/>
      </rPr>
      <t>1月份</t>
    </r>
  </si>
  <si>
    <t>第2批续班</t>
  </si>
  <si>
    <t>第3批续班</t>
  </si>
  <si>
    <t>第4批续班</t>
  </si>
  <si>
    <t>第1批续班</t>
  </si>
  <si>
    <t>续班</t>
  </si>
  <si>
    <r>
      <t>1</t>
    </r>
    <r>
      <rPr>
        <sz val="10"/>
        <color rgb="FF000000"/>
        <rFont val="宋体"/>
        <family val="3"/>
        <charset val="134"/>
      </rPr>
      <t>2月份</t>
    </r>
  </si>
  <si>
    <t>第1批2次续班</t>
  </si>
  <si>
    <t>第2批2次续班</t>
  </si>
  <si>
    <t>第3批2次续班</t>
  </si>
  <si>
    <t>第4批2次续班</t>
  </si>
  <si>
    <t>第4批3次续班</t>
  </si>
  <si>
    <t>第1批3次续班</t>
  </si>
  <si>
    <t>第2批3次续班</t>
  </si>
  <si>
    <t>第3批3次续班</t>
  </si>
  <si>
    <t>第一年收入(1科)</t>
  </si>
  <si>
    <t>第一年收入(1.5科)</t>
  </si>
  <si>
    <t>全国数据每个学生报2-3科，按最差的人均1.5科算</t>
  </si>
  <si>
    <t>二、第二年招生</t>
  </si>
  <si>
    <t>新招</t>
  </si>
  <si>
    <t>第二年收入</t>
  </si>
  <si>
    <t>X</t>
  </si>
  <si>
    <t>-</t>
  </si>
  <si>
    <t>房租</t>
  </si>
  <si>
    <t>人工</t>
  </si>
  <si>
    <t>10个人*12月*4000</t>
  </si>
  <si>
    <t>宣传</t>
  </si>
  <si>
    <t>=</t>
  </si>
  <si>
    <t>三、第三年招生</t>
  </si>
  <si>
    <t>第二年收入(2科)</t>
  </si>
  <si>
    <t>四、第四年招生</t>
  </si>
  <si>
    <t>假设转介绍率：</t>
  </si>
  <si>
    <t>新招+转介绍</t>
  </si>
  <si>
    <t>五、第五年招生</t>
  </si>
  <si>
    <t>学费收入为单科人次在校生，如果一个学生报1.5个科目第一年目标为53在校生80人次。</t>
  </si>
  <si>
    <t>以上数据需要减去五年的前期投入分摊，按照高的去预估，每年减去10万分摊。</t>
  </si>
  <si>
    <t>月薪</t>
  </si>
  <si>
    <t>我目前考虑，自己20万、易欣20万，我大姐20万，二姐10万。</t>
  </si>
  <si>
    <t>张老师，我和易欣按照20万，其他人按照10万一个，共130万来算，进行利润分配</t>
  </si>
  <si>
    <t>演示备份</t>
  </si>
  <si>
    <t>————</t>
  </si>
  <si>
    <t>40万我和易欣，分配利润的40%，其他9人60%。</t>
  </si>
  <si>
    <t>岳阳片区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</si>
</sst>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8" formatCode="00.0\ &quot;万&quot;"/>
    <numFmt numFmtId="179" formatCode="0\.0,&quot;万&quot;"/>
    <numFmt numFmtId="180" formatCode="0&quot;元/小时&quot;"/>
    <numFmt numFmtId="181" formatCode="0\ &quot;人&quot;"/>
    <numFmt numFmtId="182" formatCode="0\ &quot;m²&quot;"/>
    <numFmt numFmtId="183" formatCode="#,##0%"/>
    <numFmt numFmtId="184" formatCode="#,##0.0%"/>
    <numFmt numFmtId="185" formatCode="0\ &quot;元&quot;"/>
  </numFmts>
  <fonts count="43" x14ac:knownFonts="1">
    <font>
      <sz val="10"/>
      <color indexed="8"/>
      <name val="Helvetica"/>
      <charset val="134"/>
    </font>
    <font>
      <sz val="10"/>
      <color rgb="FF000000"/>
      <name val="宋体"/>
      <family val="3"/>
      <charset val="134"/>
    </font>
    <font>
      <sz val="10"/>
      <color rgb="FF000000"/>
      <name val="华文楷体"/>
      <family val="3"/>
      <charset val="134"/>
    </font>
    <font>
      <sz val="10"/>
      <color indexed="8"/>
      <name val="华文楷体"/>
      <family val="3"/>
      <charset val="134"/>
    </font>
    <font>
      <b/>
      <sz val="12"/>
      <color rgb="FF000000"/>
      <name val="宋体"/>
      <family val="3"/>
      <charset val="134"/>
    </font>
    <font>
      <b/>
      <sz val="10"/>
      <color indexed="8"/>
      <name val="华文楷体"/>
      <family val="3"/>
      <charset val="134"/>
    </font>
    <font>
      <b/>
      <sz val="10"/>
      <color indexed="8"/>
      <name val="Helvetica"/>
      <family val="2"/>
    </font>
    <font>
      <b/>
      <sz val="11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23"/>
      <color theme="0"/>
      <name val="宋体"/>
      <family val="3"/>
      <charset val="134"/>
    </font>
    <font>
      <b/>
      <sz val="23"/>
      <color theme="0"/>
      <name val="Helvetica"/>
      <family val="2"/>
    </font>
    <font>
      <b/>
      <sz val="10"/>
      <color rgb="FF000000"/>
      <name val="Helvetica"/>
      <family val="2"/>
    </font>
    <font>
      <b/>
      <sz val="10"/>
      <color rgb="FFFF0000"/>
      <name val="Helvetica"/>
      <family val="2"/>
    </font>
    <font>
      <sz val="10"/>
      <color rgb="FFF4F4F4"/>
      <name val="Helvetica"/>
      <family val="2"/>
    </font>
    <font>
      <b/>
      <sz val="10"/>
      <color theme="7" tint="-0.249977111117893"/>
      <name val="Helvetica"/>
      <family val="2"/>
    </font>
    <font>
      <sz val="8"/>
      <color indexed="8"/>
      <name val="华文楷体"/>
      <family val="3"/>
      <charset val="134"/>
    </font>
    <font>
      <sz val="9"/>
      <color indexed="8"/>
      <name val="华文楷体"/>
      <family val="3"/>
      <charset val="134"/>
    </font>
    <font>
      <sz val="10"/>
      <color theme="1" tint="0.499984740745262"/>
      <name val="华文宋体"/>
      <family val="3"/>
      <charset val="134"/>
    </font>
    <font>
      <sz val="10"/>
      <color theme="1" tint="0.499984740745262"/>
      <name val="Helvetica"/>
      <family val="2"/>
    </font>
    <font>
      <sz val="10"/>
      <color theme="1"/>
      <name val="Helvetica"/>
      <family val="2"/>
    </font>
    <font>
      <b/>
      <sz val="11"/>
      <color indexed="8"/>
      <name val="Helvetica"/>
      <family val="2"/>
    </font>
    <font>
      <b/>
      <sz val="11"/>
      <color rgb="FFFF0000"/>
      <name val="Helvetica"/>
      <family val="2"/>
    </font>
    <font>
      <b/>
      <sz val="10"/>
      <color rgb="FF000000"/>
      <name val="华文楷体"/>
      <family val="3"/>
      <charset val="134"/>
    </font>
    <font>
      <sz val="10"/>
      <color theme="1" tint="0.34998626667073579"/>
      <name val="华文楷体"/>
      <family val="3"/>
      <charset val="134"/>
    </font>
    <font>
      <sz val="10"/>
      <color rgb="FF000000"/>
      <name val="Helvetica"/>
      <family val="2"/>
    </font>
    <font>
      <sz val="10"/>
      <color rgb="FFFF0000"/>
      <name val="Helvetica"/>
      <family val="2"/>
    </font>
    <font>
      <sz val="10"/>
      <color theme="3" tint="0.59999389629810485"/>
      <name val="华文楷体"/>
      <family val="3"/>
      <charset val="134"/>
    </font>
    <font>
      <sz val="10"/>
      <color theme="0"/>
      <name val="华文楷体"/>
      <family val="3"/>
      <charset val="134"/>
    </font>
    <font>
      <sz val="10"/>
      <color theme="0"/>
      <name val="Helvetica"/>
      <family val="2"/>
    </font>
    <font>
      <sz val="10"/>
      <color theme="1"/>
      <name val="华文楷体"/>
      <family val="3"/>
      <charset val="134"/>
    </font>
    <font>
      <sz val="10"/>
      <color theme="1" tint="0.34998626667073579"/>
      <name val="Helvetica"/>
      <family val="2"/>
    </font>
    <font>
      <sz val="10"/>
      <color theme="4"/>
      <name val="华文楷体"/>
      <family val="3"/>
      <charset val="134"/>
    </font>
    <font>
      <b/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华文宋体"/>
      <family val="3"/>
      <charset val="134"/>
    </font>
    <font>
      <sz val="16"/>
      <color theme="0"/>
      <name val="宋体"/>
      <family val="3"/>
      <charset val="134"/>
    </font>
    <font>
      <sz val="8"/>
      <color rgb="FF000000"/>
      <name val="宋体"/>
      <family val="3"/>
      <charset val="134"/>
    </font>
    <font>
      <i/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Helvetica"/>
      <family val="2"/>
    </font>
    <font>
      <sz val="9"/>
      <color indexed="8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1D4B1C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ck">
        <color theme="0"/>
      </top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 style="thin">
        <color rgb="FFA5A5A5"/>
      </diagonal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double">
        <color rgb="FFA5A5A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double">
        <color rgb="FFA5A5A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rgb="FFA5A5A5"/>
      </top>
      <bottom style="thin">
        <color indexed="10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rgb="FFA5A5A5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rgb="FFA5A5A5"/>
      </right>
      <top style="thin">
        <color indexed="10"/>
      </top>
      <bottom style="thin">
        <color indexed="11"/>
      </bottom>
      <diagonal/>
    </border>
    <border>
      <left/>
      <right style="thin">
        <color rgb="FFA5A5A5"/>
      </right>
      <top style="thin">
        <color indexed="11"/>
      </top>
      <bottom style="thin">
        <color indexed="10"/>
      </bottom>
      <diagonal/>
    </border>
    <border>
      <left/>
      <right style="thin">
        <color rgb="FFA5A5A5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1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left" vertical="center"/>
    </xf>
    <xf numFmtId="0" fontId="6" fillId="3" borderId="7" xfId="0" applyNumberFormat="1" applyFont="1" applyFill="1" applyBorder="1" applyAlignment="1">
      <alignment horizontal="left" vertical="center" indent="1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left" vertical="center"/>
    </xf>
    <xf numFmtId="0" fontId="9" fillId="3" borderId="12" xfId="0" applyNumberFormat="1" applyFont="1" applyFill="1" applyBorder="1" applyAlignment="1">
      <alignment horizontal="left" vertical="center" indent="1"/>
    </xf>
    <xf numFmtId="0" fontId="0" fillId="0" borderId="13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6" fillId="3" borderId="12" xfId="0" applyNumberFormat="1" applyFont="1" applyFill="1" applyBorder="1" applyAlignment="1">
      <alignment horizontal="left" vertical="center" indent="1"/>
    </xf>
    <xf numFmtId="0" fontId="6" fillId="3" borderId="12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12" fillId="2" borderId="16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7" borderId="4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0" fillId="5" borderId="17" xfId="0" applyNumberFormat="1" applyFont="1" applyFill="1" applyBorder="1" applyAlignment="1">
      <alignment horizontal="center" vertical="center" wrapText="1"/>
    </xf>
    <xf numFmtId="0" fontId="13" fillId="5" borderId="18" xfId="0" applyNumberFormat="1" applyFont="1" applyFill="1" applyBorder="1" applyAlignment="1">
      <alignment horizontal="center" vertical="center" wrapText="1"/>
    </xf>
    <xf numFmtId="0" fontId="0" fillId="6" borderId="18" xfId="0" applyNumberFormat="1" applyFont="1" applyFill="1" applyBorder="1" applyAlignment="1">
      <alignment horizontal="center" vertical="center" wrapText="1"/>
    </xf>
    <xf numFmtId="0" fontId="0" fillId="7" borderId="18" xfId="0" applyNumberFormat="1" applyFont="1" applyFill="1" applyBorder="1" applyAlignment="1">
      <alignment horizontal="center" vertical="center" wrapText="1"/>
    </xf>
    <xf numFmtId="0" fontId="0" fillId="5" borderId="18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0" fillId="5" borderId="19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 vertical="center" wrapText="1"/>
    </xf>
    <xf numFmtId="180" fontId="13" fillId="5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center" vertical="top" wrapText="1"/>
    </xf>
    <xf numFmtId="49" fontId="9" fillId="3" borderId="12" xfId="0" applyNumberFormat="1" applyFont="1" applyFill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179" fontId="6" fillId="5" borderId="20" xfId="0" applyNumberFormat="1" applyFont="1" applyFill="1" applyBorder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7" borderId="1" xfId="0" applyNumberFormat="1" applyFont="1" applyFill="1" applyBorder="1" applyAlignment="1">
      <alignment horizontal="center" vertical="center" wrapText="1"/>
    </xf>
    <xf numFmtId="182" fontId="0" fillId="5" borderId="1" xfId="0" applyNumberFormat="1" applyFont="1" applyFill="1" applyBorder="1" applyAlignment="1">
      <alignment horizontal="center" vertical="center" wrapText="1"/>
    </xf>
    <xf numFmtId="182" fontId="0" fillId="6" borderId="1" xfId="0" applyNumberFormat="1" applyFont="1" applyFill="1" applyBorder="1" applyAlignment="1">
      <alignment horizontal="center" vertical="center" wrapText="1"/>
    </xf>
    <xf numFmtId="182" fontId="0" fillId="7" borderId="1" xfId="0" applyNumberFormat="1" applyFont="1" applyFill="1" applyBorder="1" applyAlignment="1">
      <alignment horizontal="center" vertical="center" wrapText="1"/>
    </xf>
    <xf numFmtId="183" fontId="0" fillId="5" borderId="19" xfId="0" applyNumberFormat="1" applyFont="1" applyFill="1" applyBorder="1" applyAlignment="1">
      <alignment horizontal="center" vertical="center" wrapText="1"/>
    </xf>
    <xf numFmtId="3" fontId="15" fillId="5" borderId="1" xfId="0" applyNumberFormat="1" applyFont="1" applyFill="1" applyBorder="1" applyAlignment="1">
      <alignment horizontal="center" vertical="center" wrapText="1"/>
    </xf>
    <xf numFmtId="183" fontId="0" fillId="6" borderId="1" xfId="0" applyNumberFormat="1" applyFont="1" applyFill="1" applyBorder="1" applyAlignment="1">
      <alignment horizontal="center" vertical="center" wrapText="1"/>
    </xf>
    <xf numFmtId="3" fontId="0" fillId="6" borderId="1" xfId="0" applyNumberFormat="1" applyFont="1" applyFill="1" applyBorder="1" applyAlignment="1">
      <alignment horizontal="center" vertical="center" wrapText="1"/>
    </xf>
    <xf numFmtId="183" fontId="0" fillId="7" borderId="1" xfId="0" applyNumberFormat="1" applyFont="1" applyFill="1" applyBorder="1" applyAlignment="1">
      <alignment horizontal="center" vertical="center" wrapText="1"/>
    </xf>
    <xf numFmtId="3" fontId="0" fillId="7" borderId="1" xfId="0" applyNumberFormat="1" applyFont="1" applyFill="1" applyBorder="1" applyAlignment="1">
      <alignment horizontal="center" vertical="center" wrapText="1"/>
    </xf>
    <xf numFmtId="183" fontId="0" fillId="5" borderId="1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right" vertical="top" wrapText="1" indent="1"/>
    </xf>
    <xf numFmtId="183" fontId="17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right" vertical="top" wrapText="1" indent="1"/>
    </xf>
    <xf numFmtId="3" fontId="0" fillId="5" borderId="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0" fontId="15" fillId="5" borderId="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0" fontId="18" fillId="5" borderId="20" xfId="0" applyNumberFormat="1" applyFont="1" applyFill="1" applyBorder="1" applyAlignment="1">
      <alignment horizontal="center" vertical="center" wrapText="1"/>
    </xf>
    <xf numFmtId="0" fontId="19" fillId="6" borderId="1" xfId="0" applyNumberFormat="1" applyFont="1" applyFill="1" applyBorder="1" applyAlignment="1">
      <alignment horizontal="center" vertical="center" wrapText="1"/>
    </xf>
    <xf numFmtId="0" fontId="18" fillId="6" borderId="1" xfId="0" applyNumberFormat="1" applyFont="1" applyFill="1" applyBorder="1" applyAlignment="1">
      <alignment horizontal="center" vertical="center" wrapText="1"/>
    </xf>
    <xf numFmtId="0" fontId="19" fillId="7" borderId="1" xfId="0" applyNumberFormat="1" applyFont="1" applyFill="1" applyBorder="1" applyAlignment="1">
      <alignment horizontal="center" vertical="center" wrapText="1"/>
    </xf>
    <xf numFmtId="0" fontId="18" fillId="7" borderId="1" xfId="0" applyNumberFormat="1" applyFont="1" applyFill="1" applyBorder="1" applyAlignment="1">
      <alignment horizontal="center" vertical="center" wrapText="1"/>
    </xf>
    <xf numFmtId="0" fontId="19" fillId="5" borderId="1" xfId="0" applyNumberFormat="1" applyFont="1" applyFill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0" fontId="0" fillId="5" borderId="22" xfId="0" applyNumberFormat="1" applyFont="1" applyFill="1" applyBorder="1" applyAlignment="1">
      <alignment horizontal="center" vertical="center" wrapText="1"/>
    </xf>
    <xf numFmtId="3" fontId="0" fillId="5" borderId="23" xfId="0" applyNumberFormat="1" applyFont="1" applyFill="1" applyBorder="1" applyAlignment="1">
      <alignment horizontal="center" vertical="center" wrapText="1"/>
    </xf>
    <xf numFmtId="0" fontId="0" fillId="6" borderId="23" xfId="0" applyFont="1" applyFill="1" applyBorder="1" applyAlignment="1">
      <alignment horizontal="center" vertical="center" wrapText="1"/>
    </xf>
    <xf numFmtId="3" fontId="0" fillId="6" borderId="23" xfId="0" applyNumberFormat="1" applyFont="1" applyFill="1" applyBorder="1" applyAlignment="1">
      <alignment horizontal="center" vertical="center" wrapText="1"/>
    </xf>
    <xf numFmtId="0" fontId="0" fillId="7" borderId="23" xfId="0" applyFont="1" applyFill="1" applyBorder="1" applyAlignment="1">
      <alignment horizontal="center" vertical="center" wrapText="1"/>
    </xf>
    <xf numFmtId="3" fontId="0" fillId="7" borderId="23" xfId="0" applyNumberFormat="1" applyFont="1" applyFill="1" applyBorder="1" applyAlignment="1">
      <alignment horizontal="center" vertical="center" wrapText="1"/>
    </xf>
    <xf numFmtId="0" fontId="0" fillId="5" borderId="23" xfId="0" applyFont="1" applyFill="1" applyBorder="1" applyAlignment="1">
      <alignment horizontal="center" vertical="center" wrapText="1"/>
    </xf>
    <xf numFmtId="0" fontId="17" fillId="0" borderId="0" xfId="0" applyNumberFormat="1" applyFont="1" applyAlignment="1">
      <alignment horizontal="right" vertical="top" wrapText="1" indent="1"/>
    </xf>
    <xf numFmtId="49" fontId="6" fillId="3" borderId="24" xfId="0" applyNumberFormat="1" applyFont="1" applyFill="1" applyBorder="1" applyAlignment="1">
      <alignment horizontal="center" vertical="center" wrapText="1"/>
    </xf>
    <xf numFmtId="179" fontId="20" fillId="5" borderId="26" xfId="0" applyNumberFormat="1" applyFont="1" applyFill="1" applyBorder="1" applyAlignment="1">
      <alignment horizontal="center" vertical="center" wrapText="1"/>
    </xf>
    <xf numFmtId="183" fontId="0" fillId="6" borderId="26" xfId="0" applyNumberFormat="1" applyFont="1" applyFill="1" applyBorder="1" applyAlignment="1">
      <alignment horizontal="center" vertical="center" wrapText="1"/>
    </xf>
    <xf numFmtId="179" fontId="20" fillId="6" borderId="26" xfId="0" applyNumberFormat="1" applyFont="1" applyFill="1" applyBorder="1" applyAlignment="1">
      <alignment horizontal="center" vertical="center" wrapText="1"/>
    </xf>
    <xf numFmtId="183" fontId="0" fillId="7" borderId="26" xfId="0" applyNumberFormat="1" applyFont="1" applyFill="1" applyBorder="1" applyAlignment="1">
      <alignment horizontal="center" vertical="center" wrapText="1"/>
    </xf>
    <xf numFmtId="179" fontId="20" fillId="7" borderId="26" xfId="0" applyNumberFormat="1" applyFont="1" applyFill="1" applyBorder="1" applyAlignment="1">
      <alignment horizontal="center" vertical="center" wrapText="1"/>
    </xf>
    <xf numFmtId="183" fontId="0" fillId="5" borderId="2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 vertical="top" wrapText="1"/>
    </xf>
    <xf numFmtId="183" fontId="13" fillId="5" borderId="19" xfId="0" applyNumberFormat="1" applyFont="1" applyFill="1" applyBorder="1" applyAlignment="1">
      <alignment horizontal="center" vertical="center" wrapText="1"/>
    </xf>
    <xf numFmtId="179" fontId="21" fillId="5" borderId="1" xfId="0" applyNumberFormat="1" applyFont="1" applyFill="1" applyBorder="1" applyAlignment="1">
      <alignment horizontal="center" vertical="center" wrapText="1"/>
    </xf>
    <xf numFmtId="179" fontId="21" fillId="6" borderId="1" xfId="0" applyNumberFormat="1" applyFont="1" applyFill="1" applyBorder="1" applyAlignment="1">
      <alignment horizontal="center" vertical="center" wrapText="1"/>
    </xf>
    <xf numFmtId="179" fontId="22" fillId="7" borderId="1" xfId="0" applyNumberFormat="1" applyFont="1" applyFill="1" applyBorder="1" applyAlignment="1">
      <alignment horizontal="center" vertical="center" wrapText="1"/>
    </xf>
    <xf numFmtId="0" fontId="23" fillId="0" borderId="27" xfId="0" applyNumberFormat="1" applyFont="1" applyBorder="1" applyAlignment="1">
      <alignment horizontal="left" vertical="top" wrapText="1"/>
    </xf>
    <xf numFmtId="0" fontId="0" fillId="0" borderId="28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1" fillId="0" borderId="28" xfId="0" applyNumberFormat="1" applyFont="1" applyBorder="1" applyAlignment="1">
      <alignment horizontal="center" vertical="top"/>
    </xf>
    <xf numFmtId="0" fontId="0" fillId="0" borderId="28" xfId="0" applyNumberFormat="1" applyFont="1" applyBorder="1" applyAlignment="1">
      <alignment horizontal="center" vertical="top" wrapText="1"/>
    </xf>
    <xf numFmtId="179" fontId="0" fillId="0" borderId="28" xfId="0" applyNumberFormat="1" applyFont="1" applyBorder="1" applyAlignment="1">
      <alignment horizontal="center" vertical="top" wrapText="1"/>
    </xf>
    <xf numFmtId="0" fontId="0" fillId="0" borderId="28" xfId="0" applyNumberFormat="1" applyFont="1" applyBorder="1" applyAlignment="1">
      <alignment vertical="top" wrapText="1"/>
    </xf>
    <xf numFmtId="0" fontId="0" fillId="0" borderId="28" xfId="0" applyNumberFormat="1" applyFont="1" applyBorder="1" applyAlignment="1">
      <alignment horizontal="center" vertical="top"/>
    </xf>
    <xf numFmtId="183" fontId="1" fillId="0" borderId="29" xfId="0" applyNumberFormat="1" applyFont="1" applyBorder="1" applyAlignment="1">
      <alignment horizontal="center" vertical="top"/>
    </xf>
    <xf numFmtId="0" fontId="0" fillId="0" borderId="30" xfId="0" applyNumberFormat="1" applyFont="1" applyBorder="1" applyAlignment="1">
      <alignment vertical="top" wrapText="1"/>
    </xf>
    <xf numFmtId="179" fontId="20" fillId="0" borderId="2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top" wrapText="1"/>
    </xf>
    <xf numFmtId="0" fontId="24" fillId="0" borderId="0" xfId="0" applyNumberFormat="1" applyFont="1" applyAlignment="1">
      <alignment vertical="top" wrapText="1"/>
    </xf>
    <xf numFmtId="0" fontId="1" fillId="0" borderId="28" xfId="0" applyNumberFormat="1" applyFont="1" applyBorder="1" applyAlignment="1">
      <alignment vertical="top"/>
    </xf>
    <xf numFmtId="0" fontId="25" fillId="0" borderId="28" xfId="0" applyNumberFormat="1" applyFont="1" applyBorder="1" applyAlignment="1">
      <alignment horizontal="center" vertical="top"/>
    </xf>
    <xf numFmtId="0" fontId="25" fillId="0" borderId="0" xfId="0" applyNumberFormat="1" applyFont="1" applyAlignment="1">
      <alignment vertical="top"/>
    </xf>
    <xf numFmtId="0" fontId="1" fillId="0" borderId="28" xfId="0" applyFont="1" applyBorder="1" applyAlignment="1">
      <alignment horizontal="center" vertical="top" wrapText="1"/>
    </xf>
    <xf numFmtId="0" fontId="6" fillId="2" borderId="31" xfId="0" applyNumberFormat="1" applyFont="1" applyFill="1" applyBorder="1" applyAlignment="1">
      <alignment horizontal="center" vertical="center"/>
    </xf>
    <xf numFmtId="0" fontId="6" fillId="2" borderId="32" xfId="0" applyNumberFormat="1" applyFont="1" applyFill="1" applyBorder="1" applyAlignment="1">
      <alignment horizontal="center" vertical="center"/>
    </xf>
    <xf numFmtId="0" fontId="1" fillId="0" borderId="33" xfId="0" applyNumberFormat="1" applyFont="1" applyBorder="1" applyAlignment="1">
      <alignment horizontal="right" vertical="center"/>
    </xf>
    <xf numFmtId="0" fontId="1" fillId="0" borderId="34" xfId="0" applyNumberFormat="1" applyFont="1" applyBorder="1" applyAlignment="1">
      <alignment horizontal="right" vertical="center"/>
    </xf>
    <xf numFmtId="0" fontId="0" fillId="0" borderId="34" xfId="0" applyNumberFormat="1" applyFont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 wrapText="1"/>
    </xf>
    <xf numFmtId="0" fontId="0" fillId="8" borderId="18" xfId="0" applyNumberFormat="1" applyFont="1" applyFill="1" applyBorder="1" applyAlignment="1">
      <alignment horizontal="center" vertical="center" wrapText="1"/>
    </xf>
    <xf numFmtId="0" fontId="0" fillId="8" borderId="1" xfId="0" applyNumberFormat="1" applyFont="1" applyFill="1" applyBorder="1" applyAlignment="1">
      <alignment horizontal="center" vertical="center" wrapText="1"/>
    </xf>
    <xf numFmtId="179" fontId="6" fillId="5" borderId="1" xfId="0" applyNumberFormat="1" applyFont="1" applyFill="1" applyBorder="1" applyAlignment="1">
      <alignment horizontal="center" vertical="center" wrapText="1"/>
    </xf>
    <xf numFmtId="179" fontId="6" fillId="8" borderId="1" xfId="0" applyNumberFormat="1" applyFont="1" applyFill="1" applyBorder="1" applyAlignment="1">
      <alignment horizontal="center" vertical="center" wrapText="1"/>
    </xf>
    <xf numFmtId="182" fontId="0" fillId="8" borderId="1" xfId="0" applyNumberFormat="1" applyFont="1" applyFill="1" applyBorder="1" applyAlignment="1">
      <alignment horizontal="center" vertical="center" wrapText="1"/>
    </xf>
    <xf numFmtId="183" fontId="0" fillId="8" borderId="1" xfId="0" applyNumberFormat="1" applyFont="1" applyFill="1" applyBorder="1" applyAlignment="1">
      <alignment horizontal="center" vertical="center" wrapText="1"/>
    </xf>
    <xf numFmtId="3" fontId="0" fillId="8" borderId="1" xfId="0" applyNumberFormat="1" applyFont="1" applyFill="1" applyBorder="1" applyAlignment="1">
      <alignment horizontal="center" vertical="center" wrapText="1"/>
    </xf>
    <xf numFmtId="0" fontId="18" fillId="5" borderId="1" xfId="0" applyNumberFormat="1" applyFont="1" applyFill="1" applyBorder="1" applyAlignment="1">
      <alignment horizontal="center" vertical="center" wrapText="1"/>
    </xf>
    <xf numFmtId="0" fontId="19" fillId="8" borderId="1" xfId="0" applyNumberFormat="1" applyFont="1" applyFill="1" applyBorder="1" applyAlignment="1">
      <alignment horizontal="center" vertical="center" wrapText="1"/>
    </xf>
    <xf numFmtId="0" fontId="18" fillId="8" borderId="1" xfId="0" applyNumberFormat="1" applyFont="1" applyFill="1" applyBorder="1" applyAlignment="1">
      <alignment horizontal="center" vertical="center" wrapText="1"/>
    </xf>
    <xf numFmtId="0" fontId="0" fillId="8" borderId="23" xfId="0" applyFont="1" applyFill="1" applyBorder="1" applyAlignment="1">
      <alignment horizontal="center" vertical="center" wrapText="1"/>
    </xf>
    <xf numFmtId="3" fontId="0" fillId="8" borderId="23" xfId="0" applyNumberFormat="1" applyFont="1" applyFill="1" applyBorder="1" applyAlignment="1">
      <alignment horizontal="center" vertical="center" wrapText="1"/>
    </xf>
    <xf numFmtId="183" fontId="0" fillId="8" borderId="26" xfId="0" applyNumberFormat="1" applyFont="1" applyFill="1" applyBorder="1" applyAlignment="1">
      <alignment horizontal="center" vertical="center" wrapText="1"/>
    </xf>
    <xf numFmtId="179" fontId="20" fillId="8" borderId="26" xfId="0" applyNumberFormat="1" applyFont="1" applyFill="1" applyBorder="1" applyAlignment="1">
      <alignment horizontal="center" vertical="center" wrapText="1"/>
    </xf>
    <xf numFmtId="179" fontId="22" fillId="8" borderId="1" xfId="0" applyNumberFormat="1" applyFont="1" applyFill="1" applyBorder="1" applyAlignment="1">
      <alignment horizontal="center" vertical="center" wrapText="1"/>
    </xf>
    <xf numFmtId="184" fontId="3" fillId="0" borderId="28" xfId="0" applyNumberFormat="1" applyFont="1" applyBorder="1" applyAlignment="1">
      <alignment vertical="top"/>
    </xf>
    <xf numFmtId="178" fontId="26" fillId="0" borderId="28" xfId="0" applyNumberFormat="1" applyFont="1" applyFill="1" applyBorder="1" applyAlignment="1">
      <alignment horizontal="center" vertical="top" wrapText="1"/>
    </xf>
    <xf numFmtId="178" fontId="20" fillId="0" borderId="29" xfId="0" applyNumberFormat="1" applyFont="1" applyFill="1" applyBorder="1" applyAlignment="1">
      <alignment horizontal="center" vertical="center" wrapText="1"/>
    </xf>
    <xf numFmtId="0" fontId="24" fillId="0" borderId="28" xfId="0" applyNumberFormat="1" applyFont="1" applyBorder="1" applyAlignment="1">
      <alignment horizontal="center" vertical="top" wrapText="1"/>
    </xf>
    <xf numFmtId="185" fontId="24" fillId="0" borderId="28" xfId="0" applyNumberFormat="1" applyFont="1" applyBorder="1" applyAlignment="1">
      <alignment horizontal="center" vertical="top" wrapText="1"/>
    </xf>
    <xf numFmtId="0" fontId="25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/>
    </xf>
    <xf numFmtId="0" fontId="25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 wrapText="1"/>
    </xf>
    <xf numFmtId="0" fontId="1" fillId="0" borderId="28" xfId="0" applyNumberFormat="1" applyFont="1" applyBorder="1" applyAlignment="1">
      <alignment vertical="top" wrapText="1"/>
    </xf>
    <xf numFmtId="0" fontId="25" fillId="9" borderId="28" xfId="0" applyNumberFormat="1" applyFont="1" applyFill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0" fillId="0" borderId="28" xfId="0" applyNumberFormat="1" applyFont="1" applyBorder="1" applyAlignment="1">
      <alignment vertical="top"/>
    </xf>
    <xf numFmtId="0" fontId="0" fillId="9" borderId="28" xfId="0" applyNumberFormat="1" applyFont="1" applyFill="1" applyBorder="1" applyAlignment="1">
      <alignment vertical="top"/>
    </xf>
    <xf numFmtId="9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181" fontId="25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0" fillId="0" borderId="0" xfId="0" applyNumberFormat="1" applyFont="1" applyAlignment="1">
      <alignment horizontal="center" vertical="top"/>
    </xf>
    <xf numFmtId="0" fontId="0" fillId="10" borderId="35" xfId="0" applyNumberFormat="1" applyFont="1" applyFill="1" applyBorder="1" applyAlignment="1">
      <alignment vertical="top" wrapText="1"/>
    </xf>
    <xf numFmtId="0" fontId="1" fillId="10" borderId="36" xfId="0" applyNumberFormat="1" applyFont="1" applyFill="1" applyBorder="1" applyAlignment="1">
      <alignment horizontal="center" vertical="top" wrapText="1"/>
    </xf>
    <xf numFmtId="0" fontId="0" fillId="9" borderId="35" xfId="0" applyNumberFormat="1" applyFont="1" applyFill="1" applyBorder="1" applyAlignment="1">
      <alignment vertical="top" wrapText="1"/>
    </xf>
    <xf numFmtId="0" fontId="1" fillId="9" borderId="36" xfId="0" applyNumberFormat="1" applyFont="1" applyFill="1" applyBorder="1" applyAlignment="1">
      <alignment horizontal="center" vertical="top" wrapText="1"/>
    </xf>
    <xf numFmtId="0" fontId="0" fillId="11" borderId="35" xfId="0" applyNumberFormat="1" applyFont="1" applyFill="1" applyBorder="1" applyAlignment="1">
      <alignment vertical="top" wrapText="1"/>
    </xf>
    <xf numFmtId="0" fontId="1" fillId="11" borderId="36" xfId="0" applyNumberFormat="1" applyFont="1" applyFill="1" applyBorder="1" applyAlignment="1">
      <alignment horizontal="center" vertical="top" wrapText="1"/>
    </xf>
    <xf numFmtId="0" fontId="0" fillId="0" borderId="35" xfId="0" applyNumberFormat="1" applyFont="1" applyBorder="1" applyAlignment="1">
      <alignment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36" xfId="0" applyNumberFormat="1" applyFont="1" applyBorder="1" applyAlignment="1">
      <alignment horizontal="center" vertical="top" wrapText="1"/>
    </xf>
    <xf numFmtId="0" fontId="1" fillId="0" borderId="36" xfId="0" applyNumberFormat="1" applyFont="1" applyBorder="1" applyAlignment="1">
      <alignment horizontal="right" vertical="top"/>
    </xf>
    <xf numFmtId="0" fontId="0" fillId="0" borderId="36" xfId="0" applyNumberFormat="1" applyFont="1" applyBorder="1" applyAlignment="1">
      <alignment horizontal="center" vertical="top" wrapText="1"/>
    </xf>
    <xf numFmtId="0" fontId="0" fillId="0" borderId="35" xfId="0" applyNumberFormat="1" applyFont="1" applyBorder="1" applyAlignment="1">
      <alignment horizontal="center" vertical="top" wrapText="1"/>
    </xf>
    <xf numFmtId="185" fontId="0" fillId="0" borderId="36" xfId="0" applyNumberFormat="1" applyFont="1" applyBorder="1" applyAlignment="1">
      <alignment horizontal="center" vertical="top" wrapText="1"/>
    </xf>
    <xf numFmtId="185" fontId="0" fillId="0" borderId="35" xfId="0" applyNumberFormat="1" applyFont="1" applyBorder="1" applyAlignment="1">
      <alignment horizontal="center" vertical="top" wrapText="1"/>
    </xf>
    <xf numFmtId="0" fontId="27" fillId="0" borderId="0" xfId="0" applyNumberFormat="1" applyFont="1" applyAlignment="1">
      <alignment vertical="top"/>
    </xf>
    <xf numFmtId="0" fontId="28" fillId="0" borderId="0" xfId="0" applyNumberFormat="1" applyFont="1" applyAlignment="1">
      <alignment horizontal="center" vertical="top" wrapText="1"/>
    </xf>
    <xf numFmtId="181" fontId="0" fillId="10" borderId="28" xfId="0" applyNumberFormat="1" applyFont="1" applyFill="1" applyBorder="1" applyAlignment="1">
      <alignment horizontal="center" vertical="top" wrapText="1"/>
    </xf>
    <xf numFmtId="181" fontId="0" fillId="9" borderId="28" xfId="0" applyNumberFormat="1" applyFont="1" applyFill="1" applyBorder="1" applyAlignment="1">
      <alignment horizontal="center" vertical="top" wrapText="1"/>
    </xf>
    <xf numFmtId="181" fontId="29" fillId="11" borderId="28" xfId="0" applyNumberFormat="1" applyFont="1" applyFill="1" applyBorder="1" applyAlignment="1">
      <alignment horizontal="center" vertical="top" wrapText="1"/>
    </xf>
    <xf numFmtId="0" fontId="2" fillId="0" borderId="28" xfId="0" applyNumberFormat="1" applyFont="1" applyBorder="1" applyAlignment="1">
      <alignment horizontal="left" vertical="top" wrapText="1" indent="1"/>
    </xf>
    <xf numFmtId="0" fontId="3" fillId="0" borderId="0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horizontal="left" vertical="top"/>
    </xf>
    <xf numFmtId="0" fontId="28" fillId="0" borderId="0" xfId="0" applyNumberFormat="1" applyFont="1" applyAlignment="1">
      <alignment vertical="top"/>
    </xf>
    <xf numFmtId="0" fontId="3" fillId="0" borderId="28" xfId="0" applyNumberFormat="1" applyFont="1" applyBorder="1" applyAlignment="1">
      <alignment vertical="top"/>
    </xf>
    <xf numFmtId="181" fontId="30" fillId="12" borderId="28" xfId="0" applyNumberFormat="1" applyFont="1" applyFill="1" applyBorder="1" applyAlignment="1">
      <alignment horizontal="center" vertical="top"/>
    </xf>
    <xf numFmtId="181" fontId="3" fillId="10" borderId="28" xfId="0" applyNumberFormat="1" applyFont="1" applyFill="1" applyBorder="1" applyAlignment="1">
      <alignment horizontal="center" vertical="top" wrapText="1"/>
    </xf>
    <xf numFmtId="181" fontId="3" fillId="10" borderId="28" xfId="0" applyNumberFormat="1" applyFont="1" applyFill="1" applyBorder="1" applyAlignment="1">
      <alignment horizontal="center" vertical="top"/>
    </xf>
    <xf numFmtId="181" fontId="3" fillId="9" borderId="28" xfId="0" applyNumberFormat="1" applyFont="1" applyFill="1" applyBorder="1" applyAlignment="1">
      <alignment horizontal="center" vertical="top" wrapText="1"/>
    </xf>
    <xf numFmtId="181" fontId="3" fillId="9" borderId="28" xfId="0" applyNumberFormat="1" applyFont="1" applyFill="1" applyBorder="1" applyAlignment="1">
      <alignment horizontal="center" vertical="top"/>
    </xf>
    <xf numFmtId="181" fontId="28" fillId="11" borderId="28" xfId="0" applyNumberFormat="1" applyFont="1" applyFill="1" applyBorder="1" applyAlignment="1">
      <alignment horizontal="center" vertical="top" wrapText="1"/>
    </xf>
    <xf numFmtId="179" fontId="3" fillId="0" borderId="28" xfId="0" applyNumberFormat="1" applyFont="1" applyBorder="1" applyAlignment="1">
      <alignment horizontal="center" vertical="top" wrapText="1"/>
    </xf>
    <xf numFmtId="0" fontId="28" fillId="0" borderId="0" xfId="0" applyNumberFormat="1" applyFont="1" applyAlignment="1">
      <alignment horizontal="center" vertical="top"/>
    </xf>
    <xf numFmtId="0" fontId="29" fillId="0" borderId="0" xfId="0" applyNumberFormat="1" applyFont="1" applyAlignment="1">
      <alignment vertical="top"/>
    </xf>
    <xf numFmtId="181" fontId="28" fillId="11" borderId="28" xfId="0" applyNumberFormat="1" applyFont="1" applyFill="1" applyBorder="1" applyAlignment="1">
      <alignment horizontal="center" vertical="top"/>
    </xf>
    <xf numFmtId="0" fontId="3" fillId="0" borderId="28" xfId="0" applyNumberFormat="1" applyFont="1" applyBorder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1" fillId="0" borderId="28" xfId="0" applyNumberFormat="1" applyFont="1" applyBorder="1" applyAlignment="1">
      <alignment horizontal="left" vertical="top"/>
    </xf>
    <xf numFmtId="0" fontId="0" fillId="0" borderId="35" xfId="0" applyNumberFormat="1" applyFont="1" applyBorder="1" applyAlignment="1">
      <alignment vertical="top"/>
    </xf>
    <xf numFmtId="0" fontId="0" fillId="0" borderId="29" xfId="0" applyNumberFormat="1" applyFont="1" applyBorder="1" applyAlignment="1">
      <alignment vertical="top"/>
    </xf>
    <xf numFmtId="0" fontId="27" fillId="0" borderId="37" xfId="0" applyNumberFormat="1" applyFont="1" applyBorder="1" applyAlignment="1">
      <alignment horizontal="left" vertical="top" indent="1"/>
    </xf>
    <xf numFmtId="0" fontId="3" fillId="0" borderId="30" xfId="0" applyNumberFormat="1" applyFont="1" applyBorder="1" applyAlignment="1">
      <alignment vertical="top"/>
    </xf>
    <xf numFmtId="0" fontId="0" fillId="0" borderId="30" xfId="0" applyNumberFormat="1" applyFont="1" applyBorder="1" applyAlignment="1">
      <alignment vertical="top"/>
    </xf>
    <xf numFmtId="0" fontId="1" fillId="0" borderId="0" xfId="0" applyNumberFormat="1" applyFont="1" applyAlignment="1">
      <alignment horizontal="left" vertical="top"/>
    </xf>
    <xf numFmtId="0" fontId="1" fillId="0" borderId="28" xfId="0" applyNumberFormat="1" applyFont="1" applyBorder="1" applyAlignment="1">
      <alignment horizontal="left" vertical="top" indent="1"/>
    </xf>
    <xf numFmtId="0" fontId="27" fillId="0" borderId="0" xfId="0" applyNumberFormat="1" applyFont="1" applyBorder="1" applyAlignment="1">
      <alignment horizontal="left" vertical="top" indent="1"/>
    </xf>
    <xf numFmtId="181" fontId="31" fillId="0" borderId="28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/>
    </xf>
    <xf numFmtId="181" fontId="26" fillId="0" borderId="0" xfId="0" applyNumberFormat="1" applyFont="1" applyBorder="1" applyAlignment="1">
      <alignment horizontal="center" vertical="top"/>
    </xf>
    <xf numFmtId="0" fontId="32" fillId="0" borderId="28" xfId="0" applyNumberFormat="1" applyFont="1" applyBorder="1" applyAlignment="1">
      <alignment horizontal="left" vertical="top" indent="1"/>
    </xf>
    <xf numFmtId="0" fontId="27" fillId="0" borderId="0" xfId="0" applyNumberFormat="1" applyFont="1" applyAlignment="1">
      <alignment horizontal="left" vertical="top" indent="1"/>
    </xf>
    <xf numFmtId="0" fontId="33" fillId="0" borderId="28" xfId="0" applyNumberFormat="1" applyFont="1" applyBorder="1" applyAlignment="1">
      <alignment vertical="top"/>
    </xf>
    <xf numFmtId="0" fontId="27" fillId="0" borderId="0" xfId="0" applyNumberFormat="1" applyFont="1" applyAlignment="1">
      <alignment horizontal="left" vertical="top" wrapText="1" indent="1"/>
    </xf>
    <xf numFmtId="179" fontId="27" fillId="0" borderId="0" xfId="0" applyNumberFormat="1" applyFont="1" applyAlignment="1">
      <alignment horizontal="center" vertical="top" wrapText="1"/>
    </xf>
    <xf numFmtId="0" fontId="27" fillId="0" borderId="0" xfId="0" applyNumberFormat="1" applyFont="1" applyAlignment="1">
      <alignment horizontal="center" vertical="top" wrapText="1"/>
    </xf>
    <xf numFmtId="0" fontId="27" fillId="0" borderId="0" xfId="0" applyNumberFormat="1" applyFont="1" applyAlignment="1">
      <alignment horizontal="center" vertical="top"/>
    </xf>
    <xf numFmtId="0" fontId="27" fillId="0" borderId="0" xfId="0" applyNumberFormat="1" applyFont="1" applyBorder="1" applyAlignment="1">
      <alignment horizontal="left" vertical="top"/>
    </xf>
    <xf numFmtId="0" fontId="27" fillId="0" borderId="0" xfId="0" applyNumberFormat="1" applyFont="1" applyBorder="1" applyAlignment="1">
      <alignment vertical="top" wrapText="1"/>
    </xf>
    <xf numFmtId="185" fontId="0" fillId="0" borderId="28" xfId="0" applyNumberFormat="1" applyFont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181" fontId="20" fillId="12" borderId="28" xfId="0" applyNumberFormat="1" applyFont="1" applyFill="1" applyBorder="1" applyAlignment="1">
      <alignment horizontal="center" vertical="top" wrapText="1"/>
    </xf>
    <xf numFmtId="181" fontId="26" fillId="0" borderId="28" xfId="0" applyNumberFormat="1" applyFont="1" applyBorder="1" applyAlignment="1">
      <alignment horizontal="center" vertical="top" wrapText="1"/>
    </xf>
    <xf numFmtId="9" fontId="3" fillId="0" borderId="0" xfId="0" applyNumberFormat="1" applyFont="1" applyBorder="1" applyAlignment="1">
      <alignment horizontal="center" vertical="top"/>
    </xf>
    <xf numFmtId="9" fontId="0" fillId="0" borderId="0" xfId="0" applyNumberFormat="1" applyFont="1" applyAlignment="1">
      <alignment vertical="top" wrapText="1"/>
    </xf>
    <xf numFmtId="0" fontId="0" fillId="0" borderId="36" xfId="0" applyNumberFormat="1" applyFont="1" applyBorder="1" applyAlignment="1">
      <alignment vertical="top"/>
    </xf>
    <xf numFmtId="179" fontId="26" fillId="0" borderId="28" xfId="0" applyNumberFormat="1" applyFont="1" applyBorder="1" applyAlignment="1">
      <alignment horizontal="center" vertical="top" wrapText="1"/>
    </xf>
    <xf numFmtId="0" fontId="0" fillId="0" borderId="38" xfId="0" applyNumberFormat="1" applyFont="1" applyBorder="1" applyAlignment="1">
      <alignment vertical="top"/>
    </xf>
    <xf numFmtId="179" fontId="0" fillId="0" borderId="0" xfId="0" applyNumberFormat="1" applyFont="1" applyBorder="1" applyAlignment="1">
      <alignment horizontal="center" vertical="top"/>
    </xf>
    <xf numFmtId="179" fontId="32" fillId="0" borderId="28" xfId="0" applyNumberFormat="1" applyFont="1" applyBorder="1" applyAlignment="1">
      <alignment horizontal="center" vertical="top" wrapText="1"/>
    </xf>
    <xf numFmtId="179" fontId="32" fillId="0" borderId="28" xfId="0" applyNumberFormat="1" applyFont="1" applyBorder="1" applyAlignment="1">
      <alignment horizontal="center" vertical="top"/>
    </xf>
    <xf numFmtId="179" fontId="27" fillId="0" borderId="0" xfId="0" applyNumberFormat="1" applyFont="1" applyAlignment="1">
      <alignment horizontal="center" vertical="top"/>
    </xf>
    <xf numFmtId="179" fontId="22" fillId="0" borderId="28" xfId="0" applyNumberFormat="1" applyFont="1" applyBorder="1" applyAlignment="1">
      <alignment horizontal="center" vertical="top" wrapText="1"/>
    </xf>
    <xf numFmtId="9" fontId="27" fillId="0" borderId="0" xfId="0" applyNumberFormat="1" applyFont="1" applyBorder="1" applyAlignment="1">
      <alignment horizontal="center" vertical="top"/>
    </xf>
    <xf numFmtId="181" fontId="0" fillId="0" borderId="0" xfId="0" applyNumberFormat="1" applyFont="1" applyAlignment="1">
      <alignment vertical="top" wrapText="1"/>
    </xf>
    <xf numFmtId="0" fontId="34" fillId="0" borderId="0" xfId="0" applyNumberFormat="1" applyFont="1" applyAlignment="1"/>
    <xf numFmtId="0" fontId="35" fillId="5" borderId="20" xfId="0" applyNumberFormat="1" applyFont="1" applyFill="1" applyBorder="1" applyAlignment="1">
      <alignment horizontal="center" vertical="center" wrapText="1"/>
    </xf>
    <xf numFmtId="0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NumberFormat="1" applyFont="1" applyFill="1" applyBorder="1" applyAlignment="1">
      <alignment horizontal="center" vertical="center" wrapText="1"/>
    </xf>
    <xf numFmtId="0" fontId="35" fillId="5" borderId="1" xfId="0" applyNumberFormat="1" applyFont="1" applyFill="1" applyBorder="1" applyAlignment="1">
      <alignment horizontal="center" vertical="center" wrapText="1"/>
    </xf>
    <xf numFmtId="0" fontId="35" fillId="8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3" fontId="0" fillId="0" borderId="17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3" fontId="0" fillId="0" borderId="19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49" fontId="0" fillId="0" borderId="17" xfId="0" applyNumberFormat="1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49" fontId="0" fillId="0" borderId="19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vertical="top" wrapText="1"/>
    </xf>
    <xf numFmtId="0" fontId="10" fillId="4" borderId="15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183" fontId="42" fillId="5" borderId="2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9CE159"/>
      <rgbColor rgb="00FFE061"/>
      <rgbColor rgb="0063B2DE"/>
      <rgbColor rgb="009D44B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F4F4"/>
      <color rgb="FF13742F"/>
      <color rgb="FF1D4B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26953125" defaultRowHeight="18" customHeight="1" x14ac:dyDescent="0.25"/>
  <cols>
    <col min="1" max="1" width="16.26953125" style="2" customWidth="1"/>
    <col min="2" max="2" width="22.7265625" style="2" customWidth="1"/>
    <col min="3" max="256" width="16.26953125" style="2" customWidth="1"/>
  </cols>
  <sheetData>
    <row r="1" spans="1:5" ht="20.9" customHeight="1" x14ac:dyDescent="0.25">
      <c r="A1" s="255"/>
      <c r="B1" s="255"/>
      <c r="C1" s="255"/>
      <c r="D1" s="255"/>
      <c r="E1" s="255"/>
    </row>
    <row r="2" spans="1:5" ht="22.5" customHeight="1" x14ac:dyDescent="0.25">
      <c r="A2" s="256"/>
      <c r="B2" s="257" t="s">
        <v>0</v>
      </c>
      <c r="C2" s="258"/>
      <c r="D2" s="258"/>
      <c r="E2" s="258"/>
    </row>
    <row r="3" spans="1:5" ht="22.4" customHeight="1" x14ac:dyDescent="0.25">
      <c r="A3" s="259"/>
      <c r="B3" s="260" t="s">
        <v>1</v>
      </c>
      <c r="C3" s="261"/>
      <c r="D3" s="261"/>
      <c r="E3" s="261"/>
    </row>
    <row r="4" spans="1:5" ht="22.4" customHeight="1" x14ac:dyDescent="0.25">
      <c r="A4" s="259"/>
      <c r="B4" s="260" t="s">
        <v>2</v>
      </c>
      <c r="C4" s="261"/>
      <c r="D4" s="261"/>
      <c r="E4" s="261"/>
    </row>
    <row r="5" spans="1:5" ht="22.4" customHeight="1" x14ac:dyDescent="0.25">
      <c r="A5" s="259"/>
      <c r="B5" s="260" t="s">
        <v>3</v>
      </c>
      <c r="C5" s="261"/>
      <c r="D5" s="261"/>
      <c r="E5" s="261"/>
    </row>
    <row r="6" spans="1:5" ht="20.5" customHeight="1" x14ac:dyDescent="0.25">
      <c r="A6" s="259"/>
      <c r="B6" s="262"/>
      <c r="C6" s="261"/>
      <c r="D6" s="261"/>
      <c r="E6" s="261"/>
    </row>
    <row r="7" spans="1:5" ht="20.5" customHeight="1" x14ac:dyDescent="0.25">
      <c r="A7" s="259"/>
      <c r="B7" s="262"/>
      <c r="C7" s="261"/>
      <c r="D7" s="261"/>
      <c r="E7" s="261"/>
    </row>
    <row r="8" spans="1:5" ht="20.5" customHeight="1" x14ac:dyDescent="0.25">
      <c r="A8" s="259"/>
      <c r="B8" s="262"/>
      <c r="C8" s="261"/>
      <c r="D8" s="261"/>
      <c r="E8" s="261"/>
    </row>
    <row r="9" spans="1:5" ht="20.5" customHeight="1" x14ac:dyDescent="0.25">
      <c r="A9" s="259"/>
      <c r="B9" s="262"/>
      <c r="C9" s="261"/>
      <c r="D9" s="261"/>
      <c r="E9" s="261"/>
    </row>
    <row r="10" spans="1:5" ht="20.5" customHeight="1" x14ac:dyDescent="0.25">
      <c r="A10" s="259"/>
      <c r="B10" s="262"/>
      <c r="C10" s="261"/>
      <c r="D10" s="261"/>
      <c r="E10" s="261"/>
    </row>
  </sheetData>
  <phoneticPr fontId="41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16.26953125" defaultRowHeight="18" customHeight="1" x14ac:dyDescent="0.25"/>
  <cols>
    <col min="1" max="2" width="16.26953125" style="2" customWidth="1"/>
    <col min="3" max="3" width="47.7265625" style="2" customWidth="1"/>
    <col min="4" max="256" width="16.26953125" style="2" customWidth="1"/>
  </cols>
  <sheetData>
    <row r="1" spans="1:5" ht="22.4" customHeight="1" x14ac:dyDescent="0.25">
      <c r="A1" s="13" t="s">
        <v>4</v>
      </c>
      <c r="B1" s="13"/>
      <c r="C1" s="243"/>
      <c r="D1" s="243"/>
      <c r="E1" s="243"/>
    </row>
    <row r="2" spans="1:5" ht="22.5" customHeight="1" x14ac:dyDescent="0.25">
      <c r="A2" s="244"/>
      <c r="B2" s="245" t="s">
        <v>5</v>
      </c>
      <c r="C2" s="244"/>
      <c r="D2" s="244"/>
      <c r="E2" s="244"/>
    </row>
    <row r="3" spans="1:5" ht="22.5" customHeight="1" x14ac:dyDescent="0.25">
      <c r="A3" s="43" t="s">
        <v>6</v>
      </c>
      <c r="B3" s="246">
        <v>450000</v>
      </c>
      <c r="C3" s="247" t="s">
        <v>7</v>
      </c>
      <c r="D3" s="248"/>
      <c r="E3" s="248"/>
    </row>
    <row r="4" spans="1:5" ht="22.4" customHeight="1" x14ac:dyDescent="0.25">
      <c r="A4" s="56" t="s">
        <v>8</v>
      </c>
      <c r="B4" s="249">
        <v>100000</v>
      </c>
      <c r="C4" s="250" t="s">
        <v>9</v>
      </c>
      <c r="D4" s="251"/>
      <c r="E4" s="251"/>
    </row>
    <row r="5" spans="1:5" ht="22.4" customHeight="1" x14ac:dyDescent="0.25">
      <c r="A5" s="49" t="s">
        <v>10</v>
      </c>
      <c r="B5" s="249">
        <v>100000</v>
      </c>
      <c r="C5" s="250" t="s">
        <v>11</v>
      </c>
      <c r="D5" s="251"/>
      <c r="E5" s="251"/>
    </row>
    <row r="6" spans="1:5" ht="22.4" customHeight="1" x14ac:dyDescent="0.25">
      <c r="A6" s="49" t="s">
        <v>12</v>
      </c>
      <c r="B6" s="249">
        <v>50000</v>
      </c>
      <c r="C6" s="250" t="s">
        <v>13</v>
      </c>
      <c r="D6" s="251"/>
      <c r="E6" s="251"/>
    </row>
    <row r="7" spans="1:5" ht="22.4" customHeight="1" x14ac:dyDescent="0.25">
      <c r="A7" s="56" t="s">
        <v>14</v>
      </c>
      <c r="B7" s="249">
        <v>20000</v>
      </c>
      <c r="C7" s="250" t="s">
        <v>15</v>
      </c>
      <c r="D7" s="251"/>
      <c r="E7" s="251"/>
    </row>
    <row r="8" spans="1:5" ht="22.4" customHeight="1" x14ac:dyDescent="0.25">
      <c r="A8" s="49" t="s">
        <v>16</v>
      </c>
      <c r="B8" s="249">
        <v>100000</v>
      </c>
      <c r="C8" s="252" t="s">
        <v>17</v>
      </c>
      <c r="D8" s="251"/>
      <c r="E8" s="251"/>
    </row>
    <row r="9" spans="1:5" ht="20.5" customHeight="1" x14ac:dyDescent="0.25">
      <c r="A9" s="253"/>
      <c r="B9" s="254"/>
      <c r="C9" s="251"/>
      <c r="D9" s="251"/>
      <c r="E9" s="251"/>
    </row>
    <row r="10" spans="1:5" ht="22.4" customHeight="1" x14ac:dyDescent="0.25">
      <c r="A10" s="49" t="s">
        <v>18</v>
      </c>
      <c r="B10" s="249">
        <f>SUM(B3:B9)</f>
        <v>820000</v>
      </c>
      <c r="C10" s="251"/>
      <c r="D10" s="251"/>
      <c r="E10" s="251"/>
    </row>
    <row r="11" spans="1:5" ht="20.5" customHeight="1" x14ac:dyDescent="0.25">
      <c r="A11" s="253"/>
      <c r="B11" s="254"/>
      <c r="C11" s="251"/>
      <c r="D11" s="251"/>
      <c r="E11" s="251"/>
    </row>
    <row r="16" spans="1:5" ht="18" customHeight="1" x14ac:dyDescent="0.25">
      <c r="A16" s="152" t="s">
        <v>19</v>
      </c>
    </row>
  </sheetData>
  <phoneticPr fontId="41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A192"/>
  <sheetViews>
    <sheetView showGridLines="0" tabSelected="1" topLeftCell="D1" zoomScale="88" zoomScaleNormal="88" workbookViewId="0">
      <pane xSplit="4" ySplit="2" topLeftCell="H12" activePane="bottomRight" state="frozen"/>
      <selection pane="topRight"/>
      <selection pane="bottomLeft"/>
      <selection pane="bottomRight" activeCell="Z23" sqref="Z23"/>
    </sheetView>
  </sheetViews>
  <sheetFormatPr defaultColWidth="16.26953125" defaultRowHeight="18" customHeight="1" x14ac:dyDescent="0.25"/>
  <cols>
    <col min="1" max="3" width="1.26953125" style="2" hidden="1" customWidth="1"/>
    <col min="4" max="7" width="1.26953125" style="3" customWidth="1"/>
    <col min="8" max="8" width="3.08984375" customWidth="1"/>
    <col min="9" max="9" width="16.26953125" style="2" customWidth="1"/>
    <col min="10" max="10" width="5" style="2" customWidth="1"/>
    <col min="11" max="11" width="10.6328125" style="2" customWidth="1"/>
    <col min="12" max="12" width="5" style="2" customWidth="1"/>
    <col min="13" max="13" width="10.6328125" style="2" customWidth="1"/>
    <col min="14" max="14" width="5.54296875" style="2" customWidth="1"/>
    <col min="15" max="15" width="9.6328125" style="2" customWidth="1"/>
    <col min="16" max="16" width="5" style="2" customWidth="1"/>
    <col min="17" max="17" width="10.6328125" style="2" customWidth="1"/>
    <col min="18" max="18" width="5" style="2" customWidth="1"/>
    <col min="19" max="19" width="10.6328125" style="2" customWidth="1"/>
    <col min="20" max="20" width="0.453125" style="2" customWidth="1"/>
    <col min="21" max="21" width="5.1796875" style="2" customWidth="1"/>
    <col min="22" max="22" width="8.453125" style="2" bestFit="1" customWidth="1"/>
    <col min="23" max="23" width="0.453125" style="2" customWidth="1"/>
    <col min="24" max="24" width="6.7265625" style="2" customWidth="1"/>
    <col min="25" max="25" width="0.453125" style="2" customWidth="1"/>
    <col min="26" max="26" width="8.90625" style="2" customWidth="1"/>
    <col min="27" max="27" width="12.36328125" style="2" customWidth="1"/>
    <col min="28" max="28" width="5.1796875" style="2" customWidth="1"/>
    <col min="29" max="29" width="5.54296875" style="2" customWidth="1"/>
    <col min="30" max="30" width="6.453125" style="2" customWidth="1"/>
    <col min="31" max="31" width="5.1796875" style="2" customWidth="1"/>
    <col min="32" max="38" width="2.54296875" style="2" customWidth="1"/>
    <col min="39" max="43" width="7" style="2" customWidth="1"/>
    <col min="44" max="44" width="7.54296875" style="2" customWidth="1"/>
    <col min="45" max="261" width="16.26953125" style="2" customWidth="1"/>
  </cols>
  <sheetData>
    <row r="1" spans="4:39" ht="12" customHeight="1" x14ac:dyDescent="0.25">
      <c r="D1" s="4" t="s">
        <v>20</v>
      </c>
      <c r="E1" s="4" t="s">
        <v>21</v>
      </c>
      <c r="F1" s="3">
        <v>3</v>
      </c>
      <c r="I1" s="12" t="s">
        <v>22</v>
      </c>
      <c r="J1" s="263" t="s">
        <v>23</v>
      </c>
      <c r="K1" s="264"/>
      <c r="L1" s="265" t="s">
        <v>24</v>
      </c>
      <c r="M1" s="266"/>
      <c r="N1" s="265" t="s">
        <v>25</v>
      </c>
      <c r="O1" s="266"/>
      <c r="P1" s="265" t="s">
        <v>26</v>
      </c>
      <c r="Q1" s="266"/>
      <c r="R1" s="265" t="s">
        <v>27</v>
      </c>
      <c r="S1" s="266"/>
      <c r="U1" s="122" t="s">
        <v>28</v>
      </c>
      <c r="V1" s="122" t="s">
        <v>29</v>
      </c>
      <c r="X1" s="107" t="s">
        <v>28</v>
      </c>
      <c r="Z1" s="107" t="s">
        <v>30</v>
      </c>
      <c r="AA1" s="152" t="s">
        <v>31</v>
      </c>
      <c r="AB1" s="152" t="s">
        <v>31</v>
      </c>
      <c r="AC1" s="152" t="s">
        <v>31</v>
      </c>
      <c r="AD1" s="152" t="s">
        <v>31</v>
      </c>
      <c r="AE1" s="152" t="s">
        <v>32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</row>
    <row r="2" spans="4:39" ht="12" customHeight="1" x14ac:dyDescent="0.25">
      <c r="AA2" s="2" t="s">
        <v>33</v>
      </c>
      <c r="AB2" s="2" t="s">
        <v>33</v>
      </c>
      <c r="AC2" s="2" t="s">
        <v>33</v>
      </c>
      <c r="AE2" s="2" t="s">
        <v>33</v>
      </c>
    </row>
    <row r="3" spans="4:39" ht="18" customHeight="1" x14ac:dyDescent="0.25">
      <c r="I3" s="14" t="s">
        <v>4</v>
      </c>
      <c r="J3" s="15"/>
      <c r="K3" s="16"/>
      <c r="L3" s="17"/>
      <c r="M3" s="16"/>
      <c r="N3" s="15" t="s">
        <v>34</v>
      </c>
      <c r="O3" s="18" t="s">
        <v>35</v>
      </c>
      <c r="P3" s="19"/>
      <c r="Q3" s="19"/>
      <c r="R3" s="19"/>
      <c r="S3" s="123"/>
    </row>
    <row r="4" spans="4:39" ht="13" x14ac:dyDescent="0.25">
      <c r="I4" s="20"/>
      <c r="J4" s="21"/>
      <c r="K4" s="22" t="s">
        <v>36</v>
      </c>
      <c r="L4" s="23"/>
      <c r="M4" s="22" t="s">
        <v>37</v>
      </c>
      <c r="N4" s="21"/>
      <c r="O4" s="22" t="s">
        <v>38</v>
      </c>
      <c r="P4" s="20"/>
      <c r="Q4" s="20"/>
      <c r="R4" s="20"/>
      <c r="S4" s="124"/>
    </row>
    <row r="5" spans="4:39" ht="14" x14ac:dyDescent="0.25">
      <c r="I5" s="24" t="s">
        <v>6</v>
      </c>
      <c r="J5" s="25"/>
      <c r="K5" s="26">
        <v>450000</v>
      </c>
      <c r="L5" s="26"/>
      <c r="M5" s="26">
        <v>400000</v>
      </c>
      <c r="N5" s="26"/>
      <c r="O5" s="27">
        <v>350000</v>
      </c>
      <c r="P5" s="28"/>
      <c r="Q5" s="26"/>
      <c r="R5" s="26"/>
      <c r="S5" s="125" t="s">
        <v>39</v>
      </c>
      <c r="AA5" s="153" t="s">
        <v>40</v>
      </c>
      <c r="AB5" s="112"/>
      <c r="AC5" s="154">
        <v>1</v>
      </c>
      <c r="AD5" s="155">
        <f>AC5*K18*K19</f>
        <v>16560</v>
      </c>
      <c r="AE5" s="2" t="s">
        <v>41</v>
      </c>
    </row>
    <row r="6" spans="4:39" ht="13" x14ac:dyDescent="0.25">
      <c r="I6" s="29" t="s">
        <v>42</v>
      </c>
      <c r="J6" s="30"/>
      <c r="K6" s="31">
        <v>200000</v>
      </c>
      <c r="L6" s="31"/>
      <c r="M6" s="31">
        <v>160000</v>
      </c>
      <c r="N6" s="31"/>
      <c r="O6" s="32">
        <v>100000</v>
      </c>
      <c r="P6" s="33"/>
      <c r="Q6" s="31"/>
      <c r="R6" s="31"/>
      <c r="S6" s="126" t="s">
        <v>43</v>
      </c>
      <c r="AA6" s="119" t="s">
        <v>44</v>
      </c>
      <c r="AB6" s="156"/>
      <c r="AC6" s="157">
        <v>20</v>
      </c>
      <c r="AE6" s="149" t="s">
        <v>45</v>
      </c>
    </row>
    <row r="7" spans="4:39" ht="13" x14ac:dyDescent="0.25">
      <c r="I7" s="29" t="s">
        <v>46</v>
      </c>
      <c r="J7" s="30"/>
      <c r="K7" s="31">
        <v>180000</v>
      </c>
      <c r="L7" s="31"/>
      <c r="M7" s="31">
        <v>150000</v>
      </c>
      <c r="N7" s="31"/>
      <c r="O7" s="32">
        <v>120000</v>
      </c>
      <c r="P7" s="33"/>
      <c r="Q7" s="31"/>
      <c r="R7" s="31"/>
      <c r="S7" s="126" t="s">
        <v>11</v>
      </c>
    </row>
    <row r="8" spans="4:39" ht="13" x14ac:dyDescent="0.25">
      <c r="I8" s="34" t="s">
        <v>12</v>
      </c>
      <c r="J8" s="30"/>
      <c r="K8" s="31">
        <v>50000</v>
      </c>
      <c r="L8" s="31"/>
      <c r="M8" s="31">
        <v>50000</v>
      </c>
      <c r="N8" s="31"/>
      <c r="O8" s="32">
        <v>50000</v>
      </c>
      <c r="P8" s="33"/>
      <c r="Q8" s="31"/>
      <c r="R8" s="31"/>
      <c r="S8" s="126" t="s">
        <v>47</v>
      </c>
      <c r="AA8" s="269" t="s">
        <v>48</v>
      </c>
      <c r="AB8" s="119" t="s">
        <v>49</v>
      </c>
      <c r="AC8" s="157">
        <v>3000</v>
      </c>
    </row>
    <row r="9" spans="4:39" ht="13" x14ac:dyDescent="0.25">
      <c r="I9" s="29" t="s">
        <v>14</v>
      </c>
      <c r="J9" s="30"/>
      <c r="K9" s="31">
        <v>20000</v>
      </c>
      <c r="L9" s="31"/>
      <c r="M9" s="31">
        <v>20000</v>
      </c>
      <c r="N9" s="31"/>
      <c r="O9" s="32">
        <v>20000</v>
      </c>
      <c r="P9" s="33"/>
      <c r="Q9" s="31"/>
      <c r="R9" s="31"/>
      <c r="S9" s="126" t="s">
        <v>15</v>
      </c>
      <c r="AA9" s="269"/>
      <c r="AB9" s="119" t="s">
        <v>50</v>
      </c>
      <c r="AC9" s="157">
        <v>3000</v>
      </c>
    </row>
    <row r="10" spans="4:39" ht="13" x14ac:dyDescent="0.25">
      <c r="I10" s="34" t="s">
        <v>16</v>
      </c>
      <c r="J10" s="30"/>
      <c r="K10" s="31">
        <v>100000</v>
      </c>
      <c r="L10" s="31"/>
      <c r="M10" s="31">
        <v>100000</v>
      </c>
      <c r="N10" s="31"/>
      <c r="O10" s="32">
        <v>100000</v>
      </c>
      <c r="P10" s="33"/>
      <c r="Q10" s="31"/>
      <c r="R10" s="31"/>
      <c r="S10" s="126" t="s">
        <v>17</v>
      </c>
    </row>
    <row r="11" spans="4:39" ht="2" customHeight="1" x14ac:dyDescent="0.25">
      <c r="I11" s="35"/>
      <c r="J11" s="30"/>
      <c r="K11" s="31"/>
      <c r="L11" s="31"/>
      <c r="M11" s="31"/>
      <c r="N11" s="31"/>
      <c r="O11" s="31"/>
      <c r="P11" s="36"/>
      <c r="Q11" s="31"/>
      <c r="R11" s="31"/>
      <c r="S11" s="127"/>
    </row>
    <row r="12" spans="4:39" ht="13" x14ac:dyDescent="0.25">
      <c r="I12" s="35" t="s">
        <v>18</v>
      </c>
      <c r="J12" s="30"/>
      <c r="K12" s="31">
        <f t="shared" ref="K12:O12" si="0">SUM(K5:K11)</f>
        <v>1000000</v>
      </c>
      <c r="L12" s="31"/>
      <c r="M12" s="31">
        <f t="shared" si="0"/>
        <v>880000</v>
      </c>
      <c r="N12" s="31"/>
      <c r="O12" s="32">
        <f t="shared" si="0"/>
        <v>740000</v>
      </c>
      <c r="P12" s="37"/>
      <c r="Q12" s="31"/>
      <c r="R12" s="31"/>
      <c r="S12" s="127"/>
      <c r="AA12" s="152" t="s">
        <v>51</v>
      </c>
      <c r="AB12" s="152" t="s">
        <v>52</v>
      </c>
      <c r="AC12" s="2">
        <v>80</v>
      </c>
    </row>
    <row r="13" spans="4:39" ht="13" x14ac:dyDescent="0.25">
      <c r="D13" s="4" t="s">
        <v>53</v>
      </c>
      <c r="AA13" s="4"/>
    </row>
    <row r="14" spans="4:39" ht="38.5" customHeight="1" x14ac:dyDescent="0.25">
      <c r="I14" s="267" t="s">
        <v>54</v>
      </c>
      <c r="J14" s="268"/>
      <c r="K14" s="268"/>
      <c r="L14" s="268"/>
      <c r="M14" s="268"/>
      <c r="N14" s="268"/>
      <c r="O14" s="268"/>
      <c r="P14" s="268"/>
      <c r="Q14" s="268"/>
      <c r="R14" s="268"/>
      <c r="S14" s="268"/>
    </row>
    <row r="15" spans="4:39" ht="22.4" customHeight="1" x14ac:dyDescent="0.25">
      <c r="I15" s="12" t="s">
        <v>22</v>
      </c>
      <c r="J15" s="265" t="s">
        <v>23</v>
      </c>
      <c r="K15" s="266"/>
      <c r="L15" s="265" t="s">
        <v>24</v>
      </c>
      <c r="M15" s="266"/>
      <c r="N15" s="265" t="s">
        <v>25</v>
      </c>
      <c r="O15" s="266"/>
      <c r="P15" s="265" t="s">
        <v>26</v>
      </c>
      <c r="Q15" s="266"/>
      <c r="R15" s="265" t="s">
        <v>27</v>
      </c>
      <c r="S15" s="266"/>
    </row>
    <row r="16" spans="4:39" ht="26" x14ac:dyDescent="0.25">
      <c r="I16" s="38" t="s">
        <v>55</v>
      </c>
      <c r="J16" s="39" t="s">
        <v>56</v>
      </c>
      <c r="K16" s="40" t="s">
        <v>57</v>
      </c>
      <c r="L16" s="41" t="s">
        <v>56</v>
      </c>
      <c r="M16" s="41" t="s">
        <v>57</v>
      </c>
      <c r="N16" s="42" t="s">
        <v>56</v>
      </c>
      <c r="O16" s="42" t="s">
        <v>57</v>
      </c>
      <c r="P16" s="39" t="s">
        <v>56</v>
      </c>
      <c r="Q16" s="39" t="s">
        <v>57</v>
      </c>
      <c r="R16" s="128" t="s">
        <v>56</v>
      </c>
      <c r="S16" s="128" t="s">
        <v>57</v>
      </c>
    </row>
    <row r="17" spans="7:31" ht="13" x14ac:dyDescent="0.25">
      <c r="I17" s="43" t="s">
        <v>58</v>
      </c>
      <c r="J17" s="44"/>
      <c r="K17" s="45">
        <v>70</v>
      </c>
      <c r="L17" s="46"/>
      <c r="M17" s="46">
        <v>120</v>
      </c>
      <c r="N17" s="47"/>
      <c r="O17" s="47">
        <v>200</v>
      </c>
      <c r="P17" s="48"/>
      <c r="Q17" s="48">
        <v>280</v>
      </c>
      <c r="R17" s="129"/>
      <c r="S17" s="129">
        <v>350</v>
      </c>
    </row>
    <row r="18" spans="7:31" ht="13" x14ac:dyDescent="0.25">
      <c r="I18" s="49" t="s">
        <v>59</v>
      </c>
      <c r="J18" s="50"/>
      <c r="K18" s="51">
        <v>138</v>
      </c>
      <c r="L18" s="52"/>
      <c r="M18" s="52">
        <v>138</v>
      </c>
      <c r="N18" s="53"/>
      <c r="O18" s="53">
        <v>138</v>
      </c>
      <c r="P18" s="51"/>
      <c r="Q18" s="51">
        <v>138</v>
      </c>
      <c r="R18" s="130"/>
      <c r="S18" s="130">
        <v>138</v>
      </c>
    </row>
    <row r="19" spans="7:31" ht="13" x14ac:dyDescent="0.25">
      <c r="I19" s="49" t="s">
        <v>60</v>
      </c>
      <c r="J19" s="50"/>
      <c r="K19" s="54">
        <v>120</v>
      </c>
      <c r="L19" s="52"/>
      <c r="M19" s="52">
        <f>K19+5</f>
        <v>125</v>
      </c>
      <c r="N19" s="53"/>
      <c r="O19" s="53">
        <f>M19+5</f>
        <v>130</v>
      </c>
      <c r="P19" s="51"/>
      <c r="Q19" s="51">
        <f>O19+10</f>
        <v>140</v>
      </c>
      <c r="R19" s="130"/>
      <c r="S19" s="130">
        <f>Q19+10</f>
        <v>150</v>
      </c>
    </row>
    <row r="20" spans="7:31" ht="14" x14ac:dyDescent="0.25">
      <c r="H20" s="5" t="str">
        <f>"一、收入(报"&amp;AC5&amp;"科/人)"</f>
        <v>一、收入(报1科/人)</v>
      </c>
      <c r="K20" s="55">
        <f>K18*K19</f>
        <v>16560</v>
      </c>
      <c r="M20" s="55">
        <f>M18*M19</f>
        <v>17250</v>
      </c>
      <c r="O20" s="55">
        <f>O18*O19</f>
        <v>17940</v>
      </c>
      <c r="Q20" s="55">
        <f>Q18*Q19</f>
        <v>19320</v>
      </c>
      <c r="S20" s="55">
        <f>S18*S19</f>
        <v>20700</v>
      </c>
    </row>
    <row r="21" spans="7:31" ht="22.4" customHeight="1" x14ac:dyDescent="0.25">
      <c r="H21" s="6"/>
      <c r="I21" s="56" t="s">
        <v>61</v>
      </c>
      <c r="J21" s="57"/>
      <c r="K21" s="58">
        <f>K17*K18*K19*$AC$5</f>
        <v>1159200</v>
      </c>
      <c r="L21" s="52"/>
      <c r="M21" s="59">
        <f>M17*M18*M19*$AC$5</f>
        <v>2070000</v>
      </c>
      <c r="N21" s="53"/>
      <c r="O21" s="60">
        <f>O17*O18*O19*$AC$5</f>
        <v>3588000</v>
      </c>
      <c r="P21" s="51"/>
      <c r="Q21" s="131">
        <f>Q17*Q18*Q19*$AC$5</f>
        <v>5409600</v>
      </c>
      <c r="R21" s="130"/>
      <c r="S21" s="132">
        <f>S17*S18*S19*$AC$5</f>
        <v>7245000</v>
      </c>
    </row>
    <row r="22" spans="7:31" ht="14" x14ac:dyDescent="0.25">
      <c r="H22" s="5" t="s">
        <v>62</v>
      </c>
    </row>
    <row r="23" spans="7:31" ht="13" x14ac:dyDescent="0.25">
      <c r="I23" s="49" t="s">
        <v>63</v>
      </c>
      <c r="J23" s="50"/>
      <c r="K23" s="61">
        <v>300</v>
      </c>
      <c r="L23" s="52"/>
      <c r="M23" s="62">
        <v>300</v>
      </c>
      <c r="N23" s="53"/>
      <c r="O23" s="63">
        <v>300</v>
      </c>
      <c r="P23" s="51"/>
      <c r="Q23" s="61">
        <v>300</v>
      </c>
      <c r="R23" s="130"/>
      <c r="S23" s="133">
        <v>300</v>
      </c>
    </row>
    <row r="24" spans="7:31" ht="14" x14ac:dyDescent="0.25">
      <c r="H24" s="7">
        <v>1</v>
      </c>
      <c r="I24" s="49" t="s">
        <v>64</v>
      </c>
      <c r="J24" s="64">
        <f>K24/K21</f>
        <v>8.6266390614216704E-2</v>
      </c>
      <c r="K24" s="65">
        <v>100000</v>
      </c>
      <c r="L24" s="66">
        <f>M24/M21</f>
        <v>5.3140096618357488E-2</v>
      </c>
      <c r="M24" s="67">
        <f>K24+10000</f>
        <v>110000</v>
      </c>
      <c r="N24" s="68">
        <f>O24/O21</f>
        <v>3.3444816053511704E-2</v>
      </c>
      <c r="O24" s="69">
        <f>K24+20000</f>
        <v>120000</v>
      </c>
      <c r="P24" s="70">
        <f>Q24/Q21</f>
        <v>2.4031351671103224E-2</v>
      </c>
      <c r="Q24" s="74">
        <f>K24+30000</f>
        <v>130000</v>
      </c>
      <c r="R24" s="134">
        <f>S24/S21</f>
        <v>1.932367149758454E-2</v>
      </c>
      <c r="S24" s="135">
        <f>K24+40000</f>
        <v>140000</v>
      </c>
    </row>
    <row r="25" spans="7:31" ht="14" x14ac:dyDescent="0.25">
      <c r="H25" s="7">
        <v>1.1000000000000001</v>
      </c>
      <c r="I25" s="71" t="s">
        <v>65</v>
      </c>
      <c r="J25" s="72">
        <f>K25/K21</f>
        <v>0.30193236714975846</v>
      </c>
      <c r="K25" s="73">
        <v>350000</v>
      </c>
      <c r="L25" s="73"/>
      <c r="M25" s="73"/>
      <c r="N25" s="73"/>
      <c r="O25" s="73"/>
      <c r="P25" s="73"/>
      <c r="Q25" s="73"/>
      <c r="R25" s="73"/>
      <c r="S25" s="73"/>
    </row>
    <row r="26" spans="7:31" ht="14" x14ac:dyDescent="0.25">
      <c r="G26" s="3" t="s">
        <v>66</v>
      </c>
      <c r="H26" s="7">
        <v>2</v>
      </c>
      <c r="I26" s="49" t="s">
        <v>67</v>
      </c>
      <c r="J26" s="64">
        <f>K26/K21</f>
        <v>0.12939958592132506</v>
      </c>
      <c r="K26" s="74">
        <f>K27*K28*12</f>
        <v>150000</v>
      </c>
      <c r="L26" s="66">
        <f>M26/M21</f>
        <v>0.17391304347826086</v>
      </c>
      <c r="M26" s="67">
        <f>M27*M28*12</f>
        <v>360000</v>
      </c>
      <c r="N26" s="68">
        <f>O26/O21</f>
        <v>0.1806020066889632</v>
      </c>
      <c r="O26" s="69">
        <f>O27*O28*12</f>
        <v>648000</v>
      </c>
      <c r="P26" s="70">
        <f>Q26/Q21</f>
        <v>0.18012422360248448</v>
      </c>
      <c r="Q26" s="74">
        <f>Q27*Q28*12</f>
        <v>974400</v>
      </c>
      <c r="R26" s="134">
        <f>S26/S21</f>
        <v>0.1937888198757764</v>
      </c>
      <c r="S26" s="135">
        <f>S27*S28*12</f>
        <v>1404000</v>
      </c>
    </row>
    <row r="27" spans="7:31" ht="14" x14ac:dyDescent="0.25">
      <c r="H27" s="7"/>
      <c r="I27" s="75" t="s">
        <v>68</v>
      </c>
      <c r="J27" s="50"/>
      <c r="K27" s="76">
        <f>MAX(ROUND(K17/$AC$6,0),5)</f>
        <v>5</v>
      </c>
      <c r="L27" s="52"/>
      <c r="M27" s="52">
        <f>ROUND(M17/$AC$6,0)</f>
        <v>6</v>
      </c>
      <c r="N27" s="53"/>
      <c r="O27" s="53">
        <f>ROUND(O17/$AC$6,0)</f>
        <v>10</v>
      </c>
      <c r="P27" s="51"/>
      <c r="Q27" s="51">
        <f>ROUND(Q17/$AC$6,0)</f>
        <v>14</v>
      </c>
      <c r="R27" s="130"/>
      <c r="S27" s="130">
        <f>ROUND(S17/$AC$6,0)</f>
        <v>18</v>
      </c>
      <c r="AE27" s="2" t="s">
        <v>45</v>
      </c>
    </row>
    <row r="28" spans="7:31" ht="14" x14ac:dyDescent="0.25">
      <c r="H28" s="7"/>
      <c r="I28" s="77" t="s">
        <v>69</v>
      </c>
      <c r="J28" s="57"/>
      <c r="K28" s="78">
        <f>30000/12</f>
        <v>2500</v>
      </c>
      <c r="L28" s="79"/>
      <c r="M28" s="80">
        <v>5000</v>
      </c>
      <c r="N28" s="81"/>
      <c r="O28" s="82">
        <v>5400</v>
      </c>
      <c r="P28" s="83"/>
      <c r="Q28" s="136">
        <v>5800</v>
      </c>
      <c r="R28" s="137"/>
      <c r="S28" s="138">
        <v>6500</v>
      </c>
    </row>
    <row r="29" spans="7:31" ht="3" customHeight="1" x14ac:dyDescent="0.25">
      <c r="H29" s="7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</row>
    <row r="30" spans="7:31" ht="14" x14ac:dyDescent="0.25">
      <c r="G30" s="3" t="s">
        <v>66</v>
      </c>
      <c r="H30" s="7">
        <v>3</v>
      </c>
      <c r="I30" s="49" t="s">
        <v>70</v>
      </c>
      <c r="J30" s="64">
        <f>K30/K21</f>
        <v>9.3167701863354033E-2</v>
      </c>
      <c r="K30" s="74">
        <f>K32*12*K31</f>
        <v>108000</v>
      </c>
      <c r="L30" s="66">
        <f>M30/M21</f>
        <v>0.13043478260869565</v>
      </c>
      <c r="M30" s="67">
        <f>M32*12*M31</f>
        <v>270000</v>
      </c>
      <c r="N30" s="68">
        <f>O30/O21</f>
        <v>0.10702341137123746</v>
      </c>
      <c r="O30" s="69">
        <f>O32*12*O31</f>
        <v>384000</v>
      </c>
      <c r="P30" s="70">
        <f>Q30/Q21</f>
        <v>7.9858030168589181E-2</v>
      </c>
      <c r="Q30" s="74">
        <f>Q32*12*Q31</f>
        <v>432000</v>
      </c>
      <c r="R30" s="134">
        <f>S30/S21</f>
        <v>8.2815734989648032E-2</v>
      </c>
      <c r="S30" s="135">
        <f>S32*12*S31</f>
        <v>600000</v>
      </c>
    </row>
    <row r="31" spans="7:31" ht="14" x14ac:dyDescent="0.25">
      <c r="H31" s="7"/>
      <c r="I31" s="75" t="s">
        <v>71</v>
      </c>
      <c r="J31" s="50"/>
      <c r="K31" s="76">
        <v>3</v>
      </c>
      <c r="L31" s="52"/>
      <c r="M31" s="52">
        <v>3</v>
      </c>
      <c r="N31" s="53"/>
      <c r="O31" s="53">
        <v>4</v>
      </c>
      <c r="P31" s="51"/>
      <c r="Q31" s="51">
        <v>4</v>
      </c>
      <c r="R31" s="130"/>
      <c r="S31" s="130">
        <v>5</v>
      </c>
    </row>
    <row r="32" spans="7:31" ht="14" x14ac:dyDescent="0.25">
      <c r="H32" s="7"/>
      <c r="I32" s="77" t="s">
        <v>69</v>
      </c>
      <c r="J32" s="57"/>
      <c r="K32" s="78">
        <v>3000</v>
      </c>
      <c r="L32" s="79"/>
      <c r="M32" s="80">
        <f>ROUND(90000/12,0)</f>
        <v>7500</v>
      </c>
      <c r="N32" s="81"/>
      <c r="O32" s="82">
        <v>8000</v>
      </c>
      <c r="P32" s="83"/>
      <c r="Q32" s="136">
        <v>9000</v>
      </c>
      <c r="R32" s="137"/>
      <c r="S32" s="138">
        <f>ROUND(120000/12,)</f>
        <v>10000</v>
      </c>
    </row>
    <row r="33" spans="4:31" ht="3" customHeight="1" x14ac:dyDescent="0.25">
      <c r="H33" s="7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</row>
    <row r="34" spans="4:31" ht="14" x14ac:dyDescent="0.25">
      <c r="G34" s="3" t="s">
        <v>66</v>
      </c>
      <c r="H34" s="7">
        <v>4</v>
      </c>
      <c r="I34" s="49" t="s">
        <v>72</v>
      </c>
      <c r="J34" s="64">
        <f>K34/K21</f>
        <v>0.1</v>
      </c>
      <c r="K34" s="74">
        <f>K21*0.1</f>
        <v>115920</v>
      </c>
      <c r="L34" s="66">
        <f>M34/M21</f>
        <v>0.08</v>
      </c>
      <c r="M34" s="67">
        <f>M21*0.08</f>
        <v>165600</v>
      </c>
      <c r="N34" s="68">
        <f>O34/O21</f>
        <v>0.05</v>
      </c>
      <c r="O34" s="69">
        <f t="shared" ref="O34" si="1">O21*0.05</f>
        <v>179400</v>
      </c>
      <c r="P34" s="70">
        <f>Q34/Q21</f>
        <v>0.05</v>
      </c>
      <c r="Q34" s="74">
        <f>Q21*0.05</f>
        <v>270480</v>
      </c>
      <c r="R34" s="134">
        <f>S34/S21</f>
        <v>0.05</v>
      </c>
      <c r="S34" s="135">
        <f>S21*0.05</f>
        <v>362250</v>
      </c>
    </row>
    <row r="35" spans="4:31" ht="3" customHeight="1" x14ac:dyDescent="0.25">
      <c r="H35" s="7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</row>
    <row r="36" spans="4:31" ht="14" x14ac:dyDescent="0.25">
      <c r="H36" s="7">
        <v>5</v>
      </c>
      <c r="I36" s="49" t="s">
        <v>73</v>
      </c>
      <c r="J36" s="64">
        <f>K36/K21</f>
        <v>0.05</v>
      </c>
      <c r="K36" s="74">
        <f>K21*0.05</f>
        <v>57960</v>
      </c>
      <c r="L36" s="66">
        <f>M36/M21</f>
        <v>0.05</v>
      </c>
      <c r="M36" s="67">
        <f>M21*0.05</f>
        <v>103500</v>
      </c>
      <c r="N36" s="68">
        <f>O36/O21</f>
        <v>0.05</v>
      </c>
      <c r="O36" s="69">
        <f>O21*0.05</f>
        <v>179400</v>
      </c>
      <c r="P36" s="70">
        <f>Q36/Q21</f>
        <v>0.05</v>
      </c>
      <c r="Q36" s="74">
        <f>Q21*0.05</f>
        <v>270480</v>
      </c>
      <c r="R36" s="134">
        <f>S36/S21</f>
        <v>0.05</v>
      </c>
      <c r="S36" s="135">
        <f>S21*0.05</f>
        <v>362250</v>
      </c>
    </row>
    <row r="37" spans="4:31" ht="3" customHeight="1" x14ac:dyDescent="0.25">
      <c r="H37" s="7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</row>
    <row r="38" spans="4:31" ht="14" x14ac:dyDescent="0.25">
      <c r="H38" s="7">
        <v>6</v>
      </c>
      <c r="I38" s="84" t="s">
        <v>74</v>
      </c>
      <c r="J38" s="85"/>
      <c r="K38" s="86">
        <f>K21*0</f>
        <v>0</v>
      </c>
      <c r="L38" s="87"/>
      <c r="M38" s="88">
        <f>M21*0.2*0.9</f>
        <v>372600</v>
      </c>
      <c r="N38" s="89"/>
      <c r="O38" s="90">
        <f>O21*0.2*0.9</f>
        <v>645840</v>
      </c>
      <c r="P38" s="91"/>
      <c r="Q38" s="86">
        <f>Q21*0.2*0.9</f>
        <v>973728</v>
      </c>
      <c r="R38" s="139"/>
      <c r="S38" s="140">
        <f>S21*0.2*0.9</f>
        <v>1304100</v>
      </c>
    </row>
    <row r="39" spans="4:31" ht="14" x14ac:dyDescent="0.25">
      <c r="H39" s="8">
        <v>6.1</v>
      </c>
      <c r="I39" s="92" t="s">
        <v>75</v>
      </c>
      <c r="J39" s="73"/>
      <c r="K39" s="73">
        <v>350000</v>
      </c>
      <c r="L39" s="73"/>
      <c r="M39" s="73"/>
      <c r="N39" s="73"/>
      <c r="O39" s="73"/>
      <c r="P39" s="73"/>
      <c r="Q39" s="73"/>
      <c r="R39" s="73"/>
      <c r="S39" s="73"/>
    </row>
    <row r="40" spans="4:31" ht="14" x14ac:dyDescent="0.25">
      <c r="H40" s="9"/>
      <c r="I40" s="93" t="s">
        <v>76</v>
      </c>
      <c r="J40" s="270">
        <f>K40/K21</f>
        <v>1.0626984126984127</v>
      </c>
      <c r="K40" s="94">
        <f>K24+K26+K30+K34+K36+K38+K25+K39</f>
        <v>1231880</v>
      </c>
      <c r="L40" s="95">
        <f t="shared" ref="L40:R40" si="2">L24+L26+L30+L34+L36+L38</f>
        <v>0.48748792270531405</v>
      </c>
      <c r="M40" s="96">
        <f>M24+M26+M30+M34+M36+M38+M39</f>
        <v>1381700</v>
      </c>
      <c r="N40" s="97">
        <f t="shared" si="2"/>
        <v>0.42107023411371236</v>
      </c>
      <c r="O40" s="98">
        <f>O24+O26+O30+O34+O36+O38+O39</f>
        <v>2156640</v>
      </c>
      <c r="P40" s="99">
        <f t="shared" si="2"/>
        <v>0.38401360544217689</v>
      </c>
      <c r="Q40" s="94">
        <f>Q24+Q26+Q30+Q34+Q36+Q38+Q39</f>
        <v>3051088</v>
      </c>
      <c r="R40" s="141">
        <f t="shared" si="2"/>
        <v>0.39592822636300895</v>
      </c>
      <c r="S40" s="142">
        <f>S24+S26+S30+S34+S36+S38+S39</f>
        <v>4172600</v>
      </c>
    </row>
    <row r="41" spans="4:31" ht="14" x14ac:dyDescent="0.25">
      <c r="H41" s="10" t="str">
        <f>"三、利润(报"&amp;AC5&amp;"科/人)"</f>
        <v>三、利润(报1科/人)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W41" s="100"/>
      <c r="Y41" s="100"/>
      <c r="Z41" s="100"/>
      <c r="AA41" s="100"/>
    </row>
    <row r="42" spans="4:31" ht="14" x14ac:dyDescent="0.25">
      <c r="I42" s="49" t="s">
        <v>77</v>
      </c>
      <c r="J42" s="101">
        <f>K42/K21</f>
        <v>-6.2698412698412698E-2</v>
      </c>
      <c r="K42" s="102">
        <f>K21-K40</f>
        <v>-72680</v>
      </c>
      <c r="L42" s="66">
        <f>M42/M21</f>
        <v>0.33251207729468601</v>
      </c>
      <c r="M42" s="103">
        <f>M21-M40</f>
        <v>688300</v>
      </c>
      <c r="N42" s="68">
        <f>O42/O21</f>
        <v>0.39892976588628765</v>
      </c>
      <c r="O42" s="104">
        <f>O21-O40</f>
        <v>1431360</v>
      </c>
      <c r="P42" s="70">
        <f>Q42/Q21</f>
        <v>0.43598639455782312</v>
      </c>
      <c r="Q42" s="102">
        <f>Q21-Q40</f>
        <v>2358512</v>
      </c>
      <c r="R42" s="134">
        <f>S42/S21</f>
        <v>0.424071773636991</v>
      </c>
      <c r="S42" s="143">
        <f>S21-S40</f>
        <v>3072400</v>
      </c>
      <c r="AE42" s="2" t="s">
        <v>41</v>
      </c>
    </row>
    <row r="43" spans="4:31" ht="14" x14ac:dyDescent="0.25">
      <c r="I43" s="5" t="str">
        <f>"注：①此演示表假设为单校区每个学生报"&amp;$AC$5&amp;"个科目；②未含开分校降低的整体管理成本；③20%分成未按底价计算"</f>
        <v>注：①此演示表假设为单校区每个学生报1个科目；②未含开分校降低的整体管理成本；③20%分成未按底价计算</v>
      </c>
      <c r="J43"/>
      <c r="K43"/>
      <c r="L43"/>
      <c r="M43"/>
      <c r="N43"/>
      <c r="O43"/>
      <c r="P43"/>
      <c r="Q43"/>
      <c r="R43"/>
      <c r="S43"/>
      <c r="T43"/>
      <c r="W43"/>
      <c r="Y43"/>
      <c r="AA43"/>
      <c r="AE43" s="2" t="s">
        <v>41</v>
      </c>
    </row>
    <row r="44" spans="4:31" ht="28" x14ac:dyDescent="0.25">
      <c r="I44" s="105" t="s">
        <v>78</v>
      </c>
      <c r="J44" s="106"/>
      <c r="K44" s="107" t="s">
        <v>79</v>
      </c>
      <c r="L44" s="108"/>
      <c r="M44" s="107" t="s">
        <v>80</v>
      </c>
      <c r="N44" s="108"/>
      <c r="O44" s="107" t="s">
        <v>81</v>
      </c>
      <c r="P44" s="108"/>
      <c r="Q44" s="107" t="s">
        <v>82</v>
      </c>
      <c r="R44" s="108"/>
      <c r="S44" s="107" t="s">
        <v>83</v>
      </c>
      <c r="T44"/>
      <c r="U44" s="107" t="s">
        <v>84</v>
      </c>
      <c r="V44" s="107" t="s">
        <v>29</v>
      </c>
      <c r="W44"/>
      <c r="X44" s="107" t="s">
        <v>28</v>
      </c>
      <c r="Y44"/>
      <c r="Z44" s="107" t="s">
        <v>30</v>
      </c>
    </row>
    <row r="45" spans="4:31" ht="14" x14ac:dyDescent="0.25">
      <c r="D45" s="4"/>
      <c r="I45" s="109" t="s">
        <v>85</v>
      </c>
      <c r="J45" s="110"/>
      <c r="K45" s="111" t="str">
        <f t="shared" ref="K45:O45" si="3">IF(K$42*$AA$45*$U45/SUM($U$45:$U$46)&lt;0,"-",K$42*$AA$45*$U45/SUM($U$45:$U$46))</f>
        <v>-</v>
      </c>
      <c r="L45" s="112"/>
      <c r="M45" s="111">
        <f t="shared" si="3"/>
        <v>137660</v>
      </c>
      <c r="N45" s="112"/>
      <c r="O45" s="111">
        <f t="shared" si="3"/>
        <v>286272</v>
      </c>
      <c r="P45" s="112"/>
      <c r="Q45" s="111">
        <f>IF(Q$42*$AA$45*$U45/SUM($U$45:$U$46)&lt;0,"-",Q$42*$AA$45*$U45/SUM($U$45:$U$46))</f>
        <v>471702.4</v>
      </c>
      <c r="R45" s="112"/>
      <c r="S45" s="111">
        <f>IF(S$42*$AA$45*$U45/SUM($U$45:$U$46)&lt;0,"-",S$42*$AA$45*$U45/SUM($U$45:$U$46))</f>
        <v>614480</v>
      </c>
      <c r="U45" s="144">
        <f>V45/SUM($V$45:$V$54)</f>
        <v>0.15384615384615385</v>
      </c>
      <c r="V45" s="145">
        <v>20</v>
      </c>
      <c r="X45" s="144">
        <f>V45/SUM($V$45:$V$46)*$AA$45</f>
        <v>0.2</v>
      </c>
      <c r="Z45" s="111">
        <f>IF(ISNUMBER(K45),K45,0)+IF(ISNUMBER(M45),M45,0)+IF(ISNUMBER(O45),O45,0)+IF(ISNUMBER(Q45),Q45,0)+IF(ISNUMBER(S45),S45,0)</f>
        <v>1510114.4</v>
      </c>
      <c r="AA45" s="158">
        <v>0.4</v>
      </c>
    </row>
    <row r="46" spans="4:31" ht="14" x14ac:dyDescent="0.25">
      <c r="D46" s="4"/>
      <c r="I46" s="109" t="s">
        <v>86</v>
      </c>
      <c r="J46" s="110"/>
      <c r="K46" s="111" t="str">
        <f t="shared" ref="K46:O46" si="4">IF(K$42*$AA$45*$U46/SUM($U$45:$U$46)&lt;0,"-",K$42*$AA$45*$U46/SUM($U$45:$U$46))</f>
        <v>-</v>
      </c>
      <c r="L46" s="112"/>
      <c r="M46" s="111">
        <f t="shared" si="4"/>
        <v>137660</v>
      </c>
      <c r="N46" s="112"/>
      <c r="O46" s="111">
        <f t="shared" si="4"/>
        <v>286272</v>
      </c>
      <c r="P46" s="112"/>
      <c r="Q46" s="111">
        <f>IF(Q$42*$AA$45*$U46/SUM($U$45:$U$46)&lt;0,"-",Q$42*$AA$45*$U46/SUM($U$45:$U$46))</f>
        <v>471702.4</v>
      </c>
      <c r="R46" s="112"/>
      <c r="S46" s="111">
        <f>IF(S$42*$AA$45*$U46/SUM($U$45:$U$46)&lt;0,"-",S$42*$AA$45*$U46/SUM($U$45:$U$46))</f>
        <v>614480</v>
      </c>
      <c r="U46" s="144">
        <f t="shared" ref="U46:U54" si="5">V46/SUM($V$45:$V$54)</f>
        <v>0.15384615384615385</v>
      </c>
      <c r="V46" s="145">
        <v>20</v>
      </c>
      <c r="X46" s="144">
        <f>V46/SUM($V$45:$V$46)*$AA$45</f>
        <v>0.2</v>
      </c>
      <c r="Z46" s="111">
        <f t="shared" ref="Z46:Z54" si="6">IF(ISNUMBER(K46),K46,0)+IF(ISNUMBER(M46),M46,0)+IF(ISNUMBER(O46),O46,0)+IF(ISNUMBER(Q46),Q46,0)+IF(ISNUMBER(S46),S46,0)</f>
        <v>1510114.4</v>
      </c>
      <c r="AA46" s="159"/>
    </row>
    <row r="47" spans="4:31" ht="14" x14ac:dyDescent="0.25">
      <c r="D47" s="4"/>
      <c r="I47" s="109" t="s">
        <v>87</v>
      </c>
      <c r="J47" s="110"/>
      <c r="K47" s="111" t="str">
        <f>IF(K$42*$AA$47*$U47/SUM($U$47:$U$54)&lt;0,"-",K$42*$AA$47*$U47/SUM($U$47:$U$54))</f>
        <v>-</v>
      </c>
      <c r="L47" s="112"/>
      <c r="M47" s="111">
        <f t="shared" ref="M47:M54" si="7">IF(M$42*$AA$47*$U47/SUM($U$47:$U$54)&lt;0,"-",M$42*$AA$47*$U47/SUM($U$47:$U$54))</f>
        <v>91773.333333333343</v>
      </c>
      <c r="N47" s="112"/>
      <c r="O47" s="111">
        <f t="shared" ref="O47:O54" si="8">IF(O$42*$AA$47*$U47/SUM($U$47:$U$54)&lt;0,"-",O$42*$AA$47*$U47/SUM($U$47:$U$54))</f>
        <v>190848</v>
      </c>
      <c r="P47" s="112"/>
      <c r="Q47" s="111">
        <f t="shared" ref="Q47:Q54" si="9">IF(Q$42*$AA$47*$U47/SUM($U$47:$U$54)&lt;0,"-",Q$42*$AA$47*$U47/SUM($U$47:$U$54))</f>
        <v>314468.26666666672</v>
      </c>
      <c r="R47" s="112"/>
      <c r="S47" s="111">
        <f t="shared" ref="S47:S54" si="10">IF(S$42*$AA$47*$U47/SUM($U$47:$U$54)&lt;0,"-",S$42*$AA$47*$U47/SUM($U$47:$U$54))</f>
        <v>409653.33333333337</v>
      </c>
      <c r="U47" s="144">
        <f t="shared" si="5"/>
        <v>0.15384615384615385</v>
      </c>
      <c r="V47" s="145">
        <v>20</v>
      </c>
      <c r="X47" s="144">
        <f>V47/SUM($V$47:$V$54)*$AA$47</f>
        <v>0.13333333333333333</v>
      </c>
      <c r="Z47" s="111">
        <f t="shared" si="6"/>
        <v>1006742.9333333335</v>
      </c>
      <c r="AA47" s="158">
        <v>0.6</v>
      </c>
    </row>
    <row r="48" spans="4:31" ht="14" x14ac:dyDescent="0.25">
      <c r="D48" s="4"/>
      <c r="I48" s="109" t="s">
        <v>88</v>
      </c>
      <c r="J48" s="110"/>
      <c r="K48" s="111" t="str">
        <f t="shared" ref="K48:K54" si="11">IF(K$42*$AA$47*$U48/SUM($U$47:$U$54)&lt;0,"-",K$42*$AA$47*$U48/SUM($U$47:$U$54))</f>
        <v>-</v>
      </c>
      <c r="L48" s="112"/>
      <c r="M48" s="111">
        <f t="shared" si="7"/>
        <v>45886.666666666672</v>
      </c>
      <c r="N48" s="112"/>
      <c r="O48" s="111">
        <f t="shared" si="8"/>
        <v>95424</v>
      </c>
      <c r="P48" s="112"/>
      <c r="Q48" s="111">
        <f t="shared" si="9"/>
        <v>157234.13333333336</v>
      </c>
      <c r="R48" s="112"/>
      <c r="S48" s="111">
        <f t="shared" si="10"/>
        <v>204826.66666666669</v>
      </c>
      <c r="U48" s="144">
        <f t="shared" si="5"/>
        <v>7.6923076923076927E-2</v>
      </c>
      <c r="V48" s="145">
        <v>10</v>
      </c>
      <c r="X48" s="144">
        <f t="shared" ref="X48:X54" si="12">V48/SUM($V$47:$V$54)*$AA$47</f>
        <v>6.6666666666666666E-2</v>
      </c>
      <c r="Z48" s="111">
        <f t="shared" si="6"/>
        <v>503371.46666666673</v>
      </c>
    </row>
    <row r="49" spans="4:26" ht="14" x14ac:dyDescent="0.25">
      <c r="D49" s="4"/>
      <c r="I49" s="113" t="s">
        <v>89</v>
      </c>
      <c r="J49" s="110"/>
      <c r="K49" s="111" t="str">
        <f t="shared" si="11"/>
        <v>-</v>
      </c>
      <c r="L49" s="112"/>
      <c r="M49" s="111">
        <f t="shared" si="7"/>
        <v>45886.666666666672</v>
      </c>
      <c r="N49" s="112"/>
      <c r="O49" s="111">
        <f t="shared" si="8"/>
        <v>95424</v>
      </c>
      <c r="P49" s="112"/>
      <c r="Q49" s="111">
        <f t="shared" si="9"/>
        <v>157234.13333333336</v>
      </c>
      <c r="R49" s="112"/>
      <c r="S49" s="111">
        <f t="shared" si="10"/>
        <v>204826.66666666669</v>
      </c>
      <c r="U49" s="144">
        <f t="shared" si="5"/>
        <v>7.6923076923076927E-2</v>
      </c>
      <c r="V49" s="145">
        <v>10</v>
      </c>
      <c r="X49" s="144">
        <f t="shared" si="12"/>
        <v>6.6666666666666666E-2</v>
      </c>
      <c r="Z49" s="111">
        <f t="shared" si="6"/>
        <v>503371.46666666673</v>
      </c>
    </row>
    <row r="50" spans="4:26" ht="14" x14ac:dyDescent="0.25">
      <c r="D50" s="4"/>
      <c r="I50" s="113" t="s">
        <v>90</v>
      </c>
      <c r="J50" s="110"/>
      <c r="K50" s="111" t="str">
        <f t="shared" si="11"/>
        <v>-</v>
      </c>
      <c r="L50" s="112"/>
      <c r="M50" s="111">
        <f t="shared" si="7"/>
        <v>45886.666666666672</v>
      </c>
      <c r="N50" s="112"/>
      <c r="O50" s="111">
        <f t="shared" si="8"/>
        <v>95424</v>
      </c>
      <c r="P50" s="112"/>
      <c r="Q50" s="111">
        <f t="shared" si="9"/>
        <v>157234.13333333336</v>
      </c>
      <c r="R50" s="112"/>
      <c r="S50" s="111">
        <f t="shared" si="10"/>
        <v>204826.66666666669</v>
      </c>
      <c r="U50" s="144">
        <f t="shared" si="5"/>
        <v>7.6923076923076927E-2</v>
      </c>
      <c r="V50" s="145">
        <v>10</v>
      </c>
      <c r="X50" s="144">
        <f t="shared" si="12"/>
        <v>6.6666666666666666E-2</v>
      </c>
      <c r="Z50" s="111">
        <f t="shared" si="6"/>
        <v>503371.46666666673</v>
      </c>
    </row>
    <row r="51" spans="4:26" ht="14" x14ac:dyDescent="0.25">
      <c r="D51" s="4"/>
      <c r="I51" s="113" t="s">
        <v>91</v>
      </c>
      <c r="J51" s="110"/>
      <c r="K51" s="111" t="str">
        <f t="shared" si="11"/>
        <v>-</v>
      </c>
      <c r="L51" s="112"/>
      <c r="M51" s="111">
        <f t="shared" si="7"/>
        <v>45886.666666666672</v>
      </c>
      <c r="N51" s="112"/>
      <c r="O51" s="111">
        <f t="shared" si="8"/>
        <v>95424</v>
      </c>
      <c r="P51" s="112"/>
      <c r="Q51" s="111">
        <f t="shared" si="9"/>
        <v>157234.13333333336</v>
      </c>
      <c r="R51" s="112"/>
      <c r="S51" s="111">
        <f t="shared" si="10"/>
        <v>204826.66666666669</v>
      </c>
      <c r="U51" s="144">
        <f t="shared" si="5"/>
        <v>7.6923076923076927E-2</v>
      </c>
      <c r="V51" s="145">
        <v>10</v>
      </c>
      <c r="X51" s="144">
        <f t="shared" si="12"/>
        <v>6.6666666666666666E-2</v>
      </c>
      <c r="Z51" s="111">
        <f t="shared" si="6"/>
        <v>503371.46666666673</v>
      </c>
    </row>
    <row r="52" spans="4:26" ht="14" x14ac:dyDescent="0.25">
      <c r="D52" s="4"/>
      <c r="I52" s="113" t="s">
        <v>92</v>
      </c>
      <c r="J52" s="110"/>
      <c r="K52" s="111" t="str">
        <f t="shared" si="11"/>
        <v>-</v>
      </c>
      <c r="L52" s="112"/>
      <c r="M52" s="111">
        <f t="shared" si="7"/>
        <v>45886.666666666672</v>
      </c>
      <c r="N52" s="112"/>
      <c r="O52" s="111">
        <f t="shared" si="8"/>
        <v>95424</v>
      </c>
      <c r="P52" s="112"/>
      <c r="Q52" s="111">
        <f t="shared" si="9"/>
        <v>157234.13333333336</v>
      </c>
      <c r="R52" s="112"/>
      <c r="S52" s="111">
        <f t="shared" si="10"/>
        <v>204826.66666666669</v>
      </c>
      <c r="U52" s="144">
        <f t="shared" si="5"/>
        <v>7.6923076923076927E-2</v>
      </c>
      <c r="V52" s="145">
        <v>10</v>
      </c>
      <c r="X52" s="144">
        <f t="shared" si="12"/>
        <v>6.6666666666666666E-2</v>
      </c>
      <c r="Z52" s="111">
        <f t="shared" si="6"/>
        <v>503371.46666666673</v>
      </c>
    </row>
    <row r="53" spans="4:26" ht="14" x14ac:dyDescent="0.25">
      <c r="D53" s="4"/>
      <c r="I53" s="113" t="s">
        <v>93</v>
      </c>
      <c r="J53" s="110"/>
      <c r="K53" s="111" t="str">
        <f t="shared" si="11"/>
        <v>-</v>
      </c>
      <c r="L53" s="112"/>
      <c r="M53" s="111">
        <f t="shared" si="7"/>
        <v>45886.666666666672</v>
      </c>
      <c r="N53" s="112"/>
      <c r="O53" s="111">
        <f t="shared" si="8"/>
        <v>95424</v>
      </c>
      <c r="P53" s="112"/>
      <c r="Q53" s="111">
        <f t="shared" si="9"/>
        <v>157234.13333333336</v>
      </c>
      <c r="R53" s="112"/>
      <c r="S53" s="111">
        <f t="shared" si="10"/>
        <v>204826.66666666669</v>
      </c>
      <c r="U53" s="144">
        <f t="shared" si="5"/>
        <v>7.6923076923076927E-2</v>
      </c>
      <c r="V53" s="145">
        <v>10</v>
      </c>
      <c r="X53" s="144">
        <f t="shared" si="12"/>
        <v>6.6666666666666666E-2</v>
      </c>
      <c r="Z53" s="111">
        <f t="shared" si="6"/>
        <v>503371.46666666673</v>
      </c>
    </row>
    <row r="54" spans="4:26" ht="14" x14ac:dyDescent="0.25">
      <c r="D54" s="4"/>
      <c r="I54" s="113" t="s">
        <v>94</v>
      </c>
      <c r="J54" s="110"/>
      <c r="K54" s="111" t="str">
        <f t="shared" si="11"/>
        <v>-</v>
      </c>
      <c r="L54" s="112"/>
      <c r="M54" s="111">
        <f t="shared" si="7"/>
        <v>45886.666666666672</v>
      </c>
      <c r="N54" s="112"/>
      <c r="O54" s="111">
        <f t="shared" si="8"/>
        <v>95424</v>
      </c>
      <c r="P54" s="112"/>
      <c r="Q54" s="111">
        <f t="shared" si="9"/>
        <v>157234.13333333336</v>
      </c>
      <c r="R54" s="112"/>
      <c r="S54" s="111">
        <f t="shared" si="10"/>
        <v>204826.66666666669</v>
      </c>
      <c r="U54" s="144">
        <f t="shared" si="5"/>
        <v>7.6923076923076927E-2</v>
      </c>
      <c r="V54" s="145">
        <v>10</v>
      </c>
      <c r="X54" s="144">
        <f t="shared" si="12"/>
        <v>6.6666666666666666E-2</v>
      </c>
      <c r="Z54" s="111">
        <f t="shared" si="6"/>
        <v>503371.46666666673</v>
      </c>
    </row>
    <row r="55" spans="4:26" ht="13" x14ac:dyDescent="0.25">
      <c r="D55" s="4"/>
      <c r="I55" s="114" t="s">
        <v>95</v>
      </c>
      <c r="J55" s="115"/>
      <c r="K55" s="116">
        <f>SUM(K45:K54)</f>
        <v>0</v>
      </c>
      <c r="L55" s="115"/>
      <c r="M55" s="116">
        <f>SUM(M45:M54)</f>
        <v>688300</v>
      </c>
      <c r="N55" s="115"/>
      <c r="O55" s="116">
        <f>SUM(O45:O54)</f>
        <v>1431360</v>
      </c>
      <c r="P55" s="115"/>
      <c r="Q55" s="116">
        <f>SUM(Q45:Q54)</f>
        <v>2358512</v>
      </c>
      <c r="R55" s="115"/>
      <c r="S55" s="116">
        <f>SUM(S45:S54)</f>
        <v>3072399.9999999995</v>
      </c>
      <c r="T55" s="115"/>
      <c r="U55" s="115"/>
      <c r="V55" s="146">
        <f>SUM(V45:V54)</f>
        <v>130</v>
      </c>
      <c r="W55" s="115"/>
      <c r="X55" s="115"/>
      <c r="Y55" s="115"/>
      <c r="Z55" s="116">
        <f>SUM(Z45:Z54)</f>
        <v>7550572.0000000009</v>
      </c>
    </row>
    <row r="56" spans="4:26" ht="12.5" x14ac:dyDescent="0.25">
      <c r="D56" s="2"/>
      <c r="E56" s="2"/>
      <c r="F56" s="2"/>
      <c r="G56" s="2"/>
      <c r="H56" s="2"/>
    </row>
    <row r="57" spans="4:26" ht="29" x14ac:dyDescent="0.25">
      <c r="D57" s="2"/>
      <c r="E57" s="2"/>
      <c r="F57" s="2"/>
      <c r="G57" s="2"/>
      <c r="H57" s="2"/>
      <c r="I57" s="267" t="s">
        <v>96</v>
      </c>
      <c r="J57" s="268"/>
      <c r="K57" s="268"/>
      <c r="L57" s="268"/>
      <c r="M57" s="268"/>
      <c r="N57" s="268"/>
      <c r="O57" s="268"/>
      <c r="P57" s="268"/>
      <c r="Q57" s="268"/>
      <c r="R57" s="268"/>
      <c r="S57" s="268"/>
    </row>
    <row r="58" spans="4:26" ht="3" customHeight="1" x14ac:dyDescent="0.25">
      <c r="D58" s="2"/>
      <c r="E58" s="2"/>
      <c r="F58" s="2"/>
      <c r="G58" s="2"/>
      <c r="H58" s="2"/>
    </row>
    <row r="59" spans="4:26" ht="14" x14ac:dyDescent="0.25">
      <c r="D59" s="4"/>
      <c r="H59" s="11" t="s">
        <v>97</v>
      </c>
      <c r="K59" s="117"/>
      <c r="L59" s="117"/>
      <c r="N59" s="118"/>
      <c r="P59" s="118"/>
      <c r="Q59" s="147" t="s">
        <v>98</v>
      </c>
      <c r="R59" s="147" t="s">
        <v>99</v>
      </c>
      <c r="S59" s="148">
        <f>K19</f>
        <v>120</v>
      </c>
    </row>
    <row r="60" spans="4:26" ht="14" x14ac:dyDescent="0.25">
      <c r="D60" s="4"/>
      <c r="H60" s="11" t="s">
        <v>100</v>
      </c>
      <c r="K60" s="117"/>
      <c r="L60" s="117"/>
      <c r="N60" s="118"/>
      <c r="P60" s="118"/>
      <c r="Q60" s="147" t="s">
        <v>101</v>
      </c>
      <c r="R60" s="147" t="s">
        <v>102</v>
      </c>
      <c r="S60" s="148">
        <f>S59*2</f>
        <v>240</v>
      </c>
    </row>
    <row r="61" spans="4:26" ht="3" customHeight="1" x14ac:dyDescent="0.25">
      <c r="D61" s="2"/>
      <c r="E61" s="2"/>
      <c r="F61" s="2"/>
      <c r="G61" s="2"/>
      <c r="H61" s="2"/>
    </row>
    <row r="62" spans="4:26" ht="13" x14ac:dyDescent="0.25">
      <c r="D62" s="4"/>
      <c r="H62" s="1"/>
      <c r="I62" s="119" t="s">
        <v>103</v>
      </c>
      <c r="J62" s="120" t="s">
        <v>104</v>
      </c>
      <c r="K62" s="120" t="s">
        <v>105</v>
      </c>
      <c r="L62" s="120" t="s">
        <v>106</v>
      </c>
      <c r="M62" s="120" t="s">
        <v>107</v>
      </c>
      <c r="N62" s="120" t="s">
        <v>108</v>
      </c>
      <c r="O62" s="120" t="s">
        <v>109</v>
      </c>
      <c r="P62" s="120" t="s">
        <v>110</v>
      </c>
      <c r="Q62" s="120" t="s">
        <v>111</v>
      </c>
      <c r="R62" s="120" t="s">
        <v>112</v>
      </c>
      <c r="S62" s="120" t="s">
        <v>113</v>
      </c>
      <c r="X62" s="149" t="s">
        <v>114</v>
      </c>
      <c r="Z62" s="160">
        <v>1</v>
      </c>
    </row>
    <row r="63" spans="4:26" ht="13" x14ac:dyDescent="0.25">
      <c r="D63" s="4"/>
      <c r="H63" s="1"/>
      <c r="I63" s="119" t="s">
        <v>115</v>
      </c>
      <c r="J63" s="120">
        <v>1</v>
      </c>
      <c r="K63" s="120">
        <v>2</v>
      </c>
      <c r="L63" s="120">
        <v>3</v>
      </c>
      <c r="M63" s="120">
        <v>4</v>
      </c>
      <c r="N63" s="120">
        <v>5</v>
      </c>
      <c r="O63" s="120">
        <v>6</v>
      </c>
      <c r="P63" s="120">
        <v>7</v>
      </c>
      <c r="Q63" s="120">
        <v>10</v>
      </c>
      <c r="R63" s="120">
        <v>11</v>
      </c>
      <c r="S63" s="120" t="s">
        <v>116</v>
      </c>
      <c r="X63" s="149" t="s">
        <v>117</v>
      </c>
      <c r="Z63" s="160">
        <v>2</v>
      </c>
    </row>
    <row r="64" spans="4:26" ht="14" x14ac:dyDescent="0.25">
      <c r="D64" s="4"/>
      <c r="H64" s="11" t="s">
        <v>118</v>
      </c>
      <c r="I64" s="4"/>
      <c r="K64" s="121"/>
      <c r="L64" s="121"/>
      <c r="M64" s="121"/>
      <c r="N64" s="121"/>
      <c r="O64" s="121"/>
      <c r="P64" s="121"/>
      <c r="Q64" s="121"/>
      <c r="R64" s="150" t="s">
        <v>95</v>
      </c>
      <c r="S64" s="151" t="s">
        <v>119</v>
      </c>
      <c r="X64" s="149" t="s">
        <v>120</v>
      </c>
      <c r="Z64" s="160">
        <v>3</v>
      </c>
    </row>
    <row r="65" spans="4:31" ht="13" x14ac:dyDescent="0.25">
      <c r="D65" s="4"/>
      <c r="I65" s="110"/>
      <c r="J65" s="163"/>
      <c r="K65" s="164" t="s">
        <v>121</v>
      </c>
      <c r="L65" s="165"/>
      <c r="M65" s="166" t="s">
        <v>122</v>
      </c>
      <c r="N65" s="167"/>
      <c r="O65" s="168" t="s">
        <v>123</v>
      </c>
      <c r="P65" s="169"/>
      <c r="Q65" s="171" t="s">
        <v>124</v>
      </c>
      <c r="X65" s="149" t="s">
        <v>125</v>
      </c>
      <c r="Z65" s="160">
        <v>4</v>
      </c>
    </row>
    <row r="66" spans="4:31" ht="13" x14ac:dyDescent="0.25">
      <c r="D66" s="4"/>
      <c r="I66" s="170" t="s">
        <v>103</v>
      </c>
      <c r="J66" s="169"/>
      <c r="K66" s="171" t="s">
        <v>126</v>
      </c>
      <c r="L66" s="169"/>
      <c r="M66" s="171" t="s">
        <v>127</v>
      </c>
      <c r="N66" s="169"/>
      <c r="O66" s="172" t="s">
        <v>128</v>
      </c>
      <c r="P66" s="169"/>
      <c r="Q66" s="171" t="s">
        <v>129</v>
      </c>
      <c r="X66" s="149" t="s">
        <v>130</v>
      </c>
      <c r="Z66" s="160">
        <v>5</v>
      </c>
    </row>
    <row r="67" spans="4:31" ht="13" x14ac:dyDescent="0.25">
      <c r="D67" s="4"/>
      <c r="I67" s="170" t="s">
        <v>131</v>
      </c>
      <c r="J67" s="169"/>
      <c r="K67" s="173">
        <v>20</v>
      </c>
      <c r="L67" s="174"/>
      <c r="M67" s="173">
        <v>25</v>
      </c>
      <c r="N67" s="174"/>
      <c r="O67" s="173">
        <v>20</v>
      </c>
      <c r="P67" s="174"/>
      <c r="Q67" s="173">
        <v>10</v>
      </c>
      <c r="X67" s="149" t="s">
        <v>132</v>
      </c>
      <c r="Z67" s="160">
        <v>6</v>
      </c>
    </row>
    <row r="68" spans="4:31" ht="14" x14ac:dyDescent="0.25">
      <c r="D68" s="4"/>
      <c r="I68" s="170" t="s">
        <v>133</v>
      </c>
      <c r="J68" s="169"/>
      <c r="K68" s="175">
        <f>K67*$S$60</f>
        <v>4800</v>
      </c>
      <c r="L68" s="176"/>
      <c r="M68" s="175">
        <f>M67*$S$60</f>
        <v>6000</v>
      </c>
      <c r="N68" s="176"/>
      <c r="O68" s="175">
        <f>O67*$S$60</f>
        <v>4800</v>
      </c>
      <c r="P68" s="176"/>
      <c r="Q68" s="175">
        <f>Q67*$S$60</f>
        <v>2400</v>
      </c>
      <c r="S68" s="221">
        <f>K68+M68+O68+Q68</f>
        <v>18000</v>
      </c>
      <c r="X68" s="149" t="s">
        <v>134</v>
      </c>
      <c r="Z68" s="160">
        <v>7</v>
      </c>
    </row>
    <row r="69" spans="4:31" ht="13" customHeight="1" x14ac:dyDescent="0.25">
      <c r="D69" s="4"/>
      <c r="H69" s="161"/>
      <c r="I69" s="177" t="s">
        <v>135</v>
      </c>
      <c r="J69" s="5"/>
      <c r="K69" s="117"/>
      <c r="L69" s="117"/>
      <c r="M69" s="117"/>
      <c r="N69" s="117"/>
      <c r="O69" s="117"/>
      <c r="P69" s="117"/>
      <c r="Q69" s="117"/>
      <c r="X69" s="149" t="s">
        <v>136</v>
      </c>
      <c r="Z69" s="160">
        <v>8</v>
      </c>
    </row>
    <row r="70" spans="4:31" ht="14" hidden="1" x14ac:dyDescent="0.25">
      <c r="D70" s="4"/>
      <c r="H70" s="161"/>
      <c r="I70" s="5"/>
      <c r="J70" s="5"/>
      <c r="K70" s="178" t="s">
        <v>137</v>
      </c>
      <c r="L70" s="178"/>
      <c r="M70" s="178" t="s">
        <v>138</v>
      </c>
      <c r="N70" s="178"/>
      <c r="O70" s="178" t="s">
        <v>139</v>
      </c>
      <c r="P70" s="178"/>
      <c r="Q70" s="178" t="s">
        <v>140</v>
      </c>
      <c r="R70" s="117"/>
      <c r="T70" s="117"/>
      <c r="U70" s="222"/>
      <c r="X70" s="149" t="s">
        <v>141</v>
      </c>
      <c r="Z70" s="236"/>
    </row>
    <row r="71" spans="4:31" ht="13" x14ac:dyDescent="0.25">
      <c r="D71" s="4"/>
      <c r="H71" s="1"/>
      <c r="I71" s="170" t="s">
        <v>142</v>
      </c>
      <c r="J71" s="179"/>
      <c r="K71" s="179">
        <v>30</v>
      </c>
      <c r="L71" s="180"/>
      <c r="M71" s="180">
        <v>30</v>
      </c>
      <c r="N71" s="181"/>
      <c r="O71" s="181">
        <v>10</v>
      </c>
      <c r="P71" s="110"/>
      <c r="Q71" s="223">
        <v>15</v>
      </c>
      <c r="R71" s="222"/>
      <c r="S71" s="224">
        <f>K71+M71+O71+Q71</f>
        <v>85</v>
      </c>
      <c r="X71" s="152" t="s">
        <v>143</v>
      </c>
      <c r="Z71" s="160">
        <v>9</v>
      </c>
      <c r="AE71" s="2" t="s">
        <v>144</v>
      </c>
    </row>
    <row r="72" spans="4:31" ht="14" x14ac:dyDescent="0.25">
      <c r="D72" s="4"/>
      <c r="H72" s="1"/>
      <c r="I72" s="182" t="s">
        <v>145</v>
      </c>
      <c r="J72" s="110"/>
      <c r="K72" s="111">
        <f t="shared" ref="K72:O72" si="13">K71*K$68</f>
        <v>144000</v>
      </c>
      <c r="L72" s="110"/>
      <c r="M72" s="111">
        <f t="shared" si="13"/>
        <v>180000</v>
      </c>
      <c r="N72" s="110"/>
      <c r="O72" s="111">
        <f t="shared" si="13"/>
        <v>48000</v>
      </c>
      <c r="P72" s="110"/>
      <c r="Q72" s="111">
        <f>Q71*Q$68</f>
        <v>36000</v>
      </c>
      <c r="R72" s="222"/>
      <c r="S72" s="111">
        <f>K72+M72+O72+Q72</f>
        <v>408000</v>
      </c>
      <c r="X72" s="149" t="s">
        <v>146</v>
      </c>
      <c r="Z72" s="160">
        <v>10</v>
      </c>
    </row>
    <row r="73" spans="4:31" ht="14" x14ac:dyDescent="0.25">
      <c r="D73" s="4"/>
      <c r="H73" s="1"/>
      <c r="I73" s="177" t="s">
        <v>147</v>
      </c>
      <c r="K73" s="3"/>
      <c r="L73" s="162"/>
      <c r="N73" s="183"/>
      <c r="O73" s="184" t="s">
        <v>148</v>
      </c>
      <c r="P73" s="183"/>
      <c r="Q73" s="225">
        <v>0.7</v>
      </c>
      <c r="X73" s="149" t="s">
        <v>149</v>
      </c>
      <c r="Z73" s="160">
        <v>11</v>
      </c>
    </row>
    <row r="74" spans="4:31" ht="1" customHeight="1" x14ac:dyDescent="0.25">
      <c r="D74" s="4"/>
      <c r="H74" s="161"/>
      <c r="K74" s="178" t="s">
        <v>150</v>
      </c>
      <c r="L74" s="185"/>
      <c r="M74" s="178" t="s">
        <v>151</v>
      </c>
      <c r="N74" s="178"/>
      <c r="O74" s="178" t="s">
        <v>152</v>
      </c>
      <c r="P74" s="178"/>
      <c r="Q74" s="178" t="s">
        <v>153</v>
      </c>
      <c r="R74" s="117"/>
      <c r="T74" s="117"/>
      <c r="U74" s="222"/>
      <c r="Z74" s="236"/>
    </row>
    <row r="75" spans="4:31" ht="14" x14ac:dyDescent="0.25">
      <c r="D75" s="4"/>
      <c r="H75" s="1"/>
      <c r="I75" s="182" t="s">
        <v>154</v>
      </c>
      <c r="J75" s="186"/>
      <c r="K75" s="187">
        <f>ROUND(Q71*$Q$73,)</f>
        <v>11</v>
      </c>
      <c r="L75" s="188"/>
      <c r="M75" s="189">
        <f>ROUND(K71*$Q$73,)</f>
        <v>21</v>
      </c>
      <c r="N75" s="190"/>
      <c r="O75" s="191">
        <f>ROUND(M71*$Q$73,)</f>
        <v>21</v>
      </c>
      <c r="P75" s="192"/>
      <c r="Q75" s="196">
        <f>ROUND(O71*$Q$73,)</f>
        <v>7</v>
      </c>
      <c r="X75" s="149" t="s">
        <v>155</v>
      </c>
      <c r="Z75" s="160">
        <v>12</v>
      </c>
    </row>
    <row r="76" spans="4:31" ht="14" x14ac:dyDescent="0.25">
      <c r="D76" s="4"/>
      <c r="H76" s="1"/>
      <c r="I76" s="182" t="s">
        <v>145</v>
      </c>
      <c r="J76" s="186"/>
      <c r="K76" s="193">
        <f>K75*K$68</f>
        <v>52800</v>
      </c>
      <c r="L76" s="186"/>
      <c r="M76" s="193">
        <f>M75*M$68</f>
        <v>126000</v>
      </c>
      <c r="N76" s="186"/>
      <c r="O76" s="193"/>
      <c r="P76" s="186"/>
      <c r="Q76" s="193">
        <f>Q75*Q$68</f>
        <v>16800</v>
      </c>
      <c r="R76" s="222"/>
      <c r="S76" s="111">
        <f>K76+M76+O76+Q76</f>
        <v>195600</v>
      </c>
    </row>
    <row r="77" spans="4:31" ht="3" customHeight="1" x14ac:dyDescent="0.25">
      <c r="D77" s="4"/>
      <c r="H77" s="1"/>
      <c r="I77" s="3"/>
      <c r="J77" s="3"/>
      <c r="K77" s="3"/>
      <c r="L77" s="3"/>
      <c r="M77" s="3"/>
      <c r="N77" s="3"/>
      <c r="O77" s="3"/>
      <c r="P77" s="3"/>
      <c r="Q77" s="3"/>
      <c r="U77" s="226"/>
    </row>
    <row r="78" spans="4:31" ht="14" hidden="1" x14ac:dyDescent="0.25">
      <c r="D78" s="4"/>
      <c r="H78" s="161"/>
      <c r="K78" s="194" t="s">
        <v>156</v>
      </c>
      <c r="L78" s="195"/>
      <c r="M78" s="194" t="s">
        <v>157</v>
      </c>
      <c r="N78" s="185"/>
      <c r="O78" s="194" t="s">
        <v>158</v>
      </c>
      <c r="P78" s="194"/>
      <c r="Q78" s="194" t="s">
        <v>159</v>
      </c>
      <c r="R78" s="117"/>
      <c r="T78" s="117"/>
      <c r="U78" s="222"/>
    </row>
    <row r="79" spans="4:31" ht="14" x14ac:dyDescent="0.25">
      <c r="D79" s="4"/>
      <c r="H79" s="1"/>
      <c r="I79" s="182" t="s">
        <v>154</v>
      </c>
      <c r="J79" s="192"/>
      <c r="K79" s="196">
        <f>ROUND(Q75*$Q$73,)</f>
        <v>5</v>
      </c>
      <c r="L79" s="197"/>
      <c r="M79" s="187">
        <f t="shared" ref="M79:Q79" si="14">ROUND(K75*$Q$73,)</f>
        <v>8</v>
      </c>
      <c r="N79" s="188"/>
      <c r="O79" s="189">
        <f t="shared" si="14"/>
        <v>15</v>
      </c>
      <c r="P79" s="190"/>
      <c r="Q79" s="191">
        <f t="shared" si="14"/>
        <v>15</v>
      </c>
    </row>
    <row r="80" spans="4:31" ht="14" x14ac:dyDescent="0.25">
      <c r="D80" s="4"/>
      <c r="H80" s="1"/>
      <c r="I80" s="182" t="s">
        <v>145</v>
      </c>
      <c r="J80" s="186"/>
      <c r="K80" s="193">
        <f>K79*K$68</f>
        <v>24000</v>
      </c>
      <c r="L80" s="186"/>
      <c r="M80" s="193">
        <f>M79*M$68</f>
        <v>48000</v>
      </c>
      <c r="N80" s="186"/>
      <c r="O80" s="193"/>
      <c r="P80" s="186"/>
      <c r="Q80" s="193"/>
      <c r="R80" s="222"/>
      <c r="S80" s="111">
        <f>K80+M80+O80+Q80</f>
        <v>72000</v>
      </c>
    </row>
    <row r="81" spans="4:31" ht="3" customHeight="1" x14ac:dyDescent="0.25">
      <c r="D81" s="4"/>
      <c r="H81" s="1"/>
      <c r="I81" s="3"/>
      <c r="J81" s="3"/>
      <c r="K81" s="3"/>
      <c r="L81" s="3"/>
      <c r="M81" s="3"/>
      <c r="N81" s="3"/>
      <c r="O81" s="3"/>
      <c r="P81" s="3"/>
      <c r="Q81" s="3"/>
      <c r="U81" s="226"/>
    </row>
    <row r="82" spans="4:31" ht="14" hidden="1" x14ac:dyDescent="0.25">
      <c r="D82" s="4"/>
      <c r="K82" s="194" t="s">
        <v>160</v>
      </c>
      <c r="L82" s="198"/>
      <c r="M82" s="194" t="s">
        <v>161</v>
      </c>
      <c r="N82" s="3"/>
      <c r="O82" s="194" t="s">
        <v>162</v>
      </c>
      <c r="P82" s="185"/>
      <c r="Q82" s="194" t="s">
        <v>163</v>
      </c>
      <c r="R82" s="117"/>
      <c r="T82" s="117"/>
      <c r="U82" s="222"/>
    </row>
    <row r="83" spans="4:31" ht="14" x14ac:dyDescent="0.25">
      <c r="D83" s="4"/>
      <c r="H83" s="1"/>
      <c r="I83" s="182" t="s">
        <v>154</v>
      </c>
      <c r="J83" s="190"/>
      <c r="K83" s="191">
        <f>ROUND(Q79*$Q$73,)</f>
        <v>11</v>
      </c>
      <c r="L83" s="192"/>
      <c r="M83" s="196">
        <f t="shared" ref="M83:Q83" si="15">ROUND(K79*$Q$73,)</f>
        <v>4</v>
      </c>
      <c r="N83" s="197"/>
      <c r="O83" s="187">
        <f t="shared" si="15"/>
        <v>6</v>
      </c>
      <c r="P83" s="188"/>
      <c r="Q83" s="189">
        <f t="shared" si="15"/>
        <v>11</v>
      </c>
    </row>
    <row r="84" spans="4:31" ht="14" x14ac:dyDescent="0.25">
      <c r="D84" s="4"/>
      <c r="H84" s="1"/>
      <c r="I84" s="182" t="s">
        <v>145</v>
      </c>
      <c r="J84" s="186"/>
      <c r="K84" s="193"/>
      <c r="L84" s="186"/>
      <c r="M84" s="193">
        <f>M83*M$68</f>
        <v>24000</v>
      </c>
      <c r="N84" s="186"/>
      <c r="O84" s="193"/>
      <c r="P84" s="186"/>
      <c r="Q84" s="193"/>
      <c r="R84" s="222"/>
      <c r="S84" s="111">
        <f>K84+M84+O84+Q84</f>
        <v>24000</v>
      </c>
    </row>
    <row r="85" spans="4:31" ht="3" customHeight="1" x14ac:dyDescent="0.25">
      <c r="D85" s="4"/>
      <c r="H85" s="1"/>
      <c r="I85" s="3"/>
      <c r="J85" s="3"/>
      <c r="K85" s="3"/>
      <c r="L85" s="3"/>
      <c r="M85" s="3"/>
      <c r="N85" s="3"/>
      <c r="O85" s="3"/>
      <c r="P85" s="3"/>
      <c r="Q85" s="3"/>
      <c r="U85" s="226"/>
    </row>
    <row r="86" spans="4:31" ht="13" x14ac:dyDescent="0.25">
      <c r="D86" s="4"/>
      <c r="H86" s="1"/>
      <c r="I86" s="199" t="s">
        <v>164</v>
      </c>
      <c r="J86" s="200"/>
      <c r="K86" s="201"/>
      <c r="L86" s="201"/>
      <c r="M86" s="201"/>
      <c r="N86" s="201"/>
      <c r="O86" s="201"/>
      <c r="P86" s="201"/>
      <c r="Q86" s="227"/>
      <c r="R86" s="222"/>
      <c r="S86" s="228">
        <f>S72+S76+S80+S84</f>
        <v>699600</v>
      </c>
      <c r="U86" s="226"/>
    </row>
    <row r="87" spans="4:31" ht="14" x14ac:dyDescent="0.25">
      <c r="D87" s="4"/>
      <c r="H87" s="1"/>
      <c r="I87" s="199" t="s">
        <v>165</v>
      </c>
      <c r="J87" s="202" t="s">
        <v>166</v>
      </c>
      <c r="K87" s="203"/>
      <c r="L87" s="204"/>
      <c r="M87" s="204"/>
      <c r="N87" s="204"/>
      <c r="O87" s="204"/>
      <c r="P87" s="204"/>
      <c r="Q87" s="229"/>
      <c r="R87" s="222"/>
      <c r="S87" s="228">
        <f>S86*1.5</f>
        <v>1049400</v>
      </c>
      <c r="U87" s="226"/>
    </row>
    <row r="88" spans="4:31" ht="3" customHeight="1" x14ac:dyDescent="0.25">
      <c r="D88" s="4"/>
      <c r="H88" s="1"/>
      <c r="I88" s="20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4:31" ht="14" x14ac:dyDescent="0.25">
      <c r="D89" s="4"/>
      <c r="H89" s="11" t="s">
        <v>167</v>
      </c>
      <c r="K89" s="117"/>
      <c r="L89" s="117"/>
      <c r="M89" s="117"/>
      <c r="N89" s="117"/>
      <c r="O89" s="117"/>
      <c r="P89" s="117"/>
      <c r="Q89" s="117"/>
    </row>
    <row r="90" spans="4:31" ht="14" x14ac:dyDescent="0.25">
      <c r="D90" s="4"/>
      <c r="H90" s="1"/>
      <c r="I90" s="206" t="s">
        <v>154</v>
      </c>
      <c r="J90" s="207" t="str">
        <f>"去年"&amp;S71&amp;"个学生，按"&amp;TEXT(Q73,"0%")&amp;"续班率，续班"&amp;TEXT(S71*Q73,"0")&amp;"人"</f>
        <v>去年85个学生，按70%续班率，续班60人</v>
      </c>
      <c r="O90" s="208">
        <f>ROUND(S71*Q73,)</f>
        <v>60</v>
      </c>
      <c r="U90" s="226"/>
      <c r="W90" s="121"/>
      <c r="Y90" s="121"/>
      <c r="Z90" s="121"/>
    </row>
    <row r="91" spans="4:31" ht="14" x14ac:dyDescent="0.25">
      <c r="D91" s="4"/>
      <c r="H91" s="1"/>
      <c r="I91" s="206" t="s">
        <v>168</v>
      </c>
      <c r="J91" s="207" t="str">
        <f>"假如没有进步，按第一年的能力新招"&amp;TEXT(S$71,"0")&amp;"人"</f>
        <v>假如没有进步，按第一年的能力新招85人</v>
      </c>
      <c r="O91" s="208">
        <f>S71</f>
        <v>85</v>
      </c>
      <c r="U91" s="226"/>
      <c r="W91" s="121"/>
      <c r="Y91" s="121"/>
      <c r="Z91" s="121"/>
      <c r="AE91" s="2" t="s">
        <v>144</v>
      </c>
    </row>
    <row r="92" spans="4:31" ht="3" customHeight="1" x14ac:dyDescent="0.25">
      <c r="D92" s="4"/>
      <c r="H92" s="1"/>
      <c r="I92" s="3"/>
      <c r="J92" s="3"/>
      <c r="K92" s="3"/>
      <c r="L92" s="3"/>
      <c r="M92" s="3"/>
      <c r="N92" s="3"/>
      <c r="O92" s="3"/>
      <c r="P92" s="3"/>
      <c r="Q92" s="3"/>
      <c r="U92" s="226"/>
    </row>
    <row r="93" spans="4:31" ht="14" x14ac:dyDescent="0.25">
      <c r="D93" s="4"/>
      <c r="H93" s="1"/>
      <c r="I93" s="199" t="s">
        <v>169</v>
      </c>
      <c r="J93" s="207" t="str">
        <f>"第一年累计招生"&amp;S71&amp;",收入"&amp;TEXT(S87/10000,"0.0"&amp;"万，人均")&amp;TEXT(S87/10000/S71,"0.0"&amp;"万")</f>
        <v>第一年累计招生85,收入104.9万,人均1.2万</v>
      </c>
      <c r="L93" s="209"/>
      <c r="M93" s="209"/>
      <c r="N93" s="210"/>
      <c r="O93" s="211">
        <f>O90+O91</f>
        <v>145</v>
      </c>
      <c r="P93" s="210" t="s">
        <v>170</v>
      </c>
      <c r="Q93" s="230">
        <f>S87/S71</f>
        <v>12345.882352941177</v>
      </c>
      <c r="R93" s="215"/>
      <c r="S93" s="111">
        <f>O93*Q93</f>
        <v>1790152.9411764706</v>
      </c>
      <c r="U93" s="226"/>
      <c r="W93" s="121"/>
      <c r="Y93" s="121"/>
      <c r="Z93" s="121"/>
    </row>
    <row r="94" spans="4:31" ht="3" customHeight="1" x14ac:dyDescent="0.25">
      <c r="D94" s="4"/>
      <c r="H94" s="1"/>
      <c r="I94" s="3"/>
      <c r="J94" s="3"/>
      <c r="K94" s="3"/>
      <c r="L94" s="3"/>
      <c r="M94" s="3"/>
      <c r="N94" s="3"/>
      <c r="O94" s="3"/>
      <c r="P94" s="3"/>
      <c r="Q94" s="3"/>
      <c r="U94" s="226"/>
    </row>
    <row r="95" spans="4:31" ht="14" x14ac:dyDescent="0.25">
      <c r="D95" s="4"/>
      <c r="H95" s="162" t="s">
        <v>171</v>
      </c>
      <c r="I95" s="212" t="s">
        <v>172</v>
      </c>
      <c r="S95" s="231">
        <f>M$24</f>
        <v>110000</v>
      </c>
      <c r="U95" s="226"/>
    </row>
    <row r="96" spans="4:31" ht="14" x14ac:dyDescent="0.25">
      <c r="D96" s="4"/>
      <c r="H96" s="162" t="s">
        <v>171</v>
      </c>
      <c r="I96" s="212" t="s">
        <v>173</v>
      </c>
      <c r="J96" s="213" t="s">
        <v>174</v>
      </c>
      <c r="Q96" s="3"/>
      <c r="S96" s="232">
        <v>480000</v>
      </c>
      <c r="U96" s="226"/>
    </row>
    <row r="97" spans="4:26" ht="14" x14ac:dyDescent="0.25">
      <c r="D97" s="4"/>
      <c r="H97" s="162" t="s">
        <v>171</v>
      </c>
      <c r="I97" s="212" t="s">
        <v>175</v>
      </c>
      <c r="P97" s="3"/>
      <c r="Q97" s="3"/>
      <c r="S97" s="232">
        <v>100000</v>
      </c>
      <c r="U97" s="226"/>
    </row>
    <row r="98" spans="4:26" ht="13" x14ac:dyDescent="0.25">
      <c r="D98" s="4"/>
      <c r="H98" s="1"/>
      <c r="I98" s="3"/>
      <c r="J98" s="3"/>
      <c r="K98" s="3"/>
      <c r="L98" s="3"/>
      <c r="M98" s="3"/>
      <c r="N98" s="3"/>
      <c r="O98" s="3"/>
      <c r="P98" s="3"/>
      <c r="Q98" s="3"/>
      <c r="U98" s="226"/>
    </row>
    <row r="99" spans="4:26" ht="14" x14ac:dyDescent="0.25">
      <c r="D99" s="4"/>
      <c r="H99" s="162" t="s">
        <v>176</v>
      </c>
      <c r="I99" s="214" t="s">
        <v>77</v>
      </c>
      <c r="J99" s="215" t="s">
        <v>176</v>
      </c>
      <c r="K99" s="216">
        <f>S93</f>
        <v>1790152.9411764706</v>
      </c>
      <c r="L99" s="217" t="s">
        <v>171</v>
      </c>
      <c r="M99" s="216">
        <f>S95</f>
        <v>110000</v>
      </c>
      <c r="N99" s="217" t="s">
        <v>171</v>
      </c>
      <c r="O99" s="216">
        <f>S96</f>
        <v>480000</v>
      </c>
      <c r="P99" s="218" t="s">
        <v>171</v>
      </c>
      <c r="Q99" s="233">
        <f>S97</f>
        <v>100000</v>
      </c>
      <c r="R99" s="215" t="s">
        <v>176</v>
      </c>
      <c r="S99" s="234">
        <f>S93-S95-S96-S97</f>
        <v>1100152.9411764706</v>
      </c>
      <c r="U99" s="226"/>
    </row>
    <row r="100" spans="4:26" ht="3" customHeight="1" x14ac:dyDescent="0.25">
      <c r="D100" s="4"/>
      <c r="H100" s="1"/>
      <c r="I100" s="20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4:26" ht="14" x14ac:dyDescent="0.25">
      <c r="D101" s="4"/>
      <c r="H101" s="11" t="s">
        <v>177</v>
      </c>
      <c r="K101" s="117"/>
      <c r="L101" s="117"/>
      <c r="M101" s="117"/>
      <c r="N101" s="117"/>
      <c r="O101" s="117"/>
      <c r="P101" s="117"/>
      <c r="Q101" s="117"/>
    </row>
    <row r="102" spans="4:26" ht="14" x14ac:dyDescent="0.25">
      <c r="D102" s="4"/>
      <c r="H102" s="1"/>
      <c r="I102" s="206" t="s">
        <v>154</v>
      </c>
      <c r="J102" s="207" t="str">
        <f>"去年"&amp;O93&amp;"个学生，按"&amp;TEXT(0.8,"0%")&amp;"续班率，续班"&amp;TEXT(O93*0.8,"0")&amp;"人"</f>
        <v>去年145个学生，按80%续班率，续班116人</v>
      </c>
      <c r="O102" s="208">
        <f>ROUND(O93*0.8,)</f>
        <v>116</v>
      </c>
      <c r="U102" s="226"/>
      <c r="W102" s="121"/>
      <c r="Y102" s="121"/>
      <c r="Z102" s="121"/>
    </row>
    <row r="103" spans="4:26" ht="14" x14ac:dyDescent="0.25">
      <c r="D103" s="4"/>
      <c r="H103" s="1"/>
      <c r="I103" s="206" t="s">
        <v>168</v>
      </c>
      <c r="J103" s="207" t="str">
        <f>"假如没有进步，按第一年的能力新招"&amp;TEXT(S$71,"0")&amp;"人"</f>
        <v>假如没有进步，按第一年的能力新招85人</v>
      </c>
      <c r="O103" s="208">
        <v>85</v>
      </c>
      <c r="U103" s="226"/>
      <c r="W103" s="121"/>
      <c r="Y103" s="121"/>
      <c r="Z103" s="121"/>
    </row>
    <row r="104" spans="4:26" ht="3" customHeight="1" x14ac:dyDescent="0.25">
      <c r="D104" s="4"/>
      <c r="H104" s="1"/>
      <c r="I104" s="3"/>
      <c r="J104" s="3"/>
      <c r="K104" s="3"/>
      <c r="L104" s="3"/>
      <c r="M104" s="3"/>
      <c r="N104" s="3"/>
      <c r="O104" s="3"/>
      <c r="P104" s="3"/>
      <c r="Q104" s="3"/>
      <c r="U104" s="226"/>
    </row>
    <row r="105" spans="4:26" ht="14" x14ac:dyDescent="0.25">
      <c r="D105" s="4"/>
      <c r="H105" s="1"/>
      <c r="I105" s="199" t="s">
        <v>178</v>
      </c>
      <c r="J105" s="207" t="str">
        <f>"一个科目全年班学费是"&amp;TEXT(S$68/10000,"0.00"&amp;"万")&amp;"，2科"&amp;TEXT(S$68/10000*2,"0.00"&amp;"万")</f>
        <v>一个科目全年班学费是1.80万，2科3.60万</v>
      </c>
      <c r="K105" s="209"/>
      <c r="L105" s="209"/>
      <c r="M105" s="209"/>
      <c r="N105" s="210"/>
      <c r="O105" s="211">
        <f>O102+O103</f>
        <v>201</v>
      </c>
      <c r="P105" s="210" t="s">
        <v>170</v>
      </c>
      <c r="Q105" s="230">
        <f>S$68*2</f>
        <v>36000</v>
      </c>
      <c r="S105" s="228">
        <f>O105*Q105</f>
        <v>7236000</v>
      </c>
      <c r="U105" s="226"/>
      <c r="W105" s="121"/>
      <c r="Y105" s="121"/>
      <c r="Z105" s="121"/>
    </row>
    <row r="106" spans="4:26" ht="3" customHeight="1" x14ac:dyDescent="0.25">
      <c r="D106" s="4"/>
      <c r="H106" s="1"/>
      <c r="I106" s="3"/>
      <c r="J106" s="3"/>
      <c r="K106" s="3"/>
      <c r="L106" s="3"/>
      <c r="M106" s="3"/>
      <c r="N106" s="3"/>
      <c r="O106" s="3"/>
      <c r="P106" s="3"/>
      <c r="Q106" s="3"/>
      <c r="U106" s="226"/>
    </row>
    <row r="107" spans="4:26" ht="14" x14ac:dyDescent="0.25">
      <c r="D107" s="4"/>
      <c r="H107" s="162" t="s">
        <v>171</v>
      </c>
      <c r="I107" s="212" t="s">
        <v>172</v>
      </c>
      <c r="S107" s="231">
        <f>O$24</f>
        <v>120000</v>
      </c>
      <c r="U107" s="226"/>
    </row>
    <row r="108" spans="4:26" ht="14" x14ac:dyDescent="0.25">
      <c r="D108" s="4"/>
      <c r="H108" s="162" t="s">
        <v>171</v>
      </c>
      <c r="I108" s="212" t="s">
        <v>173</v>
      </c>
      <c r="J108" s="213" t="str">
        <f>O27&amp;"个老师"&amp;"(月薪"&amp;O28&amp;")，"&amp;O31&amp;"个销售"&amp;"(月薪"&amp;O32&amp;")，合计:"&amp;O26&amp;"+"&amp;O30</f>
        <v>10个老师(月薪5400)，4个销售(月薪8000)，合计:648000+384000</v>
      </c>
      <c r="Q108" s="3"/>
      <c r="S108" s="232">
        <f>O26+O30</f>
        <v>1032000</v>
      </c>
      <c r="U108" s="226"/>
    </row>
    <row r="109" spans="4:26" ht="14" x14ac:dyDescent="0.25">
      <c r="D109" s="4"/>
      <c r="H109" s="162" t="s">
        <v>171</v>
      </c>
      <c r="I109" s="212" t="s">
        <v>175</v>
      </c>
      <c r="P109" s="3"/>
      <c r="Q109" s="3"/>
      <c r="S109" s="232">
        <v>100000</v>
      </c>
      <c r="U109" s="226"/>
    </row>
    <row r="110" spans="4:26" ht="3" customHeight="1" x14ac:dyDescent="0.25">
      <c r="D110" s="4"/>
      <c r="H110" s="1"/>
      <c r="I110" s="3"/>
      <c r="J110" s="3"/>
      <c r="K110" s="3"/>
      <c r="L110" s="3"/>
      <c r="M110" s="3"/>
      <c r="N110" s="3"/>
      <c r="O110" s="3"/>
      <c r="P110" s="3"/>
      <c r="Q110" s="3"/>
      <c r="U110" s="226"/>
    </row>
    <row r="111" spans="4:26" ht="14" x14ac:dyDescent="0.25">
      <c r="D111" s="4"/>
      <c r="H111" s="162" t="s">
        <v>176</v>
      </c>
      <c r="I111" s="214" t="s">
        <v>77</v>
      </c>
      <c r="J111" s="215" t="s">
        <v>176</v>
      </c>
      <c r="K111" s="216">
        <f>S105</f>
        <v>7236000</v>
      </c>
      <c r="L111" s="217" t="s">
        <v>171</v>
      </c>
      <c r="M111" s="216">
        <f>S107</f>
        <v>120000</v>
      </c>
      <c r="N111" s="217" t="s">
        <v>171</v>
      </c>
      <c r="O111" s="216">
        <f>S108</f>
        <v>1032000</v>
      </c>
      <c r="P111" s="218" t="s">
        <v>171</v>
      </c>
      <c r="Q111" s="233">
        <f>S109</f>
        <v>100000</v>
      </c>
      <c r="R111" s="215" t="s">
        <v>176</v>
      </c>
      <c r="S111" s="234">
        <f>S105-S107-S108-S109</f>
        <v>5984000</v>
      </c>
      <c r="U111" s="226"/>
    </row>
    <row r="112" spans="4:26" ht="3" customHeight="1" x14ac:dyDescent="0.25">
      <c r="D112" s="4"/>
      <c r="H112" s="1"/>
      <c r="I112" s="20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4:26" ht="14" x14ac:dyDescent="0.25">
      <c r="D113" s="4"/>
      <c r="H113" s="11" t="s">
        <v>179</v>
      </c>
      <c r="K113" s="117"/>
      <c r="L113" s="117"/>
      <c r="M113" s="117"/>
      <c r="N113" s="117"/>
      <c r="O113" s="219" t="s">
        <v>180</v>
      </c>
      <c r="P113" s="220"/>
      <c r="Q113" s="235">
        <v>0.6</v>
      </c>
    </row>
    <row r="114" spans="4:26" ht="14" x14ac:dyDescent="0.25">
      <c r="D114" s="4"/>
      <c r="H114" s="1"/>
      <c r="I114" s="206" t="s">
        <v>154</v>
      </c>
      <c r="J114" s="207" t="str">
        <f>"去年"&amp;O105&amp;"个学生，按"&amp;TEXT(0.8,"0%")&amp;"续班率，续班"&amp;TEXT(O105*0.8,"0")&amp;"人"</f>
        <v>去年201个学生，按80%续班率，续班161人</v>
      </c>
      <c r="O114" s="208">
        <f>ROUND(O105*0.8,)</f>
        <v>161</v>
      </c>
      <c r="U114" s="226"/>
      <c r="W114" s="121"/>
      <c r="Y114" s="121"/>
      <c r="Z114" s="121"/>
    </row>
    <row r="115" spans="4:26" ht="14" x14ac:dyDescent="0.25">
      <c r="D115" s="4"/>
      <c r="H115" s="1"/>
      <c r="I115" s="206" t="s">
        <v>181</v>
      </c>
      <c r="J115" s="207" t="str">
        <f>TEXT(Q113,"0%")&amp;"的转介绍率,即"&amp;O105&amp;"*"&amp;TEXT(Q113,"0%")&amp;"="&amp;TEXT(O105*TEXT(Q113,"0%"),"0")&amp;"+新招"&amp;S$71</f>
        <v>60%的转介绍率,即201*60%=121+新招85</v>
      </c>
      <c r="O115" s="208">
        <f>ROUND(O105*Q113+S$71,)</f>
        <v>206</v>
      </c>
      <c r="U115" s="226"/>
      <c r="W115" s="121"/>
      <c r="Y115" s="121"/>
      <c r="Z115" s="121"/>
    </row>
    <row r="116" spans="4:26" ht="3" customHeight="1" x14ac:dyDescent="0.25">
      <c r="D116" s="4"/>
      <c r="H116" s="1"/>
      <c r="I116" s="3"/>
      <c r="J116" s="3"/>
      <c r="K116" s="3"/>
      <c r="L116" s="3"/>
      <c r="M116" s="3"/>
      <c r="N116" s="3"/>
      <c r="O116" s="3"/>
      <c r="P116" s="3"/>
      <c r="Q116" s="3"/>
      <c r="U116" s="226"/>
    </row>
    <row r="117" spans="4:26" ht="14" x14ac:dyDescent="0.25">
      <c r="D117" s="4"/>
      <c r="H117" s="1"/>
      <c r="I117" s="199" t="s">
        <v>178</v>
      </c>
      <c r="J117" s="207" t="str">
        <f>"一个科目全年班学费是"&amp;TEXT(S$68/10000,"0.00"&amp;"万")&amp;"，2科"&amp;TEXT(S$68/10000*2,"0.00"&amp;"万")</f>
        <v>一个科目全年班学费是1.80万，2科3.60万</v>
      </c>
      <c r="K117" s="209"/>
      <c r="L117" s="209"/>
      <c r="M117" s="209"/>
      <c r="N117" s="210"/>
      <c r="O117" s="211">
        <f>O114+O115</f>
        <v>367</v>
      </c>
      <c r="P117" s="210" t="s">
        <v>170</v>
      </c>
      <c r="Q117" s="230">
        <f>S$68*2</f>
        <v>36000</v>
      </c>
      <c r="S117" s="228">
        <f>O117*Q117</f>
        <v>13212000</v>
      </c>
      <c r="U117" s="226"/>
      <c r="W117" s="121"/>
      <c r="Y117" s="121"/>
      <c r="Z117" s="121"/>
    </row>
    <row r="118" spans="4:26" ht="3" customHeight="1" x14ac:dyDescent="0.25">
      <c r="D118" s="4"/>
      <c r="H118" s="1"/>
      <c r="I118" s="3"/>
      <c r="J118" s="3"/>
      <c r="K118" s="3"/>
      <c r="L118" s="3"/>
      <c r="M118" s="3"/>
      <c r="N118" s="3"/>
      <c r="O118" s="3"/>
      <c r="P118" s="3"/>
      <c r="Q118" s="3"/>
      <c r="U118" s="226"/>
    </row>
    <row r="119" spans="4:26" ht="14" x14ac:dyDescent="0.25">
      <c r="D119" s="4"/>
      <c r="H119" s="162" t="s">
        <v>171</v>
      </c>
      <c r="I119" s="212" t="s">
        <v>172</v>
      </c>
      <c r="S119" s="231">
        <f>Q$24</f>
        <v>130000</v>
      </c>
      <c r="U119" s="226"/>
    </row>
    <row r="120" spans="4:26" ht="14" x14ac:dyDescent="0.25">
      <c r="D120" s="4"/>
      <c r="H120" s="162" t="s">
        <v>171</v>
      </c>
      <c r="I120" s="212" t="s">
        <v>173</v>
      </c>
      <c r="J120" s="213" t="str">
        <f>Q27&amp;"个老师"&amp;"(月薪"&amp;Q28&amp;")，"&amp;Q31&amp;"个销售"&amp;"(月薪"&amp;Q32&amp;")，合计:"&amp;Q26&amp;"+"&amp;Q30</f>
        <v>14个老师(月薪5800)，4个销售(月薪9000)，合计:974400+432000</v>
      </c>
      <c r="Q120" s="3"/>
      <c r="S120" s="232">
        <f>Q26+Q30</f>
        <v>1406400</v>
      </c>
      <c r="U120" s="226"/>
    </row>
    <row r="121" spans="4:26" ht="14" x14ac:dyDescent="0.25">
      <c r="D121" s="4"/>
      <c r="H121" s="162" t="s">
        <v>171</v>
      </c>
      <c r="I121" s="212" t="s">
        <v>175</v>
      </c>
      <c r="P121" s="3"/>
      <c r="Q121" s="3"/>
      <c r="S121" s="232">
        <v>100000</v>
      </c>
      <c r="U121" s="226"/>
    </row>
    <row r="122" spans="4:26" ht="3" customHeight="1" x14ac:dyDescent="0.25">
      <c r="D122" s="4"/>
      <c r="H122" s="1"/>
      <c r="I122" s="3"/>
      <c r="J122" s="3"/>
      <c r="K122" s="3"/>
      <c r="L122" s="3"/>
      <c r="M122" s="3"/>
      <c r="N122" s="3"/>
      <c r="O122" s="3"/>
      <c r="P122" s="3"/>
      <c r="Q122" s="3"/>
      <c r="U122" s="226"/>
    </row>
    <row r="123" spans="4:26" ht="14" x14ac:dyDescent="0.25">
      <c r="D123" s="4"/>
      <c r="H123" s="162" t="s">
        <v>176</v>
      </c>
      <c r="I123" s="214" t="s">
        <v>77</v>
      </c>
      <c r="J123" s="215" t="s">
        <v>176</v>
      </c>
      <c r="K123" s="216">
        <f>S117</f>
        <v>13212000</v>
      </c>
      <c r="L123" s="217" t="s">
        <v>171</v>
      </c>
      <c r="M123" s="216">
        <f>S119</f>
        <v>130000</v>
      </c>
      <c r="N123" s="217" t="s">
        <v>171</v>
      </c>
      <c r="O123" s="216">
        <f>S120</f>
        <v>1406400</v>
      </c>
      <c r="P123" s="218" t="s">
        <v>171</v>
      </c>
      <c r="Q123" s="233">
        <f>S121</f>
        <v>100000</v>
      </c>
      <c r="R123" s="215" t="s">
        <v>176</v>
      </c>
      <c r="S123" s="234">
        <f>S117-S119-S120-S121</f>
        <v>11575600</v>
      </c>
      <c r="U123" s="226"/>
    </row>
    <row r="124" spans="4:26" ht="3" customHeight="1" x14ac:dyDescent="0.25">
      <c r="D124" s="4"/>
      <c r="H124" s="1"/>
      <c r="I124" s="20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4:26" ht="14" x14ac:dyDescent="0.25">
      <c r="D125" s="4"/>
      <c r="H125" s="11" t="s">
        <v>182</v>
      </c>
      <c r="K125" s="117"/>
      <c r="L125" s="117"/>
      <c r="M125" s="117"/>
      <c r="N125" s="117"/>
      <c r="O125" s="219" t="s">
        <v>180</v>
      </c>
      <c r="P125" s="220"/>
      <c r="Q125" s="235">
        <v>0.6</v>
      </c>
    </row>
    <row r="126" spans="4:26" ht="14" x14ac:dyDescent="0.25">
      <c r="D126" s="4"/>
      <c r="H126" s="1"/>
      <c r="I126" s="206" t="s">
        <v>154</v>
      </c>
      <c r="J126" s="207" t="str">
        <f>"去年"&amp;O117&amp;"个学生，按"&amp;TEXT(0.8,"0%")&amp;"续班率，续班"&amp;TEXT(O117*0.8,"0")&amp;"人"</f>
        <v>去年367个学生，按80%续班率，续班294人</v>
      </c>
      <c r="O126" s="208">
        <f>ROUND(O117*0.8,)</f>
        <v>294</v>
      </c>
      <c r="U126" s="226"/>
      <c r="W126" s="121"/>
      <c r="Y126" s="121"/>
      <c r="Z126" s="121"/>
    </row>
    <row r="127" spans="4:26" ht="14" x14ac:dyDescent="0.25">
      <c r="D127" s="4"/>
      <c r="H127" s="1"/>
      <c r="I127" s="206" t="s">
        <v>181</v>
      </c>
      <c r="J127" s="207" t="str">
        <f>TEXT(Q125,"0%")&amp;"的转介绍率,即"&amp;O117&amp;"*"&amp;TEXT(Q125,"0%")&amp;"="&amp;TEXT(O117*TEXT(Q125,"0%"),"0")&amp;"+新招"&amp;S$71</f>
        <v>60%的转介绍率,即367*60%=220+新招85</v>
      </c>
      <c r="O127" s="208">
        <f>ROUND(O117*Q125+S$71,)</f>
        <v>305</v>
      </c>
      <c r="U127" s="226"/>
      <c r="W127" s="121"/>
      <c r="Y127" s="121"/>
      <c r="Z127" s="121"/>
    </row>
    <row r="128" spans="4:26" ht="3" customHeight="1" x14ac:dyDescent="0.25">
      <c r="D128" s="4"/>
      <c r="H128" s="1"/>
      <c r="I128" s="3"/>
      <c r="J128" s="3"/>
      <c r="K128" s="3"/>
      <c r="L128" s="3"/>
      <c r="M128" s="3"/>
      <c r="N128" s="3"/>
      <c r="O128" s="3"/>
      <c r="P128" s="3"/>
      <c r="Q128" s="3"/>
      <c r="U128" s="226"/>
    </row>
    <row r="129" spans="4:26" ht="14" x14ac:dyDescent="0.25">
      <c r="D129" s="4"/>
      <c r="H129" s="1"/>
      <c r="I129" s="199" t="s">
        <v>178</v>
      </c>
      <c r="J129" s="207" t="str">
        <f>"一个科目全年班学费是"&amp;TEXT(S$68/10000,"0.00"&amp;"万")&amp;"，2科"&amp;TEXT(S$68/10000*2,"0.00"&amp;"万")</f>
        <v>一个科目全年班学费是1.80万，2科3.60万</v>
      </c>
      <c r="K129" s="209"/>
      <c r="L129" s="209"/>
      <c r="M129" s="209"/>
      <c r="N129" s="210"/>
      <c r="O129" s="211">
        <f>O126+O127</f>
        <v>599</v>
      </c>
      <c r="P129" s="210" t="s">
        <v>170</v>
      </c>
      <c r="Q129" s="230">
        <f>S$68*2</f>
        <v>36000</v>
      </c>
      <c r="S129" s="228">
        <f>O129*Q129</f>
        <v>21564000</v>
      </c>
      <c r="U129" s="226"/>
      <c r="W129" s="121"/>
      <c r="Y129" s="121"/>
      <c r="Z129" s="121"/>
    </row>
    <row r="130" spans="4:26" ht="3" customHeight="1" x14ac:dyDescent="0.25">
      <c r="D130" s="4"/>
      <c r="H130" s="1"/>
      <c r="I130" s="3"/>
      <c r="J130" s="3"/>
      <c r="K130" s="3"/>
      <c r="L130" s="3"/>
      <c r="M130" s="3"/>
      <c r="N130" s="3"/>
      <c r="O130" s="3"/>
      <c r="P130" s="3"/>
      <c r="Q130" s="3"/>
      <c r="U130" s="226"/>
    </row>
    <row r="131" spans="4:26" ht="14" x14ac:dyDescent="0.25">
      <c r="D131" s="4"/>
      <c r="H131" s="162" t="s">
        <v>171</v>
      </c>
      <c r="I131" s="212" t="s">
        <v>172</v>
      </c>
      <c r="S131" s="231">
        <f>S$24</f>
        <v>140000</v>
      </c>
      <c r="U131" s="226"/>
    </row>
    <row r="132" spans="4:26" ht="14" x14ac:dyDescent="0.25">
      <c r="D132" s="4"/>
      <c r="H132" s="162" t="s">
        <v>171</v>
      </c>
      <c r="I132" s="212" t="s">
        <v>173</v>
      </c>
      <c r="J132" s="213" t="str">
        <f>S27&amp;"个老师"&amp;"(月薪"&amp;S28&amp;")，"&amp;S31&amp;"个销售"&amp;"(月薪"&amp;S32&amp;")，合计:"&amp;S26&amp;"+"&amp;S30</f>
        <v>18个老师(月薪6500)，5个销售(月薪10000)，合计:1404000+600000</v>
      </c>
      <c r="Q132" s="3"/>
      <c r="S132" s="232">
        <f>S26+S30</f>
        <v>2004000</v>
      </c>
      <c r="U132" s="226"/>
    </row>
    <row r="133" spans="4:26" ht="14" x14ac:dyDescent="0.25">
      <c r="D133" s="4"/>
      <c r="H133" s="162" t="s">
        <v>171</v>
      </c>
      <c r="I133" s="212" t="s">
        <v>175</v>
      </c>
      <c r="P133" s="3"/>
      <c r="Q133" s="3"/>
      <c r="S133" s="232">
        <v>100000</v>
      </c>
      <c r="U133" s="226"/>
    </row>
    <row r="134" spans="4:26" ht="3" customHeight="1" x14ac:dyDescent="0.25">
      <c r="D134" s="4"/>
      <c r="H134" s="1"/>
      <c r="I134" s="3"/>
      <c r="J134" s="3"/>
      <c r="K134" s="3"/>
      <c r="L134" s="3"/>
      <c r="M134" s="3"/>
      <c r="N134" s="3"/>
      <c r="O134" s="3"/>
      <c r="P134" s="3"/>
      <c r="Q134" s="3"/>
      <c r="U134" s="226"/>
    </row>
    <row r="135" spans="4:26" ht="14" x14ac:dyDescent="0.25">
      <c r="D135" s="4"/>
      <c r="H135" s="162" t="s">
        <v>176</v>
      </c>
      <c r="I135" s="214" t="s">
        <v>77</v>
      </c>
      <c r="J135" s="215" t="s">
        <v>176</v>
      </c>
      <c r="K135" s="216">
        <f>S129</f>
        <v>21564000</v>
      </c>
      <c r="L135" s="217" t="s">
        <v>171</v>
      </c>
      <c r="M135" s="216">
        <f>S131</f>
        <v>140000</v>
      </c>
      <c r="N135" s="217" t="s">
        <v>171</v>
      </c>
      <c r="O135" s="216">
        <f>S132</f>
        <v>2004000</v>
      </c>
      <c r="P135" s="218" t="s">
        <v>171</v>
      </c>
      <c r="Q135" s="233">
        <f>S133</f>
        <v>100000</v>
      </c>
      <c r="R135" s="215" t="s">
        <v>176</v>
      </c>
      <c r="S135" s="234">
        <f>S129-S131-S132-S133</f>
        <v>19320000</v>
      </c>
      <c r="U135" s="226"/>
    </row>
    <row r="136" spans="4:26" ht="13" x14ac:dyDescent="0.25">
      <c r="D136" s="4"/>
      <c r="H136" s="1"/>
      <c r="I136" s="205"/>
      <c r="L136" s="121"/>
      <c r="M136" s="121"/>
      <c r="N136" s="121"/>
      <c r="O136" s="121"/>
      <c r="P136" s="121"/>
      <c r="Q136" s="121"/>
      <c r="R136" s="121"/>
      <c r="S136" s="121"/>
      <c r="U136" s="226"/>
      <c r="W136" s="121"/>
      <c r="Y136" s="121"/>
      <c r="Z136" s="121"/>
    </row>
    <row r="137" spans="4:26" ht="13" x14ac:dyDescent="0.25">
      <c r="D137" s="4"/>
      <c r="H137" s="1"/>
      <c r="I137" s="4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U137" s="226"/>
      <c r="W137" s="121"/>
      <c r="Y137" s="121"/>
      <c r="Z137" s="121"/>
    </row>
    <row r="138" spans="4:26" ht="13" x14ac:dyDescent="0.25">
      <c r="D138" s="4"/>
      <c r="H138" s="1"/>
      <c r="I138" s="4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U138" s="226"/>
      <c r="W138" s="121"/>
      <c r="Y138" s="121"/>
      <c r="Z138" s="121"/>
    </row>
    <row r="139" spans="4:26" ht="13" x14ac:dyDescent="0.25">
      <c r="D139" s="4"/>
      <c r="H139" s="1"/>
      <c r="I139" s="4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U139" s="226"/>
      <c r="W139" s="121"/>
      <c r="Y139" s="121"/>
      <c r="Z139" s="121"/>
    </row>
    <row r="140" spans="4:26" ht="13" x14ac:dyDescent="0.25">
      <c r="H140" s="1"/>
      <c r="I140" s="237" t="s">
        <v>183</v>
      </c>
    </row>
    <row r="141" spans="4:26" ht="13" x14ac:dyDescent="0.25">
      <c r="H141" s="1"/>
      <c r="I141" s="4" t="s">
        <v>184</v>
      </c>
    </row>
    <row r="142" spans="4:26" ht="13" x14ac:dyDescent="0.25">
      <c r="I142" s="43" t="s">
        <v>58</v>
      </c>
      <c r="J142" s="44"/>
      <c r="K142" s="45">
        <v>60</v>
      </c>
      <c r="L142" s="46"/>
      <c r="M142" s="46">
        <v>150</v>
      </c>
      <c r="N142" s="47"/>
      <c r="O142" s="47">
        <v>220</v>
      </c>
      <c r="P142" s="48"/>
      <c r="Q142" s="48">
        <v>280</v>
      </c>
      <c r="R142" s="129"/>
      <c r="S142" s="129">
        <v>350</v>
      </c>
    </row>
    <row r="143" spans="4:26" ht="14" x14ac:dyDescent="0.25">
      <c r="H143" s="8"/>
      <c r="I143" s="77" t="s">
        <v>185</v>
      </c>
      <c r="J143" s="57"/>
      <c r="K143" s="238">
        <f>36000/12</f>
        <v>3000</v>
      </c>
      <c r="L143" s="52"/>
      <c r="M143" s="239">
        <v>5000</v>
      </c>
      <c r="N143" s="53"/>
      <c r="O143" s="240">
        <v>5400</v>
      </c>
      <c r="P143" s="51"/>
      <c r="Q143" s="241">
        <v>5800</v>
      </c>
      <c r="R143" s="130"/>
      <c r="S143" s="242">
        <v>6500</v>
      </c>
    </row>
    <row r="144" spans="4:26" ht="13" x14ac:dyDescent="0.25">
      <c r="D144" s="4"/>
    </row>
    <row r="145" spans="1:261" s="1" customFormat="1" ht="12.5" x14ac:dyDescent="0.25">
      <c r="A145" s="3"/>
      <c r="B145" s="3"/>
      <c r="C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</row>
    <row r="146" spans="1:261" s="1" customFormat="1" ht="12.5" x14ac:dyDescent="0.25">
      <c r="A146" s="3"/>
      <c r="B146" s="3"/>
      <c r="C146" s="3"/>
      <c r="I146" s="3"/>
      <c r="J146" s="3"/>
      <c r="K146" s="3"/>
      <c r="L146" s="3"/>
      <c r="M146" s="3"/>
      <c r="N146" s="3"/>
      <c r="O146" s="3" t="s">
        <v>186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</row>
    <row r="147" spans="1:261" s="1" customFormat="1" ht="12.5" x14ac:dyDescent="0.25">
      <c r="A147" s="3"/>
      <c r="B147" s="3"/>
      <c r="C147" s="3"/>
      <c r="I147" s="3"/>
      <c r="J147" s="3"/>
      <c r="K147" s="3"/>
      <c r="L147" s="3"/>
      <c r="M147" s="3"/>
      <c r="N147" s="3"/>
      <c r="O147" s="3" t="s">
        <v>187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</row>
    <row r="148" spans="1:261" s="1" customFormat="1" ht="13" x14ac:dyDescent="0.25">
      <c r="A148" s="3"/>
      <c r="B148" s="3"/>
      <c r="C148" s="3"/>
      <c r="D148" s="161" t="s">
        <v>188</v>
      </c>
      <c r="E148" s="1" t="s">
        <v>189</v>
      </c>
      <c r="F148" s="1" t="s">
        <v>189</v>
      </c>
      <c r="I148" s="3"/>
      <c r="J148" s="3"/>
      <c r="K148" s="3"/>
      <c r="L148" s="3"/>
      <c r="M148" s="3"/>
      <c r="N148" s="3"/>
      <c r="O148" s="3" t="s">
        <v>190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</row>
    <row r="149" spans="1:261" s="1" customFormat="1" ht="12.5" x14ac:dyDescent="0.25">
      <c r="A149" s="3"/>
      <c r="B149" s="3"/>
      <c r="C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</row>
    <row r="150" spans="1:261" s="1" customFormat="1" ht="12.5" x14ac:dyDescent="0.25">
      <c r="A150" s="3"/>
      <c r="B150" s="3"/>
      <c r="C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</row>
    <row r="151" spans="1:261" s="1" customFormat="1" ht="12.5" x14ac:dyDescent="0.25">
      <c r="A151" s="3"/>
      <c r="B151" s="3"/>
      <c r="C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</row>
    <row r="152" spans="1:261" s="1" customFormat="1" ht="12.5" x14ac:dyDescent="0.25">
      <c r="A152" s="3"/>
      <c r="B152" s="3"/>
      <c r="C152" s="3"/>
      <c r="D152" s="1" t="s">
        <v>191</v>
      </c>
      <c r="I152" s="3"/>
      <c r="J152" s="3"/>
      <c r="K152" s="3"/>
      <c r="L152" s="3"/>
      <c r="M152" s="3"/>
      <c r="N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</row>
    <row r="153" spans="1:261" s="1" customFormat="1" ht="12.5" x14ac:dyDescent="0.25">
      <c r="A153" s="3"/>
      <c r="B153" s="3"/>
      <c r="C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</row>
    <row r="154" spans="1:261" s="1" customFormat="1" ht="12.5" x14ac:dyDescent="0.25">
      <c r="A154" s="3"/>
      <c r="B154" s="3"/>
      <c r="C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</row>
    <row r="155" spans="1:261" s="1" customFormat="1" ht="12.5" x14ac:dyDescent="0.25">
      <c r="A155" s="3"/>
      <c r="B155" s="3"/>
      <c r="C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</row>
    <row r="156" spans="1:261" s="1" customFormat="1" ht="12.5" x14ac:dyDescent="0.25">
      <c r="A156" s="3"/>
      <c r="B156" s="3"/>
      <c r="C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</row>
    <row r="157" spans="1:261" s="1" customFormat="1" ht="12.5" x14ac:dyDescent="0.25">
      <c r="A157" s="3"/>
      <c r="B157" s="3"/>
      <c r="C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</row>
    <row r="158" spans="1:261" s="1" customFormat="1" ht="12.5" x14ac:dyDescent="0.25">
      <c r="A158" s="3"/>
      <c r="B158" s="3"/>
      <c r="C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</row>
    <row r="159" spans="1:261" s="1" customFormat="1" ht="12.5" x14ac:dyDescent="0.25">
      <c r="A159" s="3"/>
      <c r="B159" s="3"/>
      <c r="C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</row>
    <row r="160" spans="1:261" s="1" customFormat="1" ht="12.5" x14ac:dyDescent="0.25">
      <c r="A160" s="3"/>
      <c r="B160" s="3"/>
      <c r="C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</row>
    <row r="161" spans="1:261" s="1" customFormat="1" ht="12.5" x14ac:dyDescent="0.25">
      <c r="A161" s="3"/>
      <c r="B161" s="3"/>
      <c r="C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</row>
    <row r="162" spans="1:261" s="1" customFormat="1" ht="12.5" x14ac:dyDescent="0.25">
      <c r="A162" s="3"/>
      <c r="B162" s="3"/>
      <c r="C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</row>
    <row r="163" spans="1:261" s="1" customFormat="1" ht="12.5" x14ac:dyDescent="0.25">
      <c r="A163" s="3"/>
      <c r="B163" s="3"/>
      <c r="C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</row>
    <row r="164" spans="1:261" s="1" customFormat="1" ht="12.5" x14ac:dyDescent="0.25">
      <c r="A164" s="3"/>
      <c r="B164" s="3"/>
      <c r="C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</row>
    <row r="165" spans="1:261" s="1" customFormat="1" ht="12.5" x14ac:dyDescent="0.25">
      <c r="A165" s="3"/>
      <c r="B165" s="3"/>
      <c r="C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</row>
    <row r="166" spans="1:261" s="1" customFormat="1" ht="12.5" x14ac:dyDescent="0.25">
      <c r="A166" s="3"/>
      <c r="B166" s="3"/>
      <c r="C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</row>
    <row r="167" spans="1:261" s="1" customFormat="1" ht="12.5" x14ac:dyDescent="0.25">
      <c r="A167" s="3"/>
      <c r="B167" s="3"/>
      <c r="C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</row>
    <row r="168" spans="1:261" s="1" customFormat="1" ht="12.5" x14ac:dyDescent="0.25">
      <c r="A168" s="3"/>
      <c r="B168" s="3"/>
      <c r="C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</row>
    <row r="169" spans="1:261" s="1" customFormat="1" ht="12.5" x14ac:dyDescent="0.25">
      <c r="A169" s="3"/>
      <c r="B169" s="3"/>
      <c r="C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</row>
    <row r="170" spans="1:261" s="1" customFormat="1" ht="12.5" x14ac:dyDescent="0.25">
      <c r="A170" s="3"/>
      <c r="B170" s="3"/>
      <c r="C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</row>
    <row r="171" spans="1:261" s="1" customFormat="1" ht="12.5" x14ac:dyDescent="0.25">
      <c r="A171" s="3"/>
      <c r="B171" s="3"/>
      <c r="C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</row>
    <row r="172" spans="1:261" s="1" customFormat="1" ht="12.5" x14ac:dyDescent="0.25">
      <c r="A172" s="3"/>
      <c r="B172" s="3"/>
      <c r="C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</row>
    <row r="173" spans="1:261" s="1" customFormat="1" ht="12.5" x14ac:dyDescent="0.25">
      <c r="A173" s="3"/>
      <c r="B173" s="3"/>
      <c r="C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</row>
    <row r="174" spans="1:261" s="1" customFormat="1" ht="12.5" x14ac:dyDescent="0.25">
      <c r="A174" s="3"/>
      <c r="B174" s="3"/>
      <c r="C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</row>
    <row r="175" spans="1:261" s="1" customFormat="1" ht="12.5" x14ac:dyDescent="0.25">
      <c r="A175" s="3"/>
      <c r="B175" s="3"/>
      <c r="C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</row>
    <row r="176" spans="1:261" s="1" customFormat="1" ht="12.5" x14ac:dyDescent="0.25">
      <c r="A176" s="3"/>
      <c r="B176" s="3"/>
      <c r="C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</row>
    <row r="177" spans="1:261" s="1" customFormat="1" ht="12.5" x14ac:dyDescent="0.25">
      <c r="A177" s="3"/>
      <c r="B177" s="3"/>
      <c r="C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</row>
    <row r="178" spans="1:261" s="1" customFormat="1" ht="12.5" x14ac:dyDescent="0.25">
      <c r="A178" s="3"/>
      <c r="B178" s="3"/>
      <c r="C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</row>
    <row r="179" spans="1:261" s="1" customFormat="1" ht="12.5" x14ac:dyDescent="0.25">
      <c r="A179" s="3"/>
      <c r="B179" s="3"/>
      <c r="C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</row>
    <row r="180" spans="1:261" s="1" customFormat="1" ht="12.5" x14ac:dyDescent="0.25">
      <c r="A180" s="3"/>
      <c r="B180" s="3"/>
      <c r="C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</row>
    <row r="181" spans="1:261" s="1" customFormat="1" ht="12.5" x14ac:dyDescent="0.25">
      <c r="A181" s="3"/>
      <c r="B181" s="3"/>
      <c r="C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</row>
    <row r="182" spans="1:261" s="1" customFormat="1" ht="12.5" x14ac:dyDescent="0.25">
      <c r="A182" s="3"/>
      <c r="B182" s="3"/>
      <c r="C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</row>
    <row r="183" spans="1:261" s="1" customFormat="1" ht="12.5" x14ac:dyDescent="0.25">
      <c r="A183" s="3"/>
      <c r="B183" s="3"/>
      <c r="C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</row>
    <row r="184" spans="1:261" s="1" customFormat="1" ht="12.5" x14ac:dyDescent="0.25">
      <c r="A184" s="3"/>
      <c r="B184" s="3"/>
      <c r="C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</row>
    <row r="185" spans="1:261" s="1" customFormat="1" ht="12.5" x14ac:dyDescent="0.25">
      <c r="A185" s="3"/>
      <c r="B185" s="3"/>
      <c r="C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</row>
    <row r="186" spans="1:261" s="1" customFormat="1" ht="12.5" x14ac:dyDescent="0.25">
      <c r="A186" s="3"/>
      <c r="B186" s="3"/>
      <c r="C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</row>
    <row r="187" spans="1:261" s="1" customFormat="1" ht="12.5" x14ac:dyDescent="0.25">
      <c r="A187" s="3"/>
      <c r="B187" s="3"/>
      <c r="C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</row>
    <row r="188" spans="1:261" s="1" customFormat="1" ht="12.5" x14ac:dyDescent="0.25">
      <c r="A188" s="3"/>
      <c r="B188" s="3"/>
      <c r="C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</row>
    <row r="189" spans="1:261" s="1" customFormat="1" ht="12.5" x14ac:dyDescent="0.25">
      <c r="A189" s="3"/>
      <c r="B189" s="3"/>
      <c r="C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</row>
    <row r="190" spans="1:261" s="1" customFormat="1" ht="12.5" x14ac:dyDescent="0.25">
      <c r="A190" s="3"/>
      <c r="B190" s="3"/>
      <c r="C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</row>
    <row r="191" spans="1:261" s="1" customFormat="1" ht="12.5" x14ac:dyDescent="0.25">
      <c r="A191" s="3"/>
      <c r="B191" s="3"/>
      <c r="C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</row>
    <row r="192" spans="1:261" s="1" customFormat="1" ht="12.5" x14ac:dyDescent="0.25">
      <c r="A192" s="3"/>
      <c r="B192" s="3"/>
      <c r="C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</row>
  </sheetData>
  <mergeCells count="13">
    <mergeCell ref="I57:S57"/>
    <mergeCell ref="AA8:AA9"/>
    <mergeCell ref="I14:S14"/>
    <mergeCell ref="J15:K15"/>
    <mergeCell ref="L15:M15"/>
    <mergeCell ref="N15:O15"/>
    <mergeCell ref="P15:Q15"/>
    <mergeCell ref="R15:S15"/>
    <mergeCell ref="J1:K1"/>
    <mergeCell ref="L1:M1"/>
    <mergeCell ref="N1:O1"/>
    <mergeCell ref="P1:Q1"/>
    <mergeCell ref="R1:S1"/>
  </mergeCells>
  <phoneticPr fontId="41" type="noConversion"/>
  <conditionalFormatting sqref="J24:J31 N33:N36 N24:N31 P33:P36 P24:P31 L33:L36 L24:L31 R33:R36 R24:R31 J33:J36">
    <cfRule type="dataBar" priority="1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{797FDF8A-904B-4262-BD59-F7CC13B5A51D}</x14:id>
        </ext>
      </extLst>
    </cfRule>
    <cfRule type="dataBar" priority="1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{2E3D6AD8-9217-42CE-846A-0813128CC95F}</x14:id>
        </ext>
      </extLst>
    </cfRule>
  </conditionalFormatting>
  <conditionalFormatting sqref="J24:J31 P33:P36 P24:P31 R33:R36 R24:R31 L33:L36 L24:L31 N33:N36 N24:N31 J33:J3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{E3604406-A9F2-4227-A752-49D1CCD64B76}</x14:id>
        </ext>
      </extLst>
    </cfRule>
  </conditionalFormatting>
  <conditionalFormatting sqref="J32 P32 R32 L32 N3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{C3E895CA-D79B-4E36-B80D-34CFB8E744B1}</x14:id>
        </ext>
      </extLst>
    </cfRule>
  </conditionalFormatting>
  <conditionalFormatting sqref="J32 N32 P32 L32 R32">
    <cfRule type="dataBar" priority="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{618133C0-3EB1-435B-822C-320AD6A7662A}</x14:id>
        </ext>
      </extLst>
    </cfRule>
    <cfRule type="dataBar" priority="8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{43CA5624-3717-4F38-BF9C-808AADD7AC37}</x14:id>
        </ext>
      </extLst>
    </cfRule>
  </conditionalFormatting>
  <conditionalFormatting sqref="J37 P37 R37 L37 N3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{0CF6D4EB-720E-4531-8D0B-A99E6F26D152}</x14:id>
        </ext>
      </extLst>
    </cfRule>
  </conditionalFormatting>
  <conditionalFormatting sqref="J37 N37 P37 L37 R37">
    <cfRule type="dataBar" priority="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{B156AFA0-36E0-4D25-93D6-BB4FA9B84FA4}</x14:id>
        </ext>
      </extLst>
    </cfRule>
    <cfRule type="dataBar" priority="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{1F1BBF82-A03F-4614-8789-87499E0D02D8}</x14:id>
        </ext>
      </extLst>
    </cfRule>
  </conditionalFormatting>
  <conditionalFormatting sqref="J39 P39 R39 L39 N3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{FFE4DECB-3418-4BD6-AA6B-0173014CA0DB}</x14:id>
        </ext>
      </extLst>
    </cfRule>
  </conditionalFormatting>
  <conditionalFormatting sqref="J39 N39 P39 L39 R39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{655CB545-A908-4A3C-8930-BB545CC32195}</x14:id>
        </ext>
      </extLst>
    </cfRule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{1CB5EC71-0439-4788-A16B-1941C7ED0130}</x14:id>
        </ext>
      </extLst>
    </cfRule>
  </conditionalFormatting>
  <conditionalFormatting sqref="J143 L143 P143 R143 N14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{856B758E-2414-479A-A852-700A54C171BE}</x14:id>
        </ext>
      </extLst>
    </cfRule>
  </conditionalFormatting>
  <conditionalFormatting sqref="J143 L143 N143 P143 R143">
    <cfRule type="dataBar" priority="1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{5015FF4D-BEDD-4076-AD1E-841693166907}</x14:id>
        </ext>
      </extLst>
    </cfRule>
    <cfRule type="dataBar" priority="1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{0E610156-BC13-4DF0-9455-BA7AF2DB0117}</x14:id>
        </ext>
      </extLst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7FDF8A-904B-4262-BD59-F7CC13B5A51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2E3D6AD8-9217-42CE-846A-0813128CC95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J24:J31 N33:N36 N24:N31 P33:P36 P24:P31 L33:L36 L24:L31 R33:R36 R24:R31 J33:J36</xm:sqref>
        </x14:conditionalFormatting>
        <x14:conditionalFormatting xmlns:xm="http://schemas.microsoft.com/office/excel/2006/main">
          <x14:cfRule type="dataBar" id="{E3604406-A9F2-4227-A752-49D1CCD64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J24:J31 P33:P36 P24:P31 R33:R36 R24:R31 L33:L36 L24:L31 N33:N36 N24:N31 J33:J36</xm:sqref>
        </x14:conditionalFormatting>
        <x14:conditionalFormatting xmlns:xm="http://schemas.microsoft.com/office/excel/2006/main">
          <x14:cfRule type="dataBar" id="{C3E895CA-D79B-4E36-B80D-34CFB8E74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 P32 R32 L32 N32</xm:sqref>
        </x14:conditionalFormatting>
        <x14:conditionalFormatting xmlns:xm="http://schemas.microsoft.com/office/excel/2006/main">
          <x14:cfRule type="dataBar" id="{618133C0-3EB1-435B-822C-320AD6A7662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43CA5624-3717-4F38-BF9C-808AADD7AC3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J32 N32 P32 L32 R32</xm:sqref>
        </x14:conditionalFormatting>
        <x14:conditionalFormatting xmlns:xm="http://schemas.microsoft.com/office/excel/2006/main">
          <x14:cfRule type="dataBar" id="{0CF6D4EB-720E-4531-8D0B-A99E6F26D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 P37 R37 L37 N37</xm:sqref>
        </x14:conditionalFormatting>
        <x14:conditionalFormatting xmlns:xm="http://schemas.microsoft.com/office/excel/2006/main">
          <x14:cfRule type="dataBar" id="{B156AFA0-36E0-4D25-93D6-BB4FA9B84F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1F1BBF82-A03F-4614-8789-87499E0D02D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J37 N37 P37 L37 R37</xm:sqref>
        </x14:conditionalFormatting>
        <x14:conditionalFormatting xmlns:xm="http://schemas.microsoft.com/office/excel/2006/main">
          <x14:cfRule type="dataBar" id="{FFE4DECB-3418-4BD6-AA6B-0173014CA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 P39 R39 L39 N39</xm:sqref>
        </x14:conditionalFormatting>
        <x14:conditionalFormatting xmlns:xm="http://schemas.microsoft.com/office/excel/2006/main">
          <x14:cfRule type="dataBar" id="{655CB545-A908-4A3C-8930-BB545CC3219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1CB5EC71-0439-4788-A16B-1941C7ED013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J39 N39 P39 L39 R39</xm:sqref>
        </x14:conditionalFormatting>
        <x14:conditionalFormatting xmlns:xm="http://schemas.microsoft.com/office/excel/2006/main">
          <x14:cfRule type="dataBar" id="{856B758E-2414-479A-A852-700A54C17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J143 L143 P143 R143 N143</xm:sqref>
        </x14:conditionalFormatting>
        <x14:conditionalFormatting xmlns:xm="http://schemas.microsoft.com/office/excel/2006/main">
          <x14:cfRule type="dataBar" id="{5015FF4D-BEDD-4076-AD1E-84169316690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0E610156-BC13-4DF0-9455-BA7AF2DB01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J143 L143 N143 P143 R143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预算说明目录</vt:lpstr>
      <vt:lpstr>1、首期投资</vt:lpstr>
      <vt:lpstr>2、5年收益表 - 乂学盈利模型5年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zhang</dc:creator>
  <cp:lastModifiedBy>张鹏飞</cp:lastModifiedBy>
  <dcterms:created xsi:type="dcterms:W3CDTF">2017-03-13T06:38:00Z</dcterms:created>
  <dcterms:modified xsi:type="dcterms:W3CDTF">2019-05-24T15:52:27Z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10</vt:lpwstr>
  </property>
  <property fmtid="{D5CDD505-2E9C-101B-9397-08002B2CF9AE}" pid="4" name="KSOReadingLayout">
    <vt:bool>true</vt:bool>
  </property>
</Properties>
</file>