
<file path=[Content_Types].xml><?xml version="1.0" encoding="utf-8"?>
<Types xmlns="http://schemas.openxmlformats.org/package/2006/content-types">
  <Default Extension="bin" ContentType="application/vnd.openxmlformats-officedocument.spreadsheetml.printerSettings"/>
  <Default Extension="png" ContentType="image/png"/>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335" yWindow="30" windowWidth="12045" windowHeight="11640" activeTab="1"/>
  </bookViews>
  <sheets>
    <sheet name="How To Use" sheetId="4" r:id="rId1"/>
    <sheet name="Register Configuration" sheetId="1" r:id="rId2"/>
    <sheet name="RealView .inc file" sheetId="3" r:id="rId3"/>
  </sheets>
  <definedNames>
    <definedName name="_00">'Register Configuration'!$AO$6:$AO$9</definedName>
    <definedName name="_11">'Register Configuration'!$AO$6</definedName>
    <definedName name="Codex_LPDDR1_200MHz.inc" localSheetId="2">'RealView .inc file'!$A$1:$D$150</definedName>
    <definedName name="_xlnm.Print_Area" localSheetId="1">'Register Configuration'!$B$43:$F$89</definedName>
  </definedNames>
  <calcPr calcId="114210"/>
</workbook>
</file>

<file path=xl/calcChain.xml><?xml version="1.0" encoding="utf-8"?>
<calcChain xmlns="http://schemas.openxmlformats.org/spreadsheetml/2006/main">
  <c r="B61" i="3"/>
  <c r="B67"/>
  <c r="B66"/>
  <c r="B65"/>
  <c r="B62"/>
  <c r="D71" i="1"/>
  <c r="C28"/>
  <c r="D85"/>
  <c r="E85"/>
  <c r="I84"/>
  <c r="D83"/>
  <c r="E83"/>
  <c r="I83"/>
  <c r="C62"/>
  <c r="D62"/>
  <c r="E62"/>
  <c r="D63"/>
  <c r="E63"/>
  <c r="I62"/>
  <c r="D65"/>
  <c r="E65"/>
  <c r="I65"/>
  <c r="D68"/>
  <c r="E68"/>
  <c r="I67"/>
  <c r="D70"/>
  <c r="E70"/>
  <c r="E71"/>
  <c r="I69"/>
  <c r="D72"/>
  <c r="E72"/>
  <c r="D73"/>
  <c r="E73"/>
  <c r="I72"/>
  <c r="D74"/>
  <c r="E74"/>
  <c r="D75"/>
  <c r="E75"/>
  <c r="D76"/>
  <c r="E76"/>
  <c r="I74"/>
  <c r="D77"/>
  <c r="E77"/>
  <c r="D78"/>
  <c r="E78"/>
  <c r="D79"/>
  <c r="E79"/>
  <c r="D80"/>
  <c r="E80"/>
  <c r="I77"/>
  <c r="D82"/>
  <c r="E82"/>
  <c r="I81"/>
  <c r="C71" i="3"/>
  <c r="C80"/>
  <c r="C81"/>
  <c r="C85"/>
  <c r="C87"/>
  <c r="C88"/>
  <c r="C89"/>
  <c r="C90"/>
  <c r="C91"/>
  <c r="C92"/>
  <c r="C93"/>
  <c r="C94"/>
  <c r="C95"/>
  <c r="C127"/>
  <c r="C134"/>
  <c r="C135"/>
  <c r="C138"/>
  <c r="C140"/>
  <c r="C142"/>
  <c r="C144"/>
  <c r="C149"/>
  <c r="G70"/>
  <c r="I146"/>
  <c r="H146"/>
  <c r="G146"/>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70"/>
  <c r="H69"/>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B64"/>
  <c r="B63"/>
  <c r="C47"/>
  <c r="D49" i="1"/>
  <c r="E49"/>
  <c r="I48"/>
  <c r="D52"/>
  <c r="E52"/>
  <c r="I52"/>
  <c r="E38"/>
  <c r="E37"/>
  <c r="E36"/>
  <c r="E35"/>
  <c r="E34"/>
  <c r="E39"/>
  <c r="E40"/>
  <c r="E41"/>
  <c r="D129"/>
  <c r="E129"/>
  <c r="E89"/>
  <c r="I88"/>
  <c r="E84"/>
  <c r="E87"/>
  <c r="E86"/>
  <c r="E81"/>
  <c r="C82"/>
  <c r="E69"/>
  <c r="E67"/>
  <c r="E66"/>
  <c r="E64"/>
  <c r="E60"/>
  <c r="E61"/>
  <c r="E59"/>
  <c r="E58"/>
  <c r="E56"/>
  <c r="E55"/>
  <c r="E57"/>
  <c r="E54"/>
  <c r="E53"/>
  <c r="I34"/>
  <c r="I55"/>
  <c r="E51"/>
  <c r="D50"/>
  <c r="E50"/>
  <c r="E48"/>
  <c r="E47"/>
  <c r="E46"/>
  <c r="E45"/>
  <c r="I45"/>
  <c r="J45"/>
  <c r="D117"/>
  <c r="E117"/>
  <c r="D116"/>
  <c r="E116"/>
  <c r="D115"/>
  <c r="E115"/>
  <c r="D114"/>
  <c r="E114"/>
  <c r="D113"/>
  <c r="E113"/>
  <c r="D112"/>
  <c r="E112"/>
  <c r="D111"/>
  <c r="E111"/>
  <c r="D110"/>
  <c r="E110"/>
  <c r="D109"/>
  <c r="E109"/>
  <c r="D127"/>
  <c r="E127"/>
  <c r="D101"/>
  <c r="E101"/>
  <c r="D100"/>
  <c r="E100"/>
  <c r="D99"/>
  <c r="E99"/>
  <c r="D98"/>
  <c r="E98"/>
  <c r="D97"/>
  <c r="E97"/>
  <c r="D96"/>
  <c r="E96"/>
  <c r="D95"/>
  <c r="E95"/>
  <c r="D122"/>
  <c r="E122"/>
  <c r="D126"/>
  <c r="E126"/>
  <c r="D125"/>
  <c r="E125"/>
  <c r="D124"/>
  <c r="E124"/>
  <c r="D123"/>
  <c r="E123"/>
  <c r="D121"/>
  <c r="E121"/>
  <c r="D120"/>
  <c r="E120"/>
  <c r="D119"/>
  <c r="E119"/>
  <c r="D102"/>
  <c r="E102"/>
  <c r="D103"/>
  <c r="E103"/>
  <c r="D104"/>
  <c r="E104"/>
  <c r="D105"/>
  <c r="E105"/>
  <c r="D106"/>
  <c r="E106"/>
  <c r="D107"/>
  <c r="E107"/>
  <c r="D128"/>
  <c r="E128"/>
  <c r="I127"/>
  <c r="D108"/>
  <c r="E108"/>
  <c r="I95"/>
  <c r="F89" i="3"/>
  <c r="F90"/>
  <c r="F91"/>
  <c r="F102"/>
  <c r="F103"/>
  <c r="F104"/>
  <c r="F106"/>
  <c r="F107"/>
  <c r="F109"/>
  <c r="F110"/>
  <c r="F111"/>
  <c r="F112"/>
  <c r="F113"/>
  <c r="F120"/>
  <c r="F121"/>
  <c r="F122"/>
  <c r="F123"/>
  <c r="F124"/>
  <c r="F125"/>
  <c r="F126"/>
  <c r="F128"/>
  <c r="F129"/>
  <c r="F130"/>
  <c r="F131"/>
  <c r="F132"/>
  <c r="F133"/>
  <c r="F135"/>
  <c r="F127"/>
  <c r="B68"/>
  <c r="D130" i="1"/>
  <c r="E130"/>
  <c r="D118"/>
  <c r="E118"/>
  <c r="I109"/>
  <c r="F114" i="3"/>
  <c r="F116"/>
  <c r="F119"/>
  <c r="F88"/>
  <c r="F115"/>
  <c r="F117"/>
  <c r="F118"/>
  <c r="F82"/>
  <c r="F85"/>
  <c r="F105"/>
  <c r="I58" i="1"/>
  <c r="F99" i="3"/>
  <c r="I129" i="1"/>
  <c r="F108" i="3"/>
  <c r="F134"/>
  <c r="F73"/>
  <c r="F83"/>
  <c r="F92"/>
  <c r="F98"/>
  <c r="F100"/>
  <c r="F101"/>
  <c r="F84"/>
  <c r="F71"/>
  <c r="F72"/>
  <c r="F93"/>
  <c r="F94"/>
  <c r="F87"/>
  <c r="F95"/>
  <c r="F97"/>
  <c r="F78"/>
  <c r="F96"/>
  <c r="F81"/>
  <c r="F86"/>
  <c r="F77"/>
  <c r="F75"/>
  <c r="F74"/>
  <c r="F79"/>
  <c r="F80"/>
  <c r="F76"/>
</calcChain>
</file>

<file path=xl/connections.xml><?xml version="1.0" encoding="utf-8"?>
<connections xmlns="http://schemas.openxmlformats.org/spreadsheetml/2006/main">
  <connection id="1" name="Codex_LPDDR1_200MHz.inc" type="6" refreshedVersion="3" background="1" saveData="1">
    <textPr codePage="932" sourceFile="C:\Documents and Settings\mwilliamson\Desktop\Codex_LPDDR1_200MHz.inc.txt" delimited="0">
      <textFields count="4">
        <textField/>
        <textField position="11"/>
        <textField position="24"/>
        <textField position="34"/>
      </textFields>
    </textPr>
  </connection>
</connections>
</file>

<file path=xl/sharedStrings.xml><?xml version="1.0" encoding="utf-8"?>
<sst xmlns="http://schemas.openxmlformats.org/spreadsheetml/2006/main" count="722" uniqueCount="504">
  <si>
    <t xml:space="preserve">DDR2 CS0 Mode Register MR[2:0]
Holds the Burst Length bitfield of the memory mode register 0 data for chip select 0 written during memory initialization or when the write_modereg parameter is asserted. 
0x010 = 4 (required setting)
0x011 = 8 </t>
  </si>
  <si>
    <t>How to use the DRAM register programming aid outline</t>
  </si>
  <si>
    <t>Step 1. Obtain the desired DRAM data sheet from the DRAM vendor</t>
  </si>
  <si>
    <t>The following are to be completed in the Register Configuration Worksheet tab.</t>
  </si>
  <si>
    <t xml:space="preserve">Step 2. Update the Device Information table to include the DRAM information and system usage </t>
  </si>
  <si>
    <t>Step 4. Go to the RealView .inc file Worksheet tab and copy and paste this into a text document (make sure to rename the document with a “.inc” file ending); this is ready to use with the RealView development system.</t>
  </si>
  <si>
    <t>Step 5. This .inc file can also be used as a reference for other debugger tools and bootloaders.</t>
  </si>
  <si>
    <t>On other tabs, this color indicates the cells that are affected by changes on the Register Configuration tab. Note, this cell shading should not used in this worksheet Register Configuration tab, only in other tabs that are affected by cells in this tab.</t>
    <phoneticPr fontId="1" type="noConversion"/>
  </si>
  <si>
    <t>x16</t>
    <phoneticPr fontId="1" type="noConversion"/>
  </si>
  <si>
    <t>0x00000000</t>
    <phoneticPr fontId="1" type="noConversion"/>
  </si>
  <si>
    <t>The following refers to the RealView .inc file Worksheet tab.  In this tab, the entire DRAM initialization  can be obtained.  This initialization can be used as a RealView include file (see below) or are reference for the bootloader DRAM initialization.</t>
    <phoneticPr fontId="14" type="noConversion"/>
  </si>
  <si>
    <r>
      <t>2</t>
    </r>
    <r>
      <rPr>
        <sz val="10"/>
        <rFont val="Arial"/>
        <family val="2"/>
      </rPr>
      <t>56M</t>
    </r>
    <r>
      <rPr>
        <sz val="10"/>
        <rFont val="Arial"/>
        <family val="2"/>
      </rPr>
      <t>b</t>
    </r>
    <phoneticPr fontId="1" type="noConversion"/>
  </si>
  <si>
    <t>H5PS2562GFR</t>
    <phoneticPr fontId="1" type="noConversion"/>
  </si>
  <si>
    <t>Step 3. Go through the various shaded cells in the spread sheet to update with data from the DRAM sheet (take special note of the “Legend” table to ascertain the meaning of different shaded cells; in many cases, the cells may not need to be updated).</t>
    <phoneticPr fontId="14" type="noConversion"/>
  </si>
  <si>
    <t>0x00010101</t>
    <phoneticPr fontId="1" type="noConversion"/>
  </si>
  <si>
    <t>-</t>
  </si>
  <si>
    <t>Notes</t>
  </si>
  <si>
    <t>TPDEX (tXP)</t>
  </si>
  <si>
    <t>TDAL (tDAL)</t>
  </si>
  <si>
    <t>TCPD (see note)</t>
  </si>
  <si>
    <t>TFAW (tFAW)</t>
  </si>
  <si>
    <t>TDLL</t>
  </si>
  <si>
    <t>TXSR (tXSRD)</t>
  </si>
  <si>
    <t>TXSNR (tXSNR)</t>
  </si>
  <si>
    <t>TRRD (tRRD)</t>
  </si>
  <si>
    <t>TRTP (tRTP)</t>
  </si>
  <si>
    <t>TREF (tREF)</t>
  </si>
  <si>
    <t>TRFC (tRFC)</t>
  </si>
  <si>
    <t>TRP (tRP)</t>
  </si>
  <si>
    <t>TRAS_MAX (tRAS (max))</t>
  </si>
  <si>
    <t>TRAS_MIN (tRAS (min))</t>
  </si>
  <si>
    <t>TRC (tRC)</t>
  </si>
  <si>
    <t>TRCD_INT (tRCD)</t>
  </si>
  <si>
    <t>TINIT (tINIT)</t>
  </si>
  <si>
    <t>TMRD (tMRD)</t>
  </si>
  <si>
    <t>CASLAT_LIN</t>
  </si>
  <si>
    <t>CASLAT_LIN_GATE</t>
  </si>
  <si>
    <t>TWTR (tWTR)</t>
  </si>
  <si>
    <t>TWR_INT (tWR)</t>
  </si>
  <si>
    <t>value from DDR data sheet (ns)</t>
  </si>
  <si>
    <t>TRP_AB (tRPA)</t>
  </si>
  <si>
    <t>CKSRX</t>
  </si>
  <si>
    <t>CKSRE</t>
  </si>
  <si>
    <t>TCKESR</t>
  </si>
  <si>
    <t>MR3_DATA_0</t>
  </si>
  <si>
    <t>TMOD</t>
  </si>
  <si>
    <t>HW_DRAM_CTL16</t>
  </si>
  <si>
    <t>Register name</t>
  </si>
  <si>
    <t>Register value (HEX)</t>
  </si>
  <si>
    <t>00000000</t>
  </si>
  <si>
    <t>APREBIT</t>
  </si>
  <si>
    <t>COLUMN_SIZE</t>
  </si>
  <si>
    <t>ADDR_PINS</t>
  </si>
  <si>
    <t>EIGHT_BANK_MODE</t>
  </si>
  <si>
    <t>CS_MAP</t>
  </si>
  <si>
    <t>Chip Select usage, enter the following:
1 for Chip Select 0
2 for Chip Select 1
3 for both Chip Selects</t>
  </si>
  <si>
    <t>HW_DRAM_CTL39</t>
  </si>
  <si>
    <t>Converted to hex</t>
  </si>
  <si>
    <t>bit setting within register</t>
  </si>
  <si>
    <t>HW_DRAM_CTL29</t>
  </si>
  <si>
    <t>HW_DRAM_CTL31</t>
  </si>
  <si>
    <t>mode register bit settings (binary)</t>
  </si>
  <si>
    <t>PWRUP_SREFRESH_EXIT</t>
  </si>
  <si>
    <t>Memory type:</t>
  </si>
  <si>
    <t>Memory part number:</t>
  </si>
  <si>
    <t>Number of ROW Addresses</t>
  </si>
  <si>
    <t>Number of COLUMN Addresses</t>
  </si>
  <si>
    <t>Number of BANKS</t>
  </si>
  <si>
    <t>//=============================================================================</t>
  </si>
  <si>
    <t>0xffffffff</t>
  </si>
  <si>
    <t>0x00000000</t>
  </si>
  <si>
    <t>0x00000100</t>
  </si>
  <si>
    <t>0x00009c40</t>
  </si>
  <si>
    <t>0x02000000</t>
  </si>
  <si>
    <t>0x01010706</t>
  </si>
  <si>
    <t>0x080b0201</t>
  </si>
  <si>
    <t>0x02000303</t>
  </si>
  <si>
    <t>0x015dc002</t>
  </si>
  <si>
    <t>0x00000606</t>
  </si>
  <si>
    <t>0x06030301</t>
  </si>
  <si>
    <t>0x00000a02</t>
  </si>
  <si>
    <t>0x00000003</t>
  </si>
  <si>
    <t>0x00001401</t>
  </si>
  <si>
    <t>0x00050612</t>
  </si>
  <si>
    <t>0x0018001b</t>
  </si>
  <si>
    <t>0x00010000</t>
  </si>
  <si>
    <t>0x00000002</t>
  </si>
  <si>
    <t>0x00320000</t>
  </si>
  <si>
    <t>0x02400040</t>
  </si>
  <si>
    <t>0x01000000</t>
  </si>
  <si>
    <t>0x0a000100</t>
  </si>
  <si>
    <t>0x01011f1f</t>
  </si>
  <si>
    <t>0x01010101</t>
  </si>
  <si>
    <t>0x00030101</t>
  </si>
  <si>
    <t>0x00000fff</t>
  </si>
  <si>
    <t>0x02020101</t>
  </si>
  <si>
    <t>0x01000202</t>
  </si>
  <si>
    <t>0x00000200</t>
  </si>
  <si>
    <t>0x00000001</t>
  </si>
  <si>
    <t>0x0000ffff</t>
  </si>
  <si>
    <t>0x02020000</t>
  </si>
  <si>
    <t>0x02020202</t>
  </si>
  <si>
    <t>0x00000202</t>
  </si>
  <si>
    <t>0x01010064</t>
  </si>
  <si>
    <t>0x00010101</t>
  </si>
  <si>
    <t>0x00000064</t>
  </si>
  <si>
    <t>0x02000602</t>
  </si>
  <si>
    <t>0x06120000</t>
  </si>
  <si>
    <t>0x06120612</t>
  </si>
  <si>
    <t>0x01030612</t>
  </si>
  <si>
    <t>0x00010002</t>
  </si>
  <si>
    <t>0x00001000</t>
  </si>
  <si>
    <t>wait = on</t>
  </si>
  <si>
    <t>setmem /32</t>
  </si>
  <si>
    <t>// bit[0]: start</t>
  </si>
  <si>
    <t>// DDR Controller Registers</t>
  </si>
  <si>
    <t>Register address (HEX)</t>
  </si>
  <si>
    <t xml:space="preserve">// Density: </t>
  </si>
  <si>
    <t xml:space="preserve">// Row address:    </t>
  </si>
  <si>
    <t xml:space="preserve">// Column address: </t>
  </si>
  <si>
    <t>001</t>
  </si>
  <si>
    <t>010</t>
  </si>
  <si>
    <t>011</t>
  </si>
  <si>
    <t>100</t>
  </si>
  <si>
    <t>101</t>
  </si>
  <si>
    <t>111</t>
  </si>
  <si>
    <t>Binary Setting</t>
  </si>
  <si>
    <t>Non DQS Pad Register value (HEX)</t>
  </si>
  <si>
    <t>Bus Width</t>
  </si>
  <si>
    <t>x16</t>
  </si>
  <si>
    <t xml:space="preserve">// Clock Freq.: </t>
  </si>
  <si>
    <t>// Chip Selects:</t>
  </si>
  <si>
    <t>// Manufacturer:</t>
  </si>
  <si>
    <t>// Device Part Number:</t>
  </si>
  <si>
    <t>// Number of Banks:</t>
  </si>
  <si>
    <t>Clock Cycle Time (ns)</t>
  </si>
  <si>
    <t>Clock Cycle Freq (MHz)</t>
  </si>
  <si>
    <t>Instructions</t>
  </si>
  <si>
    <t>mDDR</t>
  </si>
  <si>
    <t>DDR2</t>
  </si>
  <si>
    <t>Memory timing info:</t>
  </si>
  <si>
    <t>Manufacturer:</t>
  </si>
  <si>
    <t>Original Values (Delete Later)</t>
  </si>
  <si>
    <t xml:space="preserve">i.MX50 EMI controller parameter </t>
  </si>
  <si>
    <t>Difference?</t>
  </si>
  <si>
    <t>HW_DRAM_CTL35</t>
  </si>
  <si>
    <t>HW_DRAM_CTL37</t>
  </si>
  <si>
    <t>HW_DRAM_CTL38</t>
  </si>
  <si>
    <t>HW_DRAM_CTL40</t>
  </si>
  <si>
    <t>HW_DRAM_CTL41</t>
  </si>
  <si>
    <t>HW_DRAM_CTL42</t>
  </si>
  <si>
    <t>HW_DRAM_CTL43</t>
  </si>
  <si>
    <t>HW_DRAM_CTL44</t>
  </si>
  <si>
    <t>HW_DRAM_CTL45</t>
  </si>
  <si>
    <t>Start DRAM Register value (HEX)</t>
  </si>
  <si>
    <t>INITAREF</t>
  </si>
  <si>
    <t>Legend</t>
  </si>
  <si>
    <t>On Register Configuration Tab, this color indicates the bitfields that would commonly require updating.</t>
  </si>
  <si>
    <t>NO_CMD_INIT</t>
  </si>
  <si>
    <t>i.MX DSE</t>
  </si>
  <si>
    <t>000</t>
  </si>
  <si>
    <t>Revision History</t>
  </si>
  <si>
    <t>00</t>
  </si>
  <si>
    <t>01</t>
  </si>
  <si>
    <t>10</t>
  </si>
  <si>
    <t>11</t>
  </si>
  <si>
    <t>On Register Configuration Tab, this color indicates the bitfields that may be updated, but should typically not require it.</t>
  </si>
  <si>
    <t>Four bank activate window</t>
  </si>
  <si>
    <t>This parameter should be entered at the top of the spreadsheet under Device Information. Enter the column addresses from the DDR data sheet above. Shows the difference between the maximum column width available (10) and the actual number of column pins being used. The user address is automatically shifted so that the user address space is mapped contiguously into the memory map based on the value of this parameter</t>
  </si>
  <si>
    <t>This parameter should be entered at the top of the spreadsheet under Device Information. Enter the number of ROW addresses from the DDR data sheet above. Defines the difference between the maximum number of address pins configured (15) and the actual number of pins being used.</t>
  </si>
  <si>
    <t>This parameter should be entered at the top of the spreadsheet under Device Information. Enter number of banks above.
0 = Memory devices have 4 banks.
1 = Memory devices have 8 banks.</t>
  </si>
  <si>
    <t>Assuming write command latency parameter in DDR data sheet (called WL in Elpida and Samsung data sheets); Write latency (WL) is defined by a read latency (RL) minus one and is equal to (AL + CL −1).  AL is not supported in this processor, so just CL (CAS latency) - 1.</t>
  </si>
  <si>
    <t>Defines the DRAM DLL lock time, in cycles. For DDR2 this is normally 200 clock cycles.</t>
  </si>
  <si>
    <t>DRAM TCPD parameter in cycles. DDR data sheet may not have a timing parameter called tCPD, but what this timing specifies is the "wait minimum of 400ns then issue precharge all command" time in the DDR2 initialization.  Per JEDEC, this time should be 400ns.</t>
  </si>
  <si>
    <t xml:space="preserve">DRAM TREF parameter in cycles. This is the auto refresh duty cycle (also called tREFI in some data sheets). This is the maximum time allowed between auto refresh commands to guarantee that a specified number of auto refresh commands are sent with a 64ms time period. The DDR data sheet should specify this parameter in "us" (micro seconds). In some cases, this value may have to be calculated if the DDR data sheet only specifies the number of auto refresh commands in a 64ms time period; in this case, simply take 64ms and divide it by the number of auto refresh commands required in the 64ms time period. When converting this parameter to clock cycles, the actual value itself has been reduced to provide a little more margin (to help ensure that the minimum number of auto refresh commands are provided in the 64ms time period).  </t>
  </si>
  <si>
    <t xml:space="preserve">DRAM TPDEX parameter in cycles. This is the power down exit time. </t>
  </si>
  <si>
    <t>0x00000005</t>
  </si>
  <si>
    <t>MR0_DATA_0 (PD)</t>
  </si>
  <si>
    <t>MR0_DATA_0 (WR)</t>
  </si>
  <si>
    <t>MR0_DATA_0 (DLL)</t>
  </si>
  <si>
    <t>MR0_DATA_0  (TM)</t>
  </si>
  <si>
    <t>MR0_DATA_0 (CAS Latency)</t>
  </si>
  <si>
    <t>MR0_DATA_0 (BT)</t>
  </si>
  <si>
    <t>MR0_DATA_0 (Burst length)</t>
  </si>
  <si>
    <t>MR1_DATA_0 (DLL)</t>
  </si>
  <si>
    <t>MR1_DATA_0 (D.I.C.)</t>
  </si>
  <si>
    <t>MR1_DATA_0 (Additive latency)</t>
  </si>
  <si>
    <t>MR1_DATA_0 (Rtt_0)</t>
  </si>
  <si>
    <t>MR1_DATA_0 (Rtt_1)</t>
  </si>
  <si>
    <t>MR1_DATA_0 (OCD program)</t>
  </si>
  <si>
    <t>MR1_DATA_0 (RDQS)</t>
  </si>
  <si>
    <t>MR1_DATA_0 (Qoff)</t>
  </si>
  <si>
    <t>MR1_DATA_0 (DQS_b)</t>
  </si>
  <si>
    <t>MR2_DATA_0 (SRF)</t>
  </si>
  <si>
    <t>MR0_DATA_1 (PD)</t>
  </si>
  <si>
    <t>MR0_DATA_1 (WR)</t>
  </si>
  <si>
    <t>MR0_DATA_1 (DLL)</t>
  </si>
  <si>
    <t>MR0_DATA_1  (TM)</t>
  </si>
  <si>
    <t>MR0_DATA_1 (CAS Latency)</t>
  </si>
  <si>
    <t>MR0_DATA_1 (BT)</t>
  </si>
  <si>
    <t>MR0_DATA_1 (Burst length)</t>
  </si>
  <si>
    <t>DDR2 CS0 Mode Register MR[12]
Active power down exit time: 0-fast exit; 1-slow exit</t>
  </si>
  <si>
    <t>DDR2 CS0 Mode Register MR[11:9]
Write Recovery in cycles</t>
  </si>
  <si>
    <t>DDR2 CS0 Mode Register MR[8]
DLL Reset: 0-No, 1-Yes</t>
  </si>
  <si>
    <t>DDR2 CS0 Mode Register MR[7]
Test Mode, should be set to 0</t>
  </si>
  <si>
    <t>DDR2 CS0 Mode Register MR[3]
The memory controller does not support interleaving and therefore the BT bit should be cleared to b0.</t>
  </si>
  <si>
    <t>DDR2 CS0 Ext Mode Register 2 EMR2
Note: MR2_DATA_0 controls the DDR2 EMR2 programming. JEDEC defines optional fields for this, but they are not provided here. Always refer to the DDR2 data sheet for complete details on the mode register programming.
DDR2 EMR2[7]
High temperature self refresh rate enable: 0-disable; 1-enable</t>
  </si>
  <si>
    <t>DDR2 CS0 Ext Mode Register 1 EMR1[12]
Holds the Qoff value; set to 0</t>
  </si>
  <si>
    <t>DDR2 CS0 Ext Mode Register 1 EMR1[11] (optional, not all DDR2 have this)
RDQS enable: 0-disable; 1-enable</t>
  </si>
  <si>
    <t>DDR2 CS0 Ext Mode Register 1 EMR1[10]
DQS_b enable: 0-enable; 1-disable</t>
  </si>
  <si>
    <t>DDR2 CS0 Ext Mode Register 1 EMR1[9:7] (optional, not all DDR2 have this)
OCD program; set to 0</t>
  </si>
  <si>
    <t>DDR2 CS0 Ext Mode Register 1 EMR1[6]
Rtt_1 (upper bit field):
Rtt_1 Rtt_0  value
  0       0      ODT disabled
  0       1      75-ohm
  1       0      150-ohm
  1       1      50-ohm</t>
  </si>
  <si>
    <t>DDR2 CS0 Ext Mode Register 1 EMR1[5:3]
Additive latency, set to 0</t>
  </si>
  <si>
    <t>DDR2 CS0 Ext Mode Register 1 EMR1[2]
Rtt_0 (lower bit field):
Rtt_1 Rtt_0  value
  0       0      ODT disabled
  0       1      75-ohm
  1       0      150-ohm
  1       1      50-ohm</t>
  </si>
  <si>
    <t>DDR2 CS0 Ext Mode Register 1 EMR1[1]
Output driver impedance control: 0-Full; 1-Reduced</t>
  </si>
  <si>
    <t>DDR2 CS0 Ext Mode Register 1 EMR1[0]
DLL Enable: 0-enable; 1-disable</t>
  </si>
  <si>
    <t>DDR2 CS0 Ext Mode Register 3 EMR3 
Holds the memory mode register 3 data for chip select 0 written during memory initialization. 
DDR2 EMR3 - reserved, set to 0</t>
  </si>
  <si>
    <t>DDR2 CS1 Mode Register MR[12]
Active power down exit time: 0-fast exit; 1-slow exit</t>
  </si>
  <si>
    <t>DDR2 CS1 Mode Register MR[11:9]
Write Recovery in cycles</t>
  </si>
  <si>
    <t>DDR2 CS1 Mode Register MR[8]
DLL Reset: 0-No, 1-Yes</t>
  </si>
  <si>
    <t>DDR2 CS1 Mode Register MR[7]
Test Mode, should be set to 0</t>
  </si>
  <si>
    <t>DDR2 CS1 Mode Register MR[3]
The memory controller does not support interleaving and therefore the BT bit should be cleared to b0.</t>
  </si>
  <si>
    <t>DDR2 CS1 Ext Mode Register 2 EMR2
Note: MR2_DATA_0 controls the DDR2 EMR2 programming. JEDEC defines optional fields for this, but they are not provided here. Always refer to the DDR2 data sheet for complete details on the mode register programming.
DDR2 EMR2[7]
High temperature self refresh rate enable: 0-disable; 1-enable</t>
  </si>
  <si>
    <t>MR2_DATA_1 (SRF)</t>
  </si>
  <si>
    <t>MR1_DATA_1 (Qoff)</t>
  </si>
  <si>
    <t>MR1_DATA_1 (RDQS)</t>
  </si>
  <si>
    <t>MR1_DATA_1 (DQS_b)</t>
  </si>
  <si>
    <t>MR1_DATA_1 (OCD program)</t>
  </si>
  <si>
    <t>MR1_DATA_1 (Rtt_1)</t>
  </si>
  <si>
    <t>MR1_DATA_1 (Additive latency)</t>
  </si>
  <si>
    <t>MR1_DATA_1 (Rtt_0)</t>
  </si>
  <si>
    <t>MR1_DATA_1 (D.I.C.)</t>
  </si>
  <si>
    <t>MR1_DATA_1 (DLL)</t>
  </si>
  <si>
    <t>DDR2 CS1 Ext Mode Register 1 EMR1[12]
Holds the Qoff value; set to 0</t>
  </si>
  <si>
    <t>DDR2 CS1 Ext Mode Register 1 EMR1[11] (optional, not all DDR2 have this)
RDQS enable: 0-disable; 1-enable</t>
  </si>
  <si>
    <t>DDR2 CS1 Ext Mode Register 1 EMR1[10]
DQS_b enable: 0-enable; 1-disable</t>
  </si>
  <si>
    <t>DDR2 CS1 Ext Mode Register 1 EMR1[9:7] (optional, not all DDR2 have this)
OCD program; set to 0</t>
  </si>
  <si>
    <t>DDR2 CS1 Ext Mode Register 1 EMR1[6]
Rtt_1 (upper bit field):
Rtt_1 Rtt_0  value
  0       0      ODT disabled
  0       1      75-ohm
  1       0      150-ohm
  1       1      50-ohm</t>
  </si>
  <si>
    <t>DDR2 CS1 Ext Mode Register 1 EMR1[5:3]
Additive latency, set to 0</t>
  </si>
  <si>
    <t>DDR2 CS1 Ext Mode Register 1 EMR1[2]
Rtt_0 (lower bit field):
Rtt_1 Rtt_0  value
  0       0      ODT disabled
  0       1      75-ohm
  1       0      150-ohm
  1       1      50-ohm</t>
  </si>
  <si>
    <t>DDR2 CS1 Ext Mode Register 1 EMR1[1]
Output driver impedance control: 0-Full; 1-Reduced</t>
  </si>
  <si>
    <t>DDR2 CS1 Ext Mode Register 1 EMR1[0]
DLL Enable: 0-enable; 1-disable</t>
  </si>
  <si>
    <t>DDR2 CS1 Ext Mode Register 3 EMR3 
Holds the memory mode register 3 data for chip select 0 written during memory initialization. 
DDR2 EMR3 - reserved, set to 0</t>
  </si>
  <si>
    <t>Number of Chip Selects used</t>
  </si>
  <si>
    <t>i.MX28 DRAM Configuration Spreadsheet</t>
  </si>
  <si>
    <t xml:space="preserve">0.1 - Initial 
</t>
  </si>
  <si>
    <t>Clock Cycle or Control Bit Setting</t>
  </si>
  <si>
    <t xml:space="preserve">Shaded cells may require updating per the DRAM memory data sheet parameters. Certain registers should not need to be modified by the user. If a register is not provided then it is assumed this parameter is not to be changed per the provided initialization script or that the register is read-only. Certain registers are provided though they may be noted as recommended to not change. </t>
  </si>
  <si>
    <t>0x800E0040</t>
  </si>
  <si>
    <t>WRITE_MODEREG</t>
  </si>
  <si>
    <t>POWER_DOWN</t>
  </si>
  <si>
    <t>START</t>
  </si>
  <si>
    <t xml:space="preserve">Initiate cmd processing in the controller. This bit should be set only after all of the DDR parameters have been input (last step of the DRAM initialization) </t>
  </si>
  <si>
    <t>Write mode register data to the DRAMs.WRITE-ONLY. Set to 0 for DRAM initialization.</t>
  </si>
  <si>
    <t>Disable clock enable and set DRAMs in power-down state. Set to 0 for DRAM initialization.</t>
  </si>
  <si>
    <t>0x800E0074</t>
  </si>
  <si>
    <t>On Register Configuration Tab, this color indicates the bitfields that are updated automatically from setting provided in the "Device Information" table or other cells, and should not be changed manually</t>
  </si>
  <si>
    <t>Automatically Updated Setting</t>
  </si>
  <si>
    <t>0x800E007C</t>
  </si>
  <si>
    <t>DRIVE_DQ_DQS</t>
  </si>
  <si>
    <t>DQS_N_EN</t>
  </si>
  <si>
    <t>Sets DQ/DQS output enable behavior when controller is idle.
Selects if the DQ output enables and DQS output enables will be driven active when the EMI is in an idle
state.
'b0 = Leave the output enables in their current state when idle.
'b1 = Drive the idle_drive_enable signal high when idle.</t>
  </si>
  <si>
    <t>Set DQS pin as single-ended or differential.
Enables differential data strobe signals from the DRAM. This parameter is only relevant for the DDR PHY.
'b0 = Single-ended DQS signal from the DRAM.
'b1 = Differential DQS signal from the DRAM.</t>
  </si>
  <si>
    <t>0x800E008C</t>
  </si>
  <si>
    <t>0x800E0094</t>
  </si>
  <si>
    <t xml:space="preserve">CASLAT </t>
  </si>
  <si>
    <t>WRLAT</t>
  </si>
  <si>
    <t>TCKE</t>
  </si>
  <si>
    <t>tWR+tRP; Per DDR2 data sheet, this is the autoprecharge write recovery and precharge time. However, MX28 doesn't support autoprecharge, so this parameter has no meaning. Maintain tWR+tRP to align with legacy init scripts.</t>
  </si>
  <si>
    <t>Minimum CKE pulse width.
Defines the minimum CKE pulse width, in cycles.</t>
  </si>
  <si>
    <t>0x800E0098</t>
  </si>
  <si>
    <t>0x800E009C</t>
  </si>
  <si>
    <t>0x800E00A0</t>
  </si>
  <si>
    <t>0x800E00A4</t>
  </si>
  <si>
    <t>0x800E00A8</t>
  </si>
  <si>
    <t>0x800E00AC</t>
  </si>
  <si>
    <t>0x800E00B0</t>
  </si>
  <si>
    <t>DRAM TXSR parameter in cycles. Defines the DRAM time from a self-refresh exit to a command that requires the memory DLL to be locked.</t>
  </si>
  <si>
    <t>0x800E00B4</t>
  </si>
  <si>
    <t>HW_DRAM_CTL164</t>
  </si>
  <si>
    <t>0x800E0290</t>
  </si>
  <si>
    <t>Number of clock cycles after MRS command and before any other command.
Defines the number of cycles of wait time after a mode register write to any non-mode register write command</t>
  </si>
  <si>
    <t>HW_DRAM_CTL177</t>
  </si>
  <si>
    <t>0x800E02C4</t>
  </si>
  <si>
    <t>TCCD</t>
  </si>
  <si>
    <t>DRAM CAS-to-CAS parameter in cycles.
Defines the minimum delay between CAS commands, in cycles. This value is loaded into a counter when
a burst is issued and a new command may be issued when the counter reaches 0.</t>
  </si>
  <si>
    <t xml:space="preserve">DRAM TRP All Bank parameter in cycles.  Some data sheets, like Micron have a "tRPA" parameter, where others like Elpida do not. However, Elpida's data sheet shows in the Power up and Initialization sequence timing diagram, that tRP applies following a precharge all command (such that tRP (all banks) = tRP). </t>
  </si>
  <si>
    <t>HW_DRAM_CTL178</t>
  </si>
  <si>
    <t>0x800E02C8</t>
  </si>
  <si>
    <t>Note, there are other parameters in this register, however, these are not configurable and are set by design, therefore these bits options will not be shown here.</t>
  </si>
  <si>
    <t>DRAM TMRD parameter in cycles. Defines the minimum number of cycles required between two mode register write commands. This is the time required to complete the write operation to the mode register.</t>
  </si>
  <si>
    <t>DRAM TRCD parameter in cycles.  Defines the DRAM RAS to CAS delay, in cycles.</t>
  </si>
  <si>
    <t xml:space="preserve">DRAM TRC parameter in cycles. Defines the DRAM period between active commands for the same bank, in cycles. This is the sum of tRAS+tRP (for tRP, use the all banks parameter, tRP_AB for safer margin)  </t>
  </si>
  <si>
    <t>DRAM TRAS_MAX parameter in cycles. Defines the DRAM maximum row active time, in cycles.</t>
  </si>
  <si>
    <t>DRAM TRAS_MIN parameter in cycles.  Defines the DRAM minimum row activate time, in cycles.</t>
  </si>
  <si>
    <t>DRAM TRP (single bank) parameter in cycles. Defines the DRAM pre-charge command time, in cycles.</t>
  </si>
  <si>
    <t>DRAM TRFC parameter in cycles.  Defines the DRAM refresh command time, in cycles.</t>
  </si>
  <si>
    <t>DRAM TWR parameter in cycles.  Defines the DRAM write recovery time, in cycles.</t>
  </si>
  <si>
    <t>DRAM TRTP parameter in cycles.  For LPDDR1 or DDR2, defines the DRAM tRTP (read to pre-charge time) parameter, in cycles.</t>
  </si>
  <si>
    <t xml:space="preserve">DRAM TRRD parameter in cycles. Defines the DRAM activate to activate delay for different banks, in cycles. </t>
  </si>
  <si>
    <t>DRAM TXSNR parameter in cycles. Defines the DRAM time from a self-refresh exit to a command that does not require the memory DLL to be locked. (txs)</t>
  </si>
  <si>
    <t>DDR2 specific</t>
  </si>
  <si>
    <t>HW_DRAM_CTL181</t>
  </si>
  <si>
    <t>0x800E02D4</t>
  </si>
  <si>
    <t>HW_DRAM_CTL183</t>
  </si>
  <si>
    <t>0x800E02DC</t>
  </si>
  <si>
    <t>HW_DRAM_CTL185</t>
  </si>
  <si>
    <t>0x800E02E4</t>
  </si>
  <si>
    <t>MR3_DATA_1</t>
  </si>
  <si>
    <t>HW_DRAM_CTL187</t>
  </si>
  <si>
    <t>0x800E02EC</t>
  </si>
  <si>
    <t>i.MX28 EMI timing/control parameter (DDR device timing parameter)</t>
  </si>
  <si>
    <t>HW_PINCTRL_EMI_DS_CTRL</t>
  </si>
  <si>
    <t>0x80019B80</t>
  </si>
  <si>
    <t>DRAM Drive Strength or Register Bit Field Description</t>
  </si>
  <si>
    <t>DDR_MODE</t>
  </si>
  <si>
    <t>ADDRESS_MA</t>
  </si>
  <si>
    <t>CONTROL_MA</t>
  </si>
  <si>
    <t>DUALPAD_MA</t>
  </si>
  <si>
    <t>SLICE3_MA</t>
  </si>
  <si>
    <t>SLICE2_MA</t>
  </si>
  <si>
    <t>SLICE1_MA</t>
  </si>
  <si>
    <t>SLICE0_MA</t>
  </si>
  <si>
    <t>set working mode for EMI pads, default is DDR2 mode:
00 mDDR — mDDR(LPDDR1) mode
01 DISABLED — low power suspend mode, in which EMI pads are disabled
10 LVDDR2 — LVDDR2 mode
11 DDR2 — DDR2 mode</t>
  </si>
  <si>
    <t>Pin output drive strength selection for the EMI address signals:
00= 5 mA;
01= 10 mA;
10= 20 mA;
11= Reserved;</t>
  </si>
  <si>
    <t>Pin output drive strength selection for the EMI control signals:
00= 5 mA;
01= 10 mA;
10= 20 mA;
11= Reserved;</t>
  </si>
  <si>
    <t>Pin output drive strength selection for the dual pads (CLK/CLKN and DQS/DQSN):
00= 5 mA;
01= 10 mA;
10= 20 mA;
11= Reserved;</t>
  </si>
  <si>
    <t>Pin output drive strength selection for Data SLICE 1 (D[15:8]):
00= 5 mA;
01= 10 mA;
10= 20 mA;
11= Reserved;</t>
  </si>
  <si>
    <t>Pin output drive strength selection for Data SLICE 0 (D[7:0]):
00= 5 mA;
01= 10 mA;
10= 20 mA;
11= Reserved;</t>
  </si>
  <si>
    <t>SLICE 3 is not supported in MX28; however, to maintain compatibility with older initialization scripts, set this to be equal to Slice 1 and Slice 0. This has no effect on the operation of the DRAM interface.</t>
  </si>
  <si>
    <t>SLICE 2 is not supported in MX28; however, to maintain compatibility with older initialization scripts, set this to be equal to Slice 1 and Slice 0. This has no effect on the operation of the DRAM interface.</t>
  </si>
  <si>
    <t>0x80019B80 =</t>
  </si>
  <si>
    <t>//****************************</t>
  </si>
  <si>
    <t>// EMI PAD setting</t>
  </si>
  <si>
    <t>// Set up drive strength for EMI pins</t>
  </si>
  <si>
    <t>// Set up pin muxing for EMI, HW_PINCTRL_MUXSEL10, 11, 12, 13</t>
  </si>
  <si>
    <t>0x800181A8=</t>
  </si>
  <si>
    <t>0x800181B8=</t>
  </si>
  <si>
    <t>0x800181C8=</t>
  </si>
  <si>
    <t>0x800181D8=</t>
  </si>
  <si>
    <t>0xFFFFFFFF</t>
  </si>
  <si>
    <t>//init script for i.MX28 DDR2</t>
  </si>
  <si>
    <t xml:space="preserve">Mode Register programming aid - note, the examples given below illustrate how to set up CS0 and CS1. If the targeted system only has memory on CS0, then no need to program CS1, however, there is no harm in keeping the CS1 mode register programming.  </t>
  </si>
  <si>
    <t>// VDDD setting</t>
  </si>
  <si>
    <t>//set VDDD =1.55V =(0.8v + TRIG x 0.025v), TRIG=0x1e</t>
  </si>
  <si>
    <t>// CLOCK set up</t>
  </si>
  <si>
    <t>// Power up PLL0 HW_CLKCTRL_PLL0CTRL0</t>
  </si>
  <si>
    <t>// Set up fractional dividers for CPU and EMI - HW_CLKCTRL_FRAC0</t>
  </si>
  <si>
    <t>// EMI - first set DIV_EMI to div-by-2 before programming frac divider</t>
  </si>
  <si>
    <t>// CPU: CPUFRAC=19 480*18/29=454.7MHz, EMI: EMIFRAC=22, (480/2)*18/22=196.4MHz</t>
  </si>
  <si>
    <t>// Clear the bypass bits for CPU and EMI clocks in HW_CLKCTRL_CLKSEQ_CLR</t>
  </si>
  <si>
    <t>// HCLK = 227MHz,HW_CLKCTRL_HBUS DIV =0x2</t>
  </si>
  <si>
    <t>// POWER up DCDD_VDDA (DDR2)</t>
  </si>
  <si>
    <t>// Now set the voltage level to 1.8V HW_POWER_VDDACTRL bits TRC=0xC</t>
  </si>
  <si>
    <t>// DDR2 DCDD_VDDA</t>
  </si>
  <si>
    <t xml:space="preserve">// First set up pin muxing and drive strength </t>
  </si>
  <si>
    <t>// Ungate module clock and bring out of reset HW_PINCTRL_CTRL_CLR</t>
  </si>
  <si>
    <t xml:space="preserve">setmem /32 </t>
  </si>
  <si>
    <t>0x80044010=</t>
  </si>
  <si>
    <t>0x80044040=</t>
  </si>
  <si>
    <t>0x0003F503</t>
  </si>
  <si>
    <t>0x0002041E</t>
  </si>
  <si>
    <t>0x80040000=</t>
  </si>
  <si>
    <t>0x800400F0 =</t>
  </si>
  <si>
    <t>0x00020000</t>
  </si>
  <si>
    <t>0x80000002</t>
  </si>
  <si>
    <t>0x800401B0=</t>
  </si>
  <si>
    <t>0x92921613</t>
  </si>
  <si>
    <t>0x800401D8=</t>
  </si>
  <si>
    <t>0x00040080</t>
  </si>
  <si>
    <t>0x80040060=</t>
  </si>
  <si>
    <t>0x80044050=</t>
  </si>
  <si>
    <t>0x0000270C</t>
  </si>
  <si>
    <t>0x80018008=</t>
  </si>
  <si>
    <t>0xC0000000</t>
  </si>
  <si>
    <t>0x800E0000=</t>
  </si>
  <si>
    <t>0x800E0040=</t>
  </si>
  <si>
    <t>0x800E0054=</t>
  </si>
  <si>
    <t>0x800E0058=</t>
  </si>
  <si>
    <t>0x800E005C=</t>
  </si>
  <si>
    <t>0x800E0060=</t>
  </si>
  <si>
    <t>0x800E0064=</t>
  </si>
  <si>
    <t>0x800E0068=</t>
  </si>
  <si>
    <t>0x800E006C=</t>
  </si>
  <si>
    <t>0x800E0070=</t>
  </si>
  <si>
    <t>0x800E0074=</t>
  </si>
  <si>
    <t>0x800E007C=</t>
  </si>
  <si>
    <t>0x800E0080=</t>
  </si>
  <si>
    <t>0x800E0084=</t>
  </si>
  <si>
    <t>0x800E0088=</t>
  </si>
  <si>
    <t>0x800E008C=</t>
  </si>
  <si>
    <t>0x800E0090=</t>
  </si>
  <si>
    <t>0x800E0094=</t>
  </si>
  <si>
    <t>0x800E0098=</t>
  </si>
  <si>
    <t>0x800E009C=</t>
  </si>
  <si>
    <t>0x800E00A0=</t>
  </si>
  <si>
    <t>0x800E00A4=</t>
  </si>
  <si>
    <t>0x800E00A8=</t>
  </si>
  <si>
    <t>0x800E00AC=</t>
  </si>
  <si>
    <t>0x800E00B0=</t>
  </si>
  <si>
    <t>0x800E00B4=</t>
  </si>
  <si>
    <t>0x800E00C0=</t>
  </si>
  <si>
    <t>0x800E00C4=</t>
  </si>
  <si>
    <t>0x800E00C8=</t>
  </si>
  <si>
    <t>0x800E00CC=</t>
  </si>
  <si>
    <t>0x800E00D0=</t>
  </si>
  <si>
    <t>0x800E00D4=</t>
  </si>
  <si>
    <t>0x800E00D8=</t>
  </si>
  <si>
    <t>0x800E00DC=</t>
  </si>
  <si>
    <t>0x800E00E0=</t>
  </si>
  <si>
    <t>0x800E00E8=</t>
  </si>
  <si>
    <t>0x800E0108=</t>
  </si>
  <si>
    <t>0x800E010C=</t>
  </si>
  <si>
    <t>0x800E0114=</t>
  </si>
  <si>
    <t>0x800E0118=</t>
  </si>
  <si>
    <t>0x800E011C=</t>
  </si>
  <si>
    <t>0x800E0120=</t>
  </si>
  <si>
    <t>0x800E012C=</t>
  </si>
  <si>
    <t>0x800E0130=</t>
  </si>
  <si>
    <t>0x800E013C=</t>
  </si>
  <si>
    <t>0x800E0140=</t>
  </si>
  <si>
    <t>0x800E0144=</t>
  </si>
  <si>
    <t>0x800E0148=</t>
  </si>
  <si>
    <t>0x800E014C=</t>
  </si>
  <si>
    <t>0x800E0150=</t>
  </si>
  <si>
    <t>0x800E0154=</t>
  </si>
  <si>
    <t>0x800E015C=</t>
  </si>
  <si>
    <t>0x800E0160=</t>
  </si>
  <si>
    <t>0x800E016C=</t>
  </si>
  <si>
    <t>0x800E0170=</t>
  </si>
  <si>
    <t>0x800E0288=</t>
  </si>
  <si>
    <t>0x800E028C=</t>
  </si>
  <si>
    <t>0x800E0290=</t>
  </si>
  <si>
    <t>0x800E02AC=</t>
  </si>
  <si>
    <t>0x800E02B0=</t>
  </si>
  <si>
    <t>0x800E02B4=</t>
  </si>
  <si>
    <t>0x800E02B8=</t>
  </si>
  <si>
    <t>0x800E02BC=</t>
  </si>
  <si>
    <t>0x800E02C0=</t>
  </si>
  <si>
    <t>0x800E02C4=</t>
  </si>
  <si>
    <t>0x800E02C8=</t>
  </si>
  <si>
    <t>0x800E02CC=</t>
  </si>
  <si>
    <t>0x800E02D0=</t>
  </si>
  <si>
    <t>0x800E02D4=</t>
  </si>
  <si>
    <t>0x800E02D8=</t>
  </si>
  <si>
    <t>0x800E02DC=</t>
  </si>
  <si>
    <t>0x800E02E0=</t>
  </si>
  <si>
    <t>0x800E02E4=</t>
  </si>
  <si>
    <t>0x800E02E8=</t>
  </si>
  <si>
    <t>0x800E02EC=</t>
  </si>
  <si>
    <t>0x800E02F0=</t>
  </si>
  <si>
    <t>0x800E02F4=</t>
  </si>
  <si>
    <t>// Mode register 0 for CS2 and CS3, not supported in this processor</t>
  </si>
  <si>
    <t>// Mode register 1 for CS2 and CS3, not supported in this processor</t>
  </si>
  <si>
    <t>// Mode register 0 for CS1 and CS0, ok to program CS1 even if not used</t>
  </si>
  <si>
    <t>// Mode register 1 for CS1 and CS0, ok to program CS1 even if not used</t>
  </si>
  <si>
    <t>// Mode register 2 for CS1 and CS0, ok to program CS1 even if not used</t>
  </si>
  <si>
    <t>//**  start controller **//</t>
  </si>
  <si>
    <t>//** Ungate EMI clock in CCM</t>
  </si>
  <si>
    <t>setmem /32 0x800400F0 = 0x00000002</t>
  </si>
  <si>
    <t>0x000f0f01</t>
  </si>
  <si>
    <t>0x01010000</t>
  </si>
  <si>
    <t>0x00011900</t>
  </si>
  <si>
    <t>0xffff0303</t>
  </si>
  <si>
    <t>0x00012100</t>
  </si>
  <si>
    <t>0x00000612</t>
  </si>
  <si>
    <t>0x01000f02</t>
  </si>
  <si>
    <t>0x00020007</t>
  </si>
  <si>
    <t>0xf4004a27</t>
  </si>
  <si>
    <t>0x07400300</t>
  </si>
  <si>
    <t>0x01020408</t>
  </si>
  <si>
    <t>0x08040201</t>
  </si>
  <si>
    <t>0x000f1133</t>
  </si>
  <si>
    <t>0x00001f04</t>
  </si>
  <si>
    <t>0x00030404</t>
  </si>
  <si>
    <t>0x03030000</t>
  </si>
  <si>
    <t>0x00010303</t>
  </si>
  <si>
    <t>0x01020202</t>
  </si>
  <si>
    <t>0x00061200</t>
  </si>
  <si>
    <t>Adjusts data capture gate open by half cycles. Recommend to keep the value provided here.  Following are the bit settings for this field:
0x0-0x1 = Reserved
0x2 = 1 cycle
0x3 = 1.5 cycles
0x4 = 2 cycles
0x5 = 2.5 cycles
0x6 = 3 cycles
0x7 = 3.5 cycles
0x8 = 4 cycles
0x9 = 4.5 cycles
0xA = 5 cycles
0xB = 5.5 cycles
0xC = 6 cycles
0xD = 6.5 cycles
0xE = 7 cycles
0xF = 7.5 cycles</t>
  </si>
  <si>
    <r>
      <t xml:space="preserve">Allow powerup through self-refresh instead of full memory initialization. </t>
    </r>
    <r>
      <rPr>
        <i/>
        <sz val="10"/>
        <color indexed="8"/>
        <rFont val="Arial"/>
        <family val="2"/>
      </rPr>
      <t>Recommend to keep as 0.</t>
    </r>
  </si>
  <si>
    <r>
      <t xml:space="preserve">Disable DRAM cmds until TDLL has expired during initialization. </t>
    </r>
    <r>
      <rPr>
        <i/>
        <sz val="10"/>
        <color indexed="8"/>
        <rFont val="Arial"/>
        <family val="2"/>
      </rPr>
      <t>Recommend to keep as 0.</t>
    </r>
  </si>
  <si>
    <t>Total DRAM Density:</t>
  </si>
  <si>
    <t>On Register Configuration Tab, an unshaded cell means that the value should remain as is and should not be modified. In these cases, the settings are provided for completeness.</t>
  </si>
  <si>
    <r>
      <t xml:space="preserve">Defines the location of the auto precharge bit in the DRAM address in decimal encoding. </t>
    </r>
    <r>
      <rPr>
        <i/>
        <sz val="10"/>
        <rFont val="Arial"/>
        <family val="2"/>
      </rPr>
      <t>This parameter should not need to be changed.</t>
    </r>
  </si>
  <si>
    <r>
      <t>INITAREF is the number of auto-refresh commands needed by the DRAM devices to satisfy the initialization sequence.</t>
    </r>
    <r>
      <rPr>
        <i/>
        <sz val="10"/>
        <color indexed="8"/>
        <rFont val="Arial"/>
        <family val="2"/>
      </rPr>
      <t xml:space="preserve"> This parameter should not need to be changed. </t>
    </r>
  </si>
  <si>
    <r>
      <t>DDR data sheet does not have a tINIT parameter however, this timing specifies the wait time after stable power up and stable clock before raising CKE high. JEDEC recommends waiting a minimum of 200us.</t>
    </r>
    <r>
      <rPr>
        <i/>
        <sz val="10"/>
        <color indexed="8"/>
        <rFont val="Arial"/>
        <family val="2"/>
      </rPr>
      <t xml:space="preserve"> No need to change this parameter.</t>
    </r>
  </si>
  <si>
    <t>DRAM TWTR parameter in cycles. Sets the number of cycles needed to switch from a write to a read operation, as dictated by the DDR SDRAM specification.</t>
  </si>
  <si>
    <t>Clock hold delay on self-refresh entry.
Sets the number of cycles to hold the clock stable after entering self-refresh mode. The clock will run for a minimum of cksre cycles after CKE falls. DRAM data sheet may not have a specific timing parameter for this, so recommend 3 tCK (clock cycle).</t>
  </si>
  <si>
    <t>Clock stable delay on self-refresh exit.
Sets the number of cycles to hold the clock stable before exiting self-refresh mode. The clock will run for a minimum of cksrx cycles before CKE rises. DRAM data sheet may not have a specific timing parameter for this, so recommend 3 tCK (clock cycle).</t>
  </si>
  <si>
    <t>Minimum CKE low pulse width during a self-refresh.
Defines the minimum number of cycles that CKE must be held low during self-refresh. pulse width, in cycles.
If the memory specification does not define a tckesr, then the tckesr parameter should be programmed with the tcke value. DRAM data sheet may not have a specific timing parameter for this, so recommend 3 tCK (clock cycle).</t>
  </si>
  <si>
    <t>Encoded CAS latency sent to DRAMs during initialization. Simply set to same value as CASLAT_LIN.
0x1 - CAS=1 cycle (not a valid setting)
0x2 - CAS=2 cycles (most likely not a valid setting)
0x3 - CAS=3 cycles (a valid setting, but see below)
0x4 - CAS=4 cycles (a valid setting, recommended by design as this provides the best stability and performance)</t>
  </si>
  <si>
    <t>Sets the MX28 internal adjustment for CAS latency. Recommend to make the number of cycles equal to CASLAT. For example, if CASLAT=0x4 (which is 4 cycles), set CASLAT_LIN to 0x8 (which is also 4 cycles).
0x0-0x1 = Reserved
0x2 = 1 cycle
0x3 = 1.5 cycles
0x4 = 2 cycles
0x5 = 2.5 cycles
0x6 = 3 cycles
0x7 = 3.5 cycles
0x8 = 4 cycles  (recommended by design as this provides the best stability and performance)
0x9 = 4.5 cycles
0xA = 5 cycles
0xB = 5.5 cycles
0xC = 6 cycles
0xD = 6.5 cycles
0xE = 7 cycles
0xF = 7.5 cycles</t>
  </si>
  <si>
    <t>DDR2 CS1 Mode Register MR[6:4]
Holds the CAS latency bitfield of the memory mode register 0 data for chip select 0 written during memory initialization or when the write_modereg parameter is asserted. 
0 0 0 - Reserved
0 0 1 - Reserved
0 1 0 - 2 
0 1 1 - 3 
1 0 0 - 4 (recommended by design as this provides the best stability and performance; make sure to sync this with CASLAT in MX28 HW_DRAM_CTL37)
1 0 1 - 5 
1 1 0 - 6 
1 1 1 - Reserved</t>
  </si>
  <si>
    <t>DDR2 CS0 Mode Register MR[6:4]
Holds the CAS latency bitfield of the memory mode register 0 data for chip select 0 written during memory initialization or when the write_modereg parameter is asserted. 
0 0 0 - Reserved
0 0 1 - Reserved
0 1 0 - 2 
0 1 1 - 3 
1 0 0 - 4 (recommended by design as this provides the best stability and performance; make sure to sync this with CASLAT in MX28 HW_DRAM_CTL37)
1 0 1 - 5 
1 1 0 - 6 
1 1 1 - Reserved</t>
  </si>
  <si>
    <t>The drive strengths provided here are examples and were found to work on the tested development system.  However, these may need to be tuned for the targeted system if the interface is unstable.</t>
  </si>
  <si>
    <t xml:space="preserve">DDR2 CS1 Mode Register MR[2:0]
Holds the Burst Length bitfield of the memory mode register 0 data for chip select 0 written during memory initialization or when the write_modereg parameter is asserted. 
0x010 = 4 (required setting)
0x011 = 8 </t>
  </si>
  <si>
    <t>// Mode register 3 for CS2 and CS3, not supported in this processor</t>
    <phoneticPr fontId="1" type="noConversion"/>
  </si>
  <si>
    <t>// Mode register 3 for CS1 and CS0, ok to program CS1 even if not used</t>
    <phoneticPr fontId="1" type="noConversion"/>
  </si>
  <si>
    <t>// Mode register 2 for CS2 and CS3, not supported in this processor</t>
    <phoneticPr fontId="1" type="noConversion"/>
  </si>
  <si>
    <t>Device Information</t>
    <phoneticPr fontId="1" type="noConversion"/>
  </si>
  <si>
    <t>DDR2</t>
    <phoneticPr fontId="1" type="noConversion"/>
  </si>
  <si>
    <r>
      <t>S</t>
    </r>
    <r>
      <rPr>
        <sz val="10"/>
        <rFont val="Arial"/>
        <family val="2"/>
      </rPr>
      <t>K hynix</t>
    </r>
    <phoneticPr fontId="1" type="noConversion"/>
  </si>
  <si>
    <r>
      <t>2</t>
    </r>
    <r>
      <rPr>
        <sz val="10"/>
        <rFont val="Arial"/>
        <family val="2"/>
      </rPr>
      <t>.5</t>
    </r>
    <r>
      <rPr>
        <sz val="10"/>
        <rFont val="Arial"/>
        <family val="2"/>
      </rPr>
      <t>ns</t>
    </r>
    <phoneticPr fontId="1" type="noConversion"/>
  </si>
</sst>
</file>

<file path=xl/styles.xml><?xml version="1.0" encoding="utf-8"?>
<styleSheet xmlns="http://schemas.openxmlformats.org/spreadsheetml/2006/main">
  <fonts count="19">
    <font>
      <sz val="10"/>
      <name val="Arial"/>
      <family val="2"/>
    </font>
    <font>
      <sz val="8"/>
      <name val="Arial"/>
      <family val="2"/>
    </font>
    <font>
      <b/>
      <sz val="10"/>
      <name val="Arial"/>
      <family val="2"/>
    </font>
    <font>
      <sz val="10"/>
      <name val="Arial"/>
      <family val="2"/>
    </font>
    <font>
      <b/>
      <sz val="12"/>
      <name val="Arial"/>
      <family val="2"/>
    </font>
    <font>
      <b/>
      <sz val="24"/>
      <name val="Arial"/>
      <family val="2"/>
    </font>
    <font>
      <b/>
      <sz val="28"/>
      <name val="Arial"/>
      <family val="2"/>
    </font>
    <font>
      <b/>
      <sz val="10"/>
      <color indexed="8"/>
      <name val="Arial"/>
      <family val="2"/>
    </font>
    <font>
      <sz val="10"/>
      <color indexed="8"/>
      <name val="Arial"/>
      <family val="2"/>
    </font>
    <font>
      <sz val="11"/>
      <name val="宋体"/>
      <charset val="134"/>
    </font>
    <font>
      <b/>
      <sz val="16"/>
      <name val="Arial"/>
      <family val="2"/>
    </font>
    <font>
      <i/>
      <sz val="10"/>
      <color indexed="8"/>
      <name val="Arial"/>
      <family val="2"/>
    </font>
    <font>
      <i/>
      <sz val="10"/>
      <name val="Arial"/>
      <family val="2"/>
    </font>
    <font>
      <sz val="11"/>
      <name val="Calibri"/>
      <family val="2"/>
    </font>
    <font>
      <sz val="9"/>
      <name val="宋体"/>
      <charset val="134"/>
    </font>
    <font>
      <b/>
      <sz val="10"/>
      <color indexed="10"/>
      <name val="Arial"/>
      <family val="2"/>
    </font>
    <font>
      <b/>
      <sz val="10"/>
      <color indexed="12"/>
      <name val="Arial"/>
      <family val="2"/>
    </font>
    <font>
      <b/>
      <sz val="11"/>
      <color rgb="FFFA7D00"/>
      <name val="宋体"/>
      <charset val="134"/>
      <scheme val="minor"/>
    </font>
    <font>
      <sz val="11"/>
      <color rgb="FF3F3F76"/>
      <name val="宋体"/>
      <charset val="134"/>
      <scheme val="minor"/>
    </font>
  </fonts>
  <fills count="12">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44"/>
        <bgColor indexed="64"/>
      </patternFill>
    </fill>
    <fill>
      <patternFill patternType="solid">
        <fgColor indexed="30"/>
        <bgColor indexed="64"/>
      </patternFill>
    </fill>
    <fill>
      <patternFill patternType="solid">
        <fgColor indexed="11"/>
        <bgColor indexed="64"/>
      </patternFill>
    </fill>
    <fill>
      <patternFill patternType="solid">
        <fgColor indexed="52"/>
        <bgColor indexed="64"/>
      </patternFill>
    </fill>
    <fill>
      <patternFill patternType="solid">
        <fgColor indexed="55"/>
        <bgColor indexed="64"/>
      </patternFill>
    </fill>
    <fill>
      <patternFill patternType="solid">
        <fgColor indexed="51"/>
        <bgColor indexed="64"/>
      </patternFill>
    </fill>
    <fill>
      <patternFill patternType="solid">
        <fgColor rgb="FFF2F2F2"/>
      </patternFill>
    </fill>
    <fill>
      <patternFill patternType="solid">
        <fgColor rgb="FFFFCC99"/>
      </patternFill>
    </fill>
  </fills>
  <borders count="61">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23"/>
      </left>
      <right style="thin">
        <color indexed="23"/>
      </right>
      <top style="thin">
        <color indexed="23"/>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23"/>
      </left>
      <right style="thin">
        <color indexed="23"/>
      </right>
      <top style="medium">
        <color indexed="64"/>
      </top>
      <bottom style="thin">
        <color indexed="23"/>
      </bottom>
      <diagonal/>
    </border>
    <border>
      <left style="medium">
        <color indexed="64"/>
      </left>
      <right style="thin">
        <color indexed="64"/>
      </right>
      <top/>
      <bottom style="medium">
        <color indexed="64"/>
      </bottom>
      <diagonal/>
    </border>
    <border>
      <left style="thin">
        <color indexed="23"/>
      </left>
      <right style="medium">
        <color indexed="64"/>
      </right>
      <top style="thin">
        <color indexed="23"/>
      </top>
      <bottom style="thin">
        <color indexed="23"/>
      </bottom>
      <diagonal/>
    </border>
    <border>
      <left style="thin">
        <color indexed="23"/>
      </left>
      <right style="thin">
        <color indexed="23"/>
      </right>
      <top style="thin">
        <color indexed="23"/>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23"/>
      </top>
      <bottom/>
      <diagonal/>
    </border>
    <border>
      <left style="thin">
        <color indexed="23"/>
      </left>
      <right style="medium">
        <color indexed="64"/>
      </right>
      <top style="thin">
        <color indexed="23"/>
      </top>
      <bottom style="medium">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7" fillId="10" borderId="60" applyNumberFormat="0" applyAlignment="0" applyProtection="0"/>
    <xf numFmtId="0" fontId="18" fillId="11" borderId="60" applyNumberFormat="0" applyAlignment="0" applyProtection="0"/>
  </cellStyleXfs>
  <cellXfs count="330">
    <xf numFmtId="0" fontId="0" fillId="0" borderId="0" xfId="0"/>
    <xf numFmtId="0" fontId="0" fillId="0" borderId="0" xfId="0" applyAlignment="1">
      <alignment horizontal="center"/>
    </xf>
    <xf numFmtId="0" fontId="0" fillId="0" borderId="2" xfId="0" applyBorder="1" applyAlignment="1">
      <alignment horizontal="center"/>
    </xf>
    <xf numFmtId="0" fontId="2" fillId="0" borderId="3" xfId="0" applyFont="1" applyBorder="1" applyAlignment="1">
      <alignment horizontal="center" wrapText="1"/>
    </xf>
    <xf numFmtId="0" fontId="0" fillId="0" borderId="0" xfId="0" applyAlignment="1">
      <alignment horizontal="left"/>
    </xf>
    <xf numFmtId="0" fontId="3" fillId="0" borderId="0" xfId="0" applyFont="1"/>
    <xf numFmtId="0" fontId="3" fillId="0" borderId="2" xfId="0" applyFont="1" applyBorder="1" applyAlignment="1">
      <alignment horizontal="center" wrapText="1"/>
    </xf>
    <xf numFmtId="0" fontId="2" fillId="0" borderId="4" xfId="0" applyFont="1" applyBorder="1" applyAlignment="1">
      <alignment horizontal="center"/>
    </xf>
    <xf numFmtId="0" fontId="2" fillId="0" borderId="3" xfId="0" applyFont="1" applyFill="1" applyBorder="1" applyAlignment="1">
      <alignment horizontal="center" wrapText="1"/>
    </xf>
    <xf numFmtId="0" fontId="3" fillId="0" borderId="2" xfId="0" applyFont="1" applyBorder="1" applyAlignment="1">
      <alignment wrapText="1"/>
    </xf>
    <xf numFmtId="0" fontId="3" fillId="0" borderId="2" xfId="0" quotePrefix="1" applyFont="1" applyBorder="1" applyAlignment="1">
      <alignment horizontal="center"/>
    </xf>
    <xf numFmtId="0" fontId="3" fillId="0" borderId="2" xfId="0" applyFont="1" applyBorder="1" applyAlignment="1">
      <alignment horizontal="left" wrapText="1"/>
    </xf>
    <xf numFmtId="0" fontId="3" fillId="0" borderId="5" xfId="0" applyFont="1" applyBorder="1" applyAlignment="1">
      <alignment horizontal="left" wrapText="1"/>
    </xf>
    <xf numFmtId="0" fontId="0" fillId="2" borderId="0" xfId="0" applyFill="1"/>
    <xf numFmtId="0" fontId="0" fillId="0" borderId="0" xfId="0" applyFill="1"/>
    <xf numFmtId="0" fontId="0" fillId="0" borderId="0" xfId="0" quotePrefix="1"/>
    <xf numFmtId="0" fontId="0" fillId="0" borderId="0" xfId="0" applyAlignment="1">
      <alignment horizontal="center" vertical="center" wrapText="1"/>
    </xf>
    <xf numFmtId="0" fontId="0" fillId="2" borderId="0" xfId="0" applyFill="1" applyAlignment="1">
      <alignment horizontal="left"/>
    </xf>
    <xf numFmtId="0" fontId="0" fillId="3" borderId="0" xfId="0" applyFill="1"/>
    <xf numFmtId="0" fontId="2" fillId="3" borderId="0" xfId="0" applyFont="1" applyFill="1"/>
    <xf numFmtId="0" fontId="5" fillId="3" borderId="0" xfId="0" applyFont="1" applyFill="1"/>
    <xf numFmtId="0" fontId="5" fillId="0" borderId="0" xfId="0" applyFont="1"/>
    <xf numFmtId="0" fontId="6" fillId="3" borderId="0" xfId="0" applyFont="1" applyFill="1"/>
    <xf numFmtId="0" fontId="0" fillId="3" borderId="0" xfId="0" applyFill="1" applyAlignment="1">
      <alignment horizontal="center" vertical="center" wrapText="1"/>
    </xf>
    <xf numFmtId="0" fontId="0" fillId="3" borderId="0" xfId="0" applyFill="1" applyAlignment="1">
      <alignment horizontal="center"/>
    </xf>
    <xf numFmtId="0" fontId="0" fillId="3" borderId="0" xfId="0" applyFill="1" applyAlignment="1">
      <alignment horizontal="left"/>
    </xf>
    <xf numFmtId="0" fontId="5" fillId="3" borderId="0" xfId="0" applyFont="1" applyFill="1" applyAlignment="1">
      <alignment horizontal="left"/>
    </xf>
    <xf numFmtId="0" fontId="2" fillId="0" borderId="4" xfId="0" applyFont="1" applyFill="1" applyBorder="1" applyAlignment="1">
      <alignment horizontal="left" wrapText="1"/>
    </xf>
    <xf numFmtId="0" fontId="7" fillId="0" borderId="3" xfId="0" applyFont="1" applyBorder="1" applyAlignment="1">
      <alignment horizontal="center" wrapText="1"/>
    </xf>
    <xf numFmtId="0" fontId="7" fillId="0" borderId="4" xfId="0" applyFont="1" applyBorder="1" applyAlignment="1">
      <alignment horizontal="center"/>
    </xf>
    <xf numFmtId="0" fontId="7" fillId="0" borderId="4" xfId="0" applyFont="1" applyFill="1" applyBorder="1" applyAlignment="1">
      <alignment horizontal="left" wrapText="1"/>
    </xf>
    <xf numFmtId="0" fontId="7" fillId="0" borderId="3" xfId="0" applyFont="1" applyFill="1" applyBorder="1" applyAlignment="1">
      <alignment horizontal="center" wrapText="1"/>
    </xf>
    <xf numFmtId="0" fontId="8" fillId="0" borderId="2" xfId="0" applyFont="1" applyBorder="1" applyAlignment="1">
      <alignment horizontal="center" wrapText="1"/>
    </xf>
    <xf numFmtId="0" fontId="8" fillId="0" borderId="2" xfId="0" applyFont="1" applyBorder="1" applyAlignment="1">
      <alignment horizontal="center"/>
    </xf>
    <xf numFmtId="0" fontId="8" fillId="0" borderId="2" xfId="0" applyFont="1" applyBorder="1" applyAlignment="1">
      <alignment wrapText="1"/>
    </xf>
    <xf numFmtId="0" fontId="8" fillId="3" borderId="0" xfId="0" applyFont="1" applyFill="1"/>
    <xf numFmtId="0" fontId="8" fillId="11" borderId="2" xfId="2" applyFont="1" applyBorder="1" applyAlignment="1">
      <alignment horizontal="center" wrapText="1"/>
    </xf>
    <xf numFmtId="0" fontId="8" fillId="0" borderId="2" xfId="0" applyFont="1" applyFill="1" applyBorder="1" applyAlignment="1">
      <alignment horizontal="center" wrapText="1"/>
    </xf>
    <xf numFmtId="0" fontId="8" fillId="0" borderId="2" xfId="0" quotePrefix="1" applyFont="1" applyFill="1" applyBorder="1" applyAlignment="1">
      <alignment horizontal="center" wrapText="1"/>
    </xf>
    <xf numFmtId="0" fontId="0" fillId="4" borderId="0" xfId="0" applyFill="1" applyAlignment="1">
      <alignment horizontal="center"/>
    </xf>
    <xf numFmtId="0" fontId="3" fillId="5" borderId="0" xfId="0" applyFont="1" applyFill="1" applyAlignment="1">
      <alignment horizontal="center"/>
    </xf>
    <xf numFmtId="0" fontId="0" fillId="5" borderId="0" xfId="0" applyFill="1" applyAlignment="1">
      <alignment horizontal="center"/>
    </xf>
    <xf numFmtId="0" fontId="4" fillId="3" borderId="6" xfId="0" applyFont="1" applyFill="1" applyBorder="1"/>
    <xf numFmtId="0" fontId="0" fillId="3" borderId="7" xfId="0" applyFill="1" applyBorder="1"/>
    <xf numFmtId="0" fontId="0" fillId="3" borderId="8" xfId="0" applyFill="1" applyBorder="1" applyAlignment="1">
      <alignment horizontal="center"/>
    </xf>
    <xf numFmtId="0" fontId="3" fillId="0" borderId="9" xfId="0" applyFont="1" applyBorder="1"/>
    <xf numFmtId="0" fontId="3" fillId="0" borderId="9" xfId="0" applyFont="1" applyFill="1" applyBorder="1"/>
    <xf numFmtId="0" fontId="3" fillId="0" borderId="10" xfId="0" applyFont="1" applyFill="1" applyBorder="1"/>
    <xf numFmtId="0" fontId="3" fillId="3" borderId="0" xfId="0" applyFont="1" applyFill="1"/>
    <xf numFmtId="0" fontId="0" fillId="3" borderId="0" xfId="0" quotePrefix="1" applyFill="1"/>
    <xf numFmtId="0" fontId="3" fillId="3" borderId="0" xfId="0" applyFont="1" applyFill="1" applyBorder="1"/>
    <xf numFmtId="0" fontId="18" fillId="3" borderId="0" xfId="2" applyFill="1" applyBorder="1"/>
    <xf numFmtId="0" fontId="0" fillId="3" borderId="8" xfId="0" applyFill="1" applyBorder="1"/>
    <xf numFmtId="0" fontId="0" fillId="3" borderId="0" xfId="0" applyFill="1" applyAlignment="1">
      <alignment wrapText="1"/>
    </xf>
    <xf numFmtId="0" fontId="0" fillId="3" borderId="0" xfId="0" applyFill="1" applyBorder="1" applyAlignment="1">
      <alignment horizontal="center"/>
    </xf>
    <xf numFmtId="0" fontId="2" fillId="3" borderId="0" xfId="0" applyFont="1" applyFill="1" applyBorder="1" applyAlignment="1">
      <alignment horizontal="center" wrapText="1"/>
    </xf>
    <xf numFmtId="0" fontId="2" fillId="3" borderId="0" xfId="0" applyFont="1" applyFill="1" applyBorder="1" applyAlignment="1">
      <alignment horizontal="center"/>
    </xf>
    <xf numFmtId="0" fontId="2" fillId="3" borderId="0" xfId="0" applyFont="1" applyFill="1" applyBorder="1" applyAlignment="1">
      <alignment horizontal="left" wrapText="1"/>
    </xf>
    <xf numFmtId="0" fontId="0" fillId="3" borderId="8" xfId="0" applyFill="1" applyBorder="1" applyAlignment="1">
      <alignment horizontal="left"/>
    </xf>
    <xf numFmtId="0" fontId="4" fillId="3" borderId="7" xfId="0" applyFont="1" applyFill="1" applyBorder="1"/>
    <xf numFmtId="0" fontId="0" fillId="0" borderId="0" xfId="0" quotePrefix="1" applyAlignment="1">
      <alignment horizontal="left"/>
    </xf>
    <xf numFmtId="0" fontId="0" fillId="3" borderId="11" xfId="0" applyFill="1" applyBorder="1"/>
    <xf numFmtId="0" fontId="0" fillId="3" borderId="12" xfId="0" applyFill="1" applyBorder="1" applyAlignment="1">
      <alignment horizontal="left"/>
    </xf>
    <xf numFmtId="0" fontId="0" fillId="3" borderId="13" xfId="0" applyFill="1" applyBorder="1"/>
    <xf numFmtId="0" fontId="0" fillId="3" borderId="14" xfId="0" applyFill="1" applyBorder="1" applyAlignment="1">
      <alignment horizontal="left"/>
    </xf>
    <xf numFmtId="0" fontId="3" fillId="0" borderId="0" xfId="0" quotePrefix="1" applyFont="1"/>
    <xf numFmtId="0" fontId="8" fillId="0" borderId="15" xfId="0" applyFont="1" applyBorder="1" applyAlignment="1">
      <alignment horizontal="center" wrapText="1"/>
    </xf>
    <xf numFmtId="0" fontId="8" fillId="0" borderId="15" xfId="0" applyFont="1" applyBorder="1" applyAlignment="1">
      <alignment horizontal="center"/>
    </xf>
    <xf numFmtId="0" fontId="8" fillId="0" borderId="15" xfId="0" applyFont="1" applyFill="1" applyBorder="1" applyAlignment="1">
      <alignment horizontal="center" wrapText="1"/>
    </xf>
    <xf numFmtId="0" fontId="8" fillId="0" borderId="15" xfId="0" applyFont="1" applyBorder="1" applyAlignment="1">
      <alignment wrapText="1"/>
    </xf>
    <xf numFmtId="0" fontId="0" fillId="0" borderId="15" xfId="0" applyBorder="1" applyAlignment="1">
      <alignment horizontal="center"/>
    </xf>
    <xf numFmtId="49" fontId="0" fillId="2" borderId="0" xfId="0" applyNumberFormat="1" applyFill="1"/>
    <xf numFmtId="0" fontId="2" fillId="0" borderId="0" xfId="0" applyFont="1" applyBorder="1" applyAlignment="1">
      <alignment horizontal="center" wrapText="1"/>
    </xf>
    <xf numFmtId="0" fontId="2" fillId="0" borderId="0" xfId="0" applyFont="1" applyBorder="1" applyAlignment="1">
      <alignment horizontal="center"/>
    </xf>
    <xf numFmtId="0" fontId="2" fillId="0" borderId="0" xfId="0" applyFont="1" applyFill="1" applyBorder="1" applyAlignment="1">
      <alignment horizontal="left" wrapText="1"/>
    </xf>
    <xf numFmtId="0" fontId="2" fillId="0" borderId="0" xfId="0" applyFont="1" applyFill="1" applyBorder="1" applyAlignment="1">
      <alignment horizontal="center" wrapText="1"/>
    </xf>
    <xf numFmtId="0" fontId="3" fillId="0" borderId="5" xfId="0" applyFont="1" applyBorder="1" applyAlignment="1">
      <alignment horizontal="center" wrapText="1"/>
    </xf>
    <xf numFmtId="0" fontId="0" fillId="0" borderId="5" xfId="0" applyBorder="1" applyAlignment="1">
      <alignment horizontal="center"/>
    </xf>
    <xf numFmtId="0" fontId="0" fillId="0" borderId="16" xfId="0" applyBorder="1" applyAlignment="1">
      <alignment horizontal="center"/>
    </xf>
    <xf numFmtId="0" fontId="3" fillId="6" borderId="2" xfId="2" quotePrefix="1" applyFont="1" applyFill="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wrapText="1"/>
    </xf>
    <xf numFmtId="0" fontId="0" fillId="0" borderId="18" xfId="0" applyBorder="1" applyAlignment="1">
      <alignment horizontal="center"/>
    </xf>
    <xf numFmtId="0" fontId="3" fillId="0" borderId="18" xfId="0" applyFont="1" applyBorder="1" applyAlignment="1">
      <alignment horizontal="left" wrapText="1"/>
    </xf>
    <xf numFmtId="0" fontId="3" fillId="0" borderId="9" xfId="0" applyFont="1" applyBorder="1" applyAlignment="1">
      <alignment horizontal="center"/>
    </xf>
    <xf numFmtId="0" fontId="3" fillId="6" borderId="1" xfId="2" quotePrefix="1" applyNumberFormat="1" applyFont="1" applyFill="1" applyBorder="1" applyAlignment="1">
      <alignment horizontal="center"/>
    </xf>
    <xf numFmtId="0" fontId="3" fillId="0" borderId="10" xfId="0" applyFont="1" applyBorder="1" applyAlignment="1">
      <alignment horizontal="center"/>
    </xf>
    <xf numFmtId="0" fontId="3" fillId="0" borderId="19" xfId="0" applyFont="1" applyBorder="1" applyAlignment="1">
      <alignment horizontal="center" wrapText="1"/>
    </xf>
    <xf numFmtId="0" fontId="0" fillId="0" borderId="19" xfId="0" applyBorder="1" applyAlignment="1">
      <alignment horizontal="center"/>
    </xf>
    <xf numFmtId="0" fontId="3" fillId="0" borderId="20" xfId="0" applyFont="1" applyBorder="1" applyAlignment="1">
      <alignment horizontal="left" wrapText="1"/>
    </xf>
    <xf numFmtId="0" fontId="8" fillId="0" borderId="21" xfId="0" applyFont="1" applyBorder="1" applyAlignment="1">
      <alignment horizontal="center" wrapText="1"/>
    </xf>
    <xf numFmtId="0" fontId="8" fillId="0" borderId="22" xfId="0" applyFont="1" applyBorder="1" applyAlignment="1">
      <alignment wrapText="1"/>
    </xf>
    <xf numFmtId="0" fontId="3" fillId="0" borderId="19" xfId="0" applyFont="1" applyBorder="1" applyAlignment="1">
      <alignment horizontal="left" wrapText="1"/>
    </xf>
    <xf numFmtId="0" fontId="3" fillId="6" borderId="23" xfId="2" quotePrefix="1" applyNumberFormat="1" applyFont="1" applyFill="1" applyBorder="1" applyAlignment="1">
      <alignment horizontal="center"/>
    </xf>
    <xf numFmtId="0" fontId="3" fillId="0" borderId="16" xfId="0" applyFont="1" applyBorder="1" applyAlignment="1">
      <alignment horizontal="center" wrapText="1"/>
    </xf>
    <xf numFmtId="0" fontId="3" fillId="0" borderId="18" xfId="0" quotePrefix="1" applyFont="1" applyBorder="1" applyAlignment="1">
      <alignment horizontal="center"/>
    </xf>
    <xf numFmtId="0" fontId="3" fillId="0" borderId="18" xfId="0" applyFont="1" applyBorder="1" applyAlignment="1">
      <alignment wrapText="1"/>
    </xf>
    <xf numFmtId="0" fontId="3" fillId="0" borderId="24" xfId="0" applyFont="1" applyBorder="1" applyAlignment="1">
      <alignment horizontal="center"/>
    </xf>
    <xf numFmtId="0" fontId="3" fillId="0" borderId="15" xfId="0" quotePrefix="1" applyFont="1" applyBorder="1" applyAlignment="1">
      <alignment horizontal="center"/>
    </xf>
    <xf numFmtId="0" fontId="3" fillId="0" borderId="15" xfId="0" applyFont="1" applyBorder="1" applyAlignment="1">
      <alignment wrapText="1"/>
    </xf>
    <xf numFmtId="0" fontId="7" fillId="0" borderId="0" xfId="0" applyFont="1" applyBorder="1" applyAlignment="1">
      <alignment horizontal="center" wrapText="1"/>
    </xf>
    <xf numFmtId="0" fontId="7" fillId="0" borderId="0" xfId="0" applyFont="1" applyBorder="1" applyAlignment="1">
      <alignment horizontal="center"/>
    </xf>
    <xf numFmtId="0" fontId="7" fillId="0" borderId="0" xfId="0" applyFont="1" applyFill="1" applyBorder="1" applyAlignment="1">
      <alignment horizontal="left" wrapText="1"/>
    </xf>
    <xf numFmtId="0" fontId="7" fillId="0" borderId="0" xfId="0" applyFont="1" applyFill="1" applyBorder="1" applyAlignment="1">
      <alignment horizontal="center" wrapText="1"/>
    </xf>
    <xf numFmtId="0" fontId="8" fillId="0" borderId="20" xfId="0" applyFont="1" applyBorder="1" applyAlignment="1">
      <alignment horizontal="center"/>
    </xf>
    <xf numFmtId="0" fontId="8" fillId="0" borderId="20" xfId="0" applyFont="1" applyBorder="1" applyAlignment="1">
      <alignment wrapText="1"/>
    </xf>
    <xf numFmtId="0" fontId="8" fillId="0" borderId="17" xfId="0" applyFont="1" applyBorder="1" applyAlignment="1">
      <alignment horizontal="center" wrapText="1"/>
    </xf>
    <xf numFmtId="0" fontId="8" fillId="6" borderId="18" xfId="2" applyFont="1" applyFill="1" applyBorder="1" applyAlignment="1">
      <alignment horizontal="center" wrapText="1"/>
    </xf>
    <xf numFmtId="0" fontId="8" fillId="0" borderId="18" xfId="0" applyFont="1" applyFill="1" applyBorder="1" applyAlignment="1">
      <alignment horizontal="center" wrapText="1"/>
    </xf>
    <xf numFmtId="0" fontId="8" fillId="0" borderId="18" xfId="0" applyFont="1" applyBorder="1" applyAlignment="1">
      <alignment horizontal="center"/>
    </xf>
    <xf numFmtId="0" fontId="8" fillId="0" borderId="18" xfId="0" applyFont="1" applyBorder="1" applyAlignment="1">
      <alignment wrapText="1"/>
    </xf>
    <xf numFmtId="0" fontId="8" fillId="0" borderId="10" xfId="0" applyFont="1" applyBorder="1" applyAlignment="1">
      <alignment horizontal="center" wrapText="1"/>
    </xf>
    <xf numFmtId="0" fontId="8" fillId="0" borderId="19" xfId="0" applyFont="1" applyBorder="1" applyAlignment="1">
      <alignment horizontal="center"/>
    </xf>
    <xf numFmtId="0" fontId="8" fillId="0" borderId="19" xfId="0" applyFont="1" applyBorder="1" applyAlignment="1">
      <alignment wrapText="1"/>
    </xf>
    <xf numFmtId="0" fontId="8" fillId="0" borderId="9" xfId="0" applyFont="1" applyBorder="1" applyAlignment="1">
      <alignment horizontal="center"/>
    </xf>
    <xf numFmtId="0" fontId="8" fillId="0" borderId="9" xfId="0" applyFont="1" applyBorder="1" applyAlignment="1">
      <alignment horizontal="center" wrapText="1"/>
    </xf>
    <xf numFmtId="0" fontId="8" fillId="0" borderId="24" xfId="0" applyFont="1" applyBorder="1" applyAlignment="1">
      <alignment horizontal="center" wrapText="1"/>
    </xf>
    <xf numFmtId="0" fontId="8" fillId="7" borderId="15" xfId="2" applyFont="1" applyFill="1" applyBorder="1" applyAlignment="1">
      <alignment horizontal="center" wrapText="1"/>
    </xf>
    <xf numFmtId="0" fontId="8" fillId="0" borderId="22" xfId="0" applyFont="1" applyBorder="1" applyAlignment="1">
      <alignment horizontal="center" wrapText="1"/>
    </xf>
    <xf numFmtId="0" fontId="8" fillId="0" borderId="22" xfId="0" applyFont="1" applyBorder="1" applyAlignment="1">
      <alignment horizontal="center"/>
    </xf>
    <xf numFmtId="0" fontId="8" fillId="0" borderId="18" xfId="0" quotePrefix="1" applyFont="1" applyBorder="1" applyAlignment="1">
      <alignment horizontal="center" wrapText="1"/>
    </xf>
    <xf numFmtId="0" fontId="8" fillId="11" borderId="18" xfId="2" applyFont="1" applyBorder="1" applyAlignment="1">
      <alignment horizontal="center" wrapText="1"/>
    </xf>
    <xf numFmtId="0" fontId="8" fillId="0" borderId="19" xfId="0" applyFont="1" applyBorder="1" applyAlignment="1">
      <alignment horizontal="center" wrapText="1"/>
    </xf>
    <xf numFmtId="0" fontId="8" fillId="0" borderId="18" xfId="0" quotePrefix="1" applyFont="1" applyFill="1" applyBorder="1" applyAlignment="1">
      <alignment horizontal="center" wrapText="1"/>
    </xf>
    <xf numFmtId="0" fontId="8" fillId="0" borderId="24" xfId="0" applyFont="1" applyFill="1" applyBorder="1" applyAlignment="1">
      <alignment horizontal="center" wrapText="1"/>
    </xf>
    <xf numFmtId="0" fontId="8" fillId="6" borderId="15" xfId="2" applyFont="1" applyFill="1" applyBorder="1" applyAlignment="1">
      <alignment horizontal="center" wrapText="1"/>
    </xf>
    <xf numFmtId="0" fontId="8" fillId="0" borderId="18" xfId="0" applyFont="1" applyBorder="1" applyAlignment="1">
      <alignment horizontal="center" wrapText="1"/>
    </xf>
    <xf numFmtId="0" fontId="8" fillId="0" borderId="19" xfId="2" quotePrefix="1" applyFont="1" applyFill="1" applyBorder="1" applyAlignment="1">
      <alignment horizontal="center" wrapText="1"/>
    </xf>
    <xf numFmtId="0" fontId="8" fillId="11" borderId="19" xfId="2" applyFont="1" applyBorder="1" applyAlignment="1">
      <alignment horizontal="center" wrapText="1"/>
    </xf>
    <xf numFmtId="0" fontId="8" fillId="7" borderId="19" xfId="0" quotePrefix="1" applyFont="1" applyFill="1" applyBorder="1" applyAlignment="1">
      <alignment horizontal="center" wrapText="1"/>
    </xf>
    <xf numFmtId="0" fontId="8" fillId="0" borderId="18" xfId="0" applyFont="1" applyBorder="1" applyAlignment="1">
      <alignment horizontal="center" vertical="center"/>
    </xf>
    <xf numFmtId="0" fontId="8" fillId="0" borderId="18" xfId="0" applyFont="1" applyBorder="1" applyAlignment="1">
      <alignment horizontal="left" vertical="center"/>
    </xf>
    <xf numFmtId="0" fontId="8" fillId="0" borderId="25" xfId="0" applyFont="1" applyBorder="1" applyAlignment="1">
      <alignment horizontal="center" vertical="center"/>
    </xf>
    <xf numFmtId="0" fontId="0" fillId="0" borderId="2"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18" xfId="0" applyFill="1" applyBorder="1" applyAlignment="1">
      <alignment horizontal="center" vertical="center" wrapText="1"/>
    </xf>
    <xf numFmtId="0" fontId="3" fillId="3" borderId="26" xfId="0" applyFont="1" applyFill="1" applyBorder="1" applyAlignment="1">
      <alignment horizontal="left" vertical="center" wrapText="1"/>
    </xf>
    <xf numFmtId="0" fontId="0" fillId="6" borderId="27" xfId="0" applyFill="1" applyBorder="1" applyAlignment="1">
      <alignment horizontal="center"/>
    </xf>
    <xf numFmtId="0" fontId="8" fillId="0" borderId="0" xfId="0" applyFont="1" applyBorder="1" applyAlignment="1">
      <alignment horizontal="center" vertical="center"/>
    </xf>
    <xf numFmtId="0" fontId="8" fillId="0" borderId="28" xfId="0" applyFont="1" applyBorder="1" applyAlignment="1">
      <alignment horizontal="center" wrapText="1"/>
    </xf>
    <xf numFmtId="0" fontId="8" fillId="0" borderId="19" xfId="0" quotePrefix="1" applyFont="1" applyFill="1" applyBorder="1" applyAlignment="1">
      <alignment horizontal="center" wrapText="1"/>
    </xf>
    <xf numFmtId="0" fontId="8" fillId="0" borderId="15" xfId="0" quotePrefix="1" applyFont="1" applyFill="1" applyBorder="1" applyAlignment="1">
      <alignment horizontal="center" wrapText="1"/>
    </xf>
    <xf numFmtId="0" fontId="8" fillId="0" borderId="16" xfId="0" quotePrefix="1" applyFont="1" applyFill="1" applyBorder="1" applyAlignment="1">
      <alignment horizontal="center" wrapText="1"/>
    </xf>
    <xf numFmtId="0" fontId="8" fillId="0" borderId="16" xfId="0" applyFont="1" applyBorder="1" applyAlignment="1">
      <alignment horizontal="center"/>
    </xf>
    <xf numFmtId="0" fontId="8" fillId="0" borderId="16" xfId="0" applyFont="1" applyBorder="1" applyAlignment="1">
      <alignment wrapText="1"/>
    </xf>
    <xf numFmtId="0" fontId="3" fillId="11" borderId="18" xfId="2" applyFont="1" applyBorder="1" applyAlignment="1">
      <alignment horizontal="center"/>
    </xf>
    <xf numFmtId="0" fontId="3" fillId="3" borderId="9" xfId="0" applyFont="1" applyFill="1" applyBorder="1" applyAlignment="1">
      <alignment horizontal="left" vertical="center" wrapText="1"/>
    </xf>
    <xf numFmtId="0" fontId="17" fillId="10" borderId="60" xfId="1" applyAlignment="1">
      <alignment horizontal="center"/>
    </xf>
    <xf numFmtId="0" fontId="3" fillId="6" borderId="15" xfId="2" applyFont="1" applyFill="1" applyBorder="1" applyAlignment="1">
      <alignment horizontal="center"/>
    </xf>
    <xf numFmtId="0" fontId="3" fillId="0" borderId="2" xfId="2" applyFont="1" applyFill="1" applyBorder="1" applyAlignment="1">
      <alignment horizontal="center"/>
    </xf>
    <xf numFmtId="0" fontId="3" fillId="0" borderId="21" xfId="0" applyFont="1" applyBorder="1" applyAlignment="1">
      <alignment horizontal="center"/>
    </xf>
    <xf numFmtId="0" fontId="3" fillId="0" borderId="22" xfId="0" quotePrefix="1" applyFont="1" applyBorder="1" applyAlignment="1">
      <alignment horizontal="center"/>
    </xf>
    <xf numFmtId="0" fontId="3" fillId="0" borderId="22" xfId="0" applyFont="1" applyBorder="1" applyAlignment="1">
      <alignment wrapText="1"/>
    </xf>
    <xf numFmtId="0" fontId="17" fillId="10" borderId="29" xfId="1" applyBorder="1" applyAlignment="1">
      <alignment horizontal="center"/>
    </xf>
    <xf numFmtId="0" fontId="3" fillId="0" borderId="15" xfId="2" applyFont="1" applyFill="1" applyBorder="1" applyAlignment="1">
      <alignment horizontal="center"/>
    </xf>
    <xf numFmtId="0" fontId="8" fillId="0" borderId="18" xfId="2" applyFont="1" applyFill="1" applyBorder="1" applyAlignment="1">
      <alignment horizontal="center" wrapText="1"/>
    </xf>
    <xf numFmtId="0" fontId="8" fillId="0" borderId="18" xfId="2" quotePrefix="1" applyFont="1" applyFill="1" applyBorder="1" applyAlignment="1">
      <alignment horizontal="center" wrapText="1"/>
    </xf>
    <xf numFmtId="0" fontId="8" fillId="0" borderId="2" xfId="2" quotePrefix="1" applyFont="1" applyFill="1" applyBorder="1" applyAlignment="1">
      <alignment horizontal="center" wrapText="1"/>
    </xf>
    <xf numFmtId="0" fontId="8" fillId="6" borderId="19" xfId="0" applyFont="1" applyFill="1" applyBorder="1" applyAlignment="1">
      <alignment horizontal="center" wrapText="1"/>
    </xf>
    <xf numFmtId="0" fontId="8" fillId="7" borderId="19" xfId="2" applyFont="1" applyFill="1" applyBorder="1" applyAlignment="1">
      <alignment horizontal="center" wrapText="1"/>
    </xf>
    <xf numFmtId="0" fontId="8" fillId="0" borderId="22" xfId="0" quotePrefix="1" applyFont="1" applyFill="1" applyBorder="1" applyAlignment="1">
      <alignment horizontal="center" wrapText="1"/>
    </xf>
    <xf numFmtId="0" fontId="8" fillId="7" borderId="22" xfId="2" applyFont="1" applyFill="1" applyBorder="1" applyAlignment="1">
      <alignment horizontal="center" wrapText="1"/>
    </xf>
    <xf numFmtId="0" fontId="8" fillId="0" borderId="24" xfId="0" applyFont="1" applyBorder="1" applyAlignment="1">
      <alignment horizontal="center"/>
    </xf>
    <xf numFmtId="0" fontId="8" fillId="11" borderId="16" xfId="2" applyFont="1" applyBorder="1" applyAlignment="1">
      <alignment horizontal="center" wrapText="1"/>
    </xf>
    <xf numFmtId="0" fontId="8" fillId="0" borderId="16" xfId="0" applyFont="1" applyBorder="1" applyAlignment="1">
      <alignment horizontal="center" wrapText="1"/>
    </xf>
    <xf numFmtId="0" fontId="8" fillId="6" borderId="22" xfId="2" applyFont="1" applyFill="1" applyBorder="1" applyAlignment="1">
      <alignment horizontal="center" wrapText="1"/>
    </xf>
    <xf numFmtId="0" fontId="8" fillId="6" borderId="2" xfId="0" quotePrefix="1" applyFont="1" applyFill="1" applyBorder="1" applyAlignment="1">
      <alignment horizontal="center" wrapText="1"/>
    </xf>
    <xf numFmtId="0" fontId="9" fillId="11" borderId="29" xfId="2" applyFont="1" applyBorder="1" applyAlignment="1">
      <alignment horizontal="center" wrapText="1"/>
    </xf>
    <xf numFmtId="0" fontId="9" fillId="11" borderId="2" xfId="2" applyFont="1" applyBorder="1" applyAlignment="1">
      <alignment horizontal="center" wrapText="1"/>
    </xf>
    <xf numFmtId="0" fontId="8" fillId="0" borderId="17" xfId="0" applyFont="1" applyFill="1" applyBorder="1" applyAlignment="1">
      <alignment horizontal="center" wrapText="1"/>
    </xf>
    <xf numFmtId="0" fontId="9" fillId="11" borderId="18" xfId="2" applyFont="1" applyBorder="1" applyAlignment="1">
      <alignment horizontal="center" wrapText="1"/>
    </xf>
    <xf numFmtId="0" fontId="8" fillId="0" borderId="19" xfId="0" applyFont="1" applyBorder="1" applyAlignment="1">
      <alignment horizontal="left" vertical="top" wrapText="1"/>
    </xf>
    <xf numFmtId="0" fontId="8" fillId="11" borderId="15" xfId="2" applyFont="1" applyBorder="1" applyAlignment="1">
      <alignment horizontal="center" wrapText="1"/>
    </xf>
    <xf numFmtId="0" fontId="8" fillId="7" borderId="18" xfId="0" quotePrefix="1" applyFont="1" applyFill="1" applyBorder="1" applyAlignment="1">
      <alignment horizontal="center" wrapText="1"/>
    </xf>
    <xf numFmtId="0" fontId="8" fillId="7" borderId="18" xfId="0" applyFont="1" applyFill="1" applyBorder="1" applyAlignment="1">
      <alignment horizontal="center" wrapText="1"/>
    </xf>
    <xf numFmtId="0" fontId="8" fillId="0" borderId="21" xfId="0" applyFont="1" applyFill="1" applyBorder="1" applyAlignment="1">
      <alignment horizontal="center" wrapText="1"/>
    </xf>
    <xf numFmtId="0" fontId="8" fillId="0" borderId="30" xfId="0" applyNumberFormat="1" applyFont="1" applyBorder="1" applyAlignment="1">
      <alignment horizontal="center"/>
    </xf>
    <xf numFmtId="0" fontId="8" fillId="6" borderId="20" xfId="2" applyFont="1" applyFill="1" applyBorder="1" applyAlignment="1">
      <alignment horizontal="center"/>
    </xf>
    <xf numFmtId="0" fontId="8" fillId="6" borderId="2" xfId="2" applyFont="1" applyFill="1" applyBorder="1" applyAlignment="1">
      <alignment horizontal="center"/>
    </xf>
    <xf numFmtId="0" fontId="9" fillId="11" borderId="2" xfId="2" applyFont="1" applyBorder="1" applyAlignment="1">
      <alignment horizontal="center"/>
    </xf>
    <xf numFmtId="0" fontId="8" fillId="0" borderId="9" xfId="0" applyNumberFormat="1" applyFont="1" applyFill="1" applyBorder="1" applyAlignment="1">
      <alignment horizontal="center" wrapText="1"/>
    </xf>
    <xf numFmtId="0" fontId="8" fillId="0" borderId="9" xfId="0" applyNumberFormat="1" applyFont="1" applyBorder="1" applyAlignment="1">
      <alignment horizontal="center"/>
    </xf>
    <xf numFmtId="0" fontId="8" fillId="0" borderId="10" xfId="0" applyNumberFormat="1" applyFont="1" applyBorder="1" applyAlignment="1">
      <alignment horizontal="center"/>
    </xf>
    <xf numFmtId="0" fontId="8" fillId="0" borderId="19" xfId="0" quotePrefix="1" applyFont="1" applyBorder="1" applyAlignment="1">
      <alignment horizontal="center"/>
    </xf>
    <xf numFmtId="0" fontId="8" fillId="6" borderId="19" xfId="2" applyFont="1" applyFill="1" applyBorder="1" applyAlignment="1">
      <alignment horizontal="center"/>
    </xf>
    <xf numFmtId="0" fontId="10" fillId="3" borderId="0" xfId="0" applyFont="1" applyFill="1"/>
    <xf numFmtId="0" fontId="3" fillId="0" borderId="15" xfId="0" applyFont="1" applyBorder="1" applyAlignment="1">
      <alignment horizontal="center" wrapText="1"/>
    </xf>
    <xf numFmtId="0" fontId="3" fillId="0" borderId="15" xfId="0" applyFont="1" applyBorder="1" applyAlignment="1">
      <alignment horizontal="left" wrapText="1"/>
    </xf>
    <xf numFmtId="0" fontId="2" fillId="3" borderId="6" xfId="0" applyFont="1" applyFill="1" applyBorder="1" applyAlignment="1">
      <alignment horizontal="center" wrapText="1"/>
    </xf>
    <xf numFmtId="0" fontId="0" fillId="3" borderId="7" xfId="0" applyFill="1" applyBorder="1" applyAlignment="1"/>
    <xf numFmtId="0" fontId="2" fillId="3" borderId="7" xfId="0" applyFont="1" applyFill="1" applyBorder="1" applyAlignment="1">
      <alignment horizontal="center" wrapText="1"/>
    </xf>
    <xf numFmtId="0" fontId="2" fillId="3" borderId="7" xfId="0" applyFont="1" applyFill="1" applyBorder="1" applyAlignment="1">
      <alignment horizontal="center"/>
    </xf>
    <xf numFmtId="0" fontId="2" fillId="3" borderId="7" xfId="0" applyFont="1" applyFill="1" applyBorder="1" applyAlignment="1">
      <alignment horizontal="left" wrapText="1"/>
    </xf>
    <xf numFmtId="0" fontId="3" fillId="0" borderId="19" xfId="0" applyFont="1" applyFill="1" applyBorder="1" applyAlignment="1">
      <alignment horizontal="left" vertical="center" wrapText="1"/>
    </xf>
    <xf numFmtId="0" fontId="3" fillId="0" borderId="18" xfId="0" quotePrefix="1" applyFont="1" applyFill="1" applyBorder="1" applyAlignment="1">
      <alignment horizontal="center" wrapText="1"/>
    </xf>
    <xf numFmtId="0" fontId="3" fillId="0" borderId="18" xfId="0" applyFont="1" applyFill="1" applyBorder="1" applyAlignment="1">
      <alignment horizontal="left" wrapText="1"/>
    </xf>
    <xf numFmtId="0" fontId="3" fillId="0" borderId="2" xfId="0" applyFont="1" applyFill="1" applyBorder="1" applyAlignment="1">
      <alignment horizontal="left" wrapText="1"/>
    </xf>
    <xf numFmtId="0" fontId="8" fillId="3" borderId="0" xfId="0" applyNumberFormat="1" applyFont="1" applyFill="1" applyBorder="1" applyAlignment="1">
      <alignment horizontal="center"/>
    </xf>
    <xf numFmtId="0" fontId="8" fillId="3" borderId="0" xfId="0" quotePrefix="1" applyFont="1" applyFill="1" applyBorder="1" applyAlignment="1">
      <alignment horizontal="center"/>
    </xf>
    <xf numFmtId="0" fontId="8" fillId="3" borderId="0" xfId="2" applyFont="1" applyFill="1" applyBorder="1" applyAlignment="1">
      <alignment horizontal="center"/>
    </xf>
    <xf numFmtId="0" fontId="8" fillId="3" borderId="0" xfId="0" applyFont="1" applyFill="1" applyBorder="1" applyAlignment="1">
      <alignment horizontal="center"/>
    </xf>
    <xf numFmtId="0" fontId="8" fillId="3" borderId="0" xfId="0" applyFont="1" applyFill="1" applyBorder="1" applyAlignment="1">
      <alignment wrapText="1"/>
    </xf>
    <xf numFmtId="0" fontId="8" fillId="3" borderId="0" xfId="0" applyFont="1" applyFill="1" applyBorder="1" applyAlignment="1">
      <alignment horizontal="center" vertical="center"/>
    </xf>
    <xf numFmtId="0" fontId="3" fillId="6" borderId="2" xfId="0" quotePrefix="1" applyFont="1" applyFill="1" applyBorder="1" applyAlignment="1">
      <alignment horizontal="center" wrapText="1"/>
    </xf>
    <xf numFmtId="0" fontId="3" fillId="6" borderId="19" xfId="0" quotePrefix="1" applyFont="1" applyFill="1" applyBorder="1" applyAlignment="1">
      <alignment horizontal="center" wrapText="1"/>
    </xf>
    <xf numFmtId="0" fontId="17" fillId="3" borderId="31" xfId="1" applyFill="1" applyBorder="1" applyAlignment="1">
      <alignment horizontal="center" wrapText="1"/>
    </xf>
    <xf numFmtId="0" fontId="8" fillId="6" borderId="2" xfId="2" applyFont="1" applyFill="1" applyBorder="1" applyAlignment="1">
      <alignment horizontal="center" wrapText="1"/>
    </xf>
    <xf numFmtId="0" fontId="0" fillId="3" borderId="0" xfId="0" applyFill="1" applyBorder="1"/>
    <xf numFmtId="0" fontId="0" fillId="3" borderId="0" xfId="0" applyFill="1" applyBorder="1" applyAlignment="1">
      <alignment horizontal="left"/>
    </xf>
    <xf numFmtId="0" fontId="17" fillId="3" borderId="0" xfId="1" applyFill="1" applyBorder="1" applyAlignment="1">
      <alignment horizontal="center"/>
    </xf>
    <xf numFmtId="0" fontId="3" fillId="0" borderId="32" xfId="2" quotePrefix="1" applyNumberFormat="1" applyFont="1" applyFill="1" applyBorder="1" applyAlignment="1">
      <alignment horizontal="center"/>
    </xf>
    <xf numFmtId="0" fontId="3" fillId="0" borderId="2" xfId="2" quotePrefix="1" applyNumberFormat="1" applyFont="1" applyFill="1" applyBorder="1" applyAlignment="1">
      <alignment horizontal="center"/>
    </xf>
    <xf numFmtId="0" fontId="3" fillId="0" borderId="1" xfId="2" quotePrefix="1" applyNumberFormat="1" applyFont="1" applyFill="1" applyBorder="1" applyAlignment="1">
      <alignment horizontal="center"/>
    </xf>
    <xf numFmtId="0" fontId="3" fillId="0" borderId="2" xfId="0" applyFont="1" applyFill="1" applyBorder="1" applyAlignment="1">
      <alignment horizontal="center" wrapText="1"/>
    </xf>
    <xf numFmtId="0" fontId="3" fillId="0" borderId="18" xfId="0" applyFont="1" applyFill="1" applyBorder="1" applyAlignment="1">
      <alignment horizontal="center" wrapText="1"/>
    </xf>
    <xf numFmtId="0" fontId="3" fillId="0" borderId="15" xfId="2" quotePrefix="1" applyFont="1" applyFill="1" applyBorder="1" applyAlignment="1">
      <alignment horizontal="center"/>
    </xf>
    <xf numFmtId="0" fontId="3" fillId="0" borderId="2" xfId="2" quotePrefix="1" applyFont="1" applyFill="1" applyBorder="1" applyAlignment="1">
      <alignment horizontal="center"/>
    </xf>
    <xf numFmtId="0" fontId="3" fillId="0" borderId="19" xfId="2" quotePrefix="1" applyFont="1" applyFill="1" applyBorder="1" applyAlignment="1">
      <alignment horizontal="center"/>
    </xf>
    <xf numFmtId="0" fontId="3" fillId="0" borderId="32" xfId="2" quotePrefix="1" applyFont="1" applyFill="1" applyBorder="1" applyAlignment="1">
      <alignment horizontal="center"/>
    </xf>
    <xf numFmtId="0" fontId="3" fillId="0" borderId="19" xfId="0" quotePrefix="1" applyFont="1" applyFill="1" applyBorder="1" applyAlignment="1">
      <alignment horizontal="center"/>
    </xf>
    <xf numFmtId="0" fontId="3" fillId="0" borderId="18" xfId="0" quotePrefix="1" applyFont="1" applyFill="1" applyBorder="1" applyAlignment="1">
      <alignment horizontal="center"/>
    </xf>
    <xf numFmtId="0" fontId="13" fillId="3" borderId="0" xfId="0" applyFont="1" applyFill="1" applyAlignment="1">
      <alignment wrapText="1"/>
    </xf>
    <xf numFmtId="49" fontId="0" fillId="2" borderId="0" xfId="0" applyNumberFormat="1" applyFill="1" applyAlignment="1">
      <alignment horizontal="left"/>
    </xf>
    <xf numFmtId="0" fontId="15" fillId="0" borderId="0" xfId="0" applyFont="1" applyFill="1"/>
    <xf numFmtId="0" fontId="16" fillId="0" borderId="0" xfId="0" applyFont="1" applyFill="1"/>
    <xf numFmtId="0" fontId="17" fillId="10" borderId="32" xfId="1" applyBorder="1" applyAlignment="1">
      <alignment horizontal="center"/>
    </xf>
    <xf numFmtId="0" fontId="17" fillId="10" borderId="58" xfId="1" applyBorder="1" applyAlignment="1">
      <alignment horizontal="center"/>
    </xf>
    <xf numFmtId="0" fontId="3" fillId="11" borderId="41" xfId="2" applyFont="1" applyBorder="1" applyAlignment="1">
      <alignment horizontal="center"/>
    </xf>
    <xf numFmtId="0" fontId="3" fillId="11" borderId="51" xfId="2" applyFont="1" applyBorder="1" applyAlignment="1">
      <alignment horizontal="center"/>
    </xf>
    <xf numFmtId="0" fontId="3" fillId="0" borderId="45" xfId="0" applyFont="1" applyFill="1" applyBorder="1" applyAlignment="1">
      <alignment horizontal="center" wrapText="1"/>
    </xf>
    <xf numFmtId="0" fontId="3" fillId="0" borderId="26" xfId="0" applyFont="1" applyFill="1" applyBorder="1" applyAlignment="1">
      <alignment horizontal="center" wrapText="1"/>
    </xf>
    <xf numFmtId="0" fontId="3" fillId="0" borderId="11" xfId="0" applyFont="1" applyBorder="1" applyAlignment="1">
      <alignment horizontal="left" vertical="center" wrapText="1"/>
    </xf>
    <xf numFmtId="0" fontId="0" fillId="0" borderId="0" xfId="0" applyBorder="1" applyAlignment="1">
      <alignment wrapText="1"/>
    </xf>
    <xf numFmtId="0" fontId="0" fillId="0" borderId="12" xfId="0" applyBorder="1" applyAlignment="1">
      <alignment wrapText="1"/>
    </xf>
    <xf numFmtId="0" fontId="0" fillId="0" borderId="11" xfId="0" applyBorder="1" applyAlignment="1">
      <alignment wrapText="1"/>
    </xf>
    <xf numFmtId="0" fontId="0" fillId="0" borderId="13" xfId="0" applyBorder="1" applyAlignment="1">
      <alignment wrapText="1"/>
    </xf>
    <xf numFmtId="0" fontId="0" fillId="0" borderId="59" xfId="0" applyBorder="1" applyAlignment="1">
      <alignment wrapText="1"/>
    </xf>
    <xf numFmtId="0" fontId="0" fillId="0" borderId="14" xfId="0" applyBorder="1" applyAlignment="1">
      <alignment wrapText="1"/>
    </xf>
    <xf numFmtId="0" fontId="17" fillId="10" borderId="57" xfId="1" applyBorder="1" applyAlignment="1">
      <alignment horizontal="center" wrapText="1"/>
    </xf>
    <xf numFmtId="0" fontId="17" fillId="10" borderId="44" xfId="1" applyBorder="1" applyAlignment="1">
      <alignment horizontal="center" wrapText="1"/>
    </xf>
    <xf numFmtId="0" fontId="8" fillId="0" borderId="18" xfId="0" applyFont="1" applyBorder="1" applyAlignment="1">
      <alignment horizontal="center" vertical="center"/>
    </xf>
    <xf numFmtId="0" fontId="8" fillId="0" borderId="2" xfId="0" applyFont="1" applyBorder="1" applyAlignment="1">
      <alignment horizontal="center" vertical="center"/>
    </xf>
    <xf numFmtId="0" fontId="8" fillId="0" borderId="19" xfId="0" applyFont="1" applyBorder="1" applyAlignment="1">
      <alignment horizontal="center" vertical="center"/>
    </xf>
    <xf numFmtId="0" fontId="0" fillId="9" borderId="27" xfId="0" applyFill="1" applyBorder="1" applyAlignment="1">
      <alignment horizontal="center"/>
    </xf>
    <xf numFmtId="0" fontId="0" fillId="9" borderId="44" xfId="0" applyFill="1" applyBorder="1" applyAlignment="1">
      <alignment horizontal="center"/>
    </xf>
    <xf numFmtId="0" fontId="0" fillId="2" borderId="27" xfId="0" applyFill="1" applyBorder="1" applyAlignment="1">
      <alignment horizontal="center"/>
    </xf>
    <xf numFmtId="0" fontId="0" fillId="2" borderId="39" xfId="0" applyFill="1" applyBorder="1" applyAlignment="1">
      <alignment horizontal="center"/>
    </xf>
    <xf numFmtId="0" fontId="3" fillId="3" borderId="26" xfId="0" applyFont="1" applyFill="1" applyBorder="1" applyAlignment="1">
      <alignment horizontal="left" vertical="center" wrapText="1"/>
    </xf>
    <xf numFmtId="0" fontId="2" fillId="0" borderId="4" xfId="0" applyFont="1" applyBorder="1" applyAlignment="1">
      <alignment horizontal="center" wrapText="1"/>
    </xf>
    <xf numFmtId="0" fontId="0" fillId="0" borderId="35" xfId="0" applyBorder="1" applyAlignment="1"/>
    <xf numFmtId="49" fontId="3" fillId="11" borderId="41" xfId="2" applyNumberFormat="1" applyFont="1" applyBorder="1" applyAlignment="1">
      <alignment horizontal="center"/>
    </xf>
    <xf numFmtId="49" fontId="3" fillId="11" borderId="51" xfId="2" applyNumberFormat="1" applyFont="1" applyBorder="1" applyAlignment="1">
      <alignment horizontal="center"/>
    </xf>
    <xf numFmtId="49" fontId="3" fillId="11" borderId="51" xfId="2" quotePrefix="1" applyNumberFormat="1" applyFont="1" applyBorder="1" applyAlignment="1">
      <alignment horizontal="center"/>
    </xf>
    <xf numFmtId="0" fontId="8" fillId="0" borderId="25" xfId="0" applyNumberFormat="1" applyFont="1" applyBorder="1" applyAlignment="1">
      <alignment horizontal="center" vertical="center"/>
    </xf>
    <xf numFmtId="0" fontId="8" fillId="0" borderId="40" xfId="0" applyNumberFormat="1" applyFont="1" applyBorder="1" applyAlignment="1">
      <alignment horizontal="center" vertical="center"/>
    </xf>
    <xf numFmtId="0" fontId="8" fillId="0" borderId="27" xfId="0" applyNumberFormat="1" applyFont="1" applyBorder="1" applyAlignment="1">
      <alignment horizontal="center" vertical="center"/>
    </xf>
    <xf numFmtId="0" fontId="3" fillId="3" borderId="11" xfId="0" applyFont="1" applyFill="1" applyBorder="1" applyAlignment="1">
      <alignment horizontal="left" vertical="top" wrapText="1"/>
    </xf>
    <xf numFmtId="0" fontId="3" fillId="3" borderId="12" xfId="0" applyFont="1" applyFill="1" applyBorder="1" applyAlignment="1">
      <alignment horizontal="left" vertical="top" wrapText="1"/>
    </xf>
    <xf numFmtId="0" fontId="3" fillId="3" borderId="24" xfId="0" applyFont="1" applyFill="1" applyBorder="1" applyAlignment="1">
      <alignment horizontal="left" vertical="center" wrapText="1"/>
    </xf>
    <xf numFmtId="0" fontId="3" fillId="3" borderId="52" xfId="0" applyFont="1" applyFill="1" applyBorder="1" applyAlignment="1">
      <alignment horizontal="left" vertical="center" wrapText="1"/>
    </xf>
    <xf numFmtId="0" fontId="8" fillId="0" borderId="53" xfId="0" applyFont="1" applyBorder="1" applyAlignment="1">
      <alignment horizontal="center" vertical="center"/>
    </xf>
    <xf numFmtId="0" fontId="8" fillId="0" borderId="51" xfId="0" applyFont="1" applyBorder="1" applyAlignment="1">
      <alignment horizontal="center" vertical="center"/>
    </xf>
    <xf numFmtId="0" fontId="8" fillId="0" borderId="54" xfId="0" applyFont="1" applyBorder="1" applyAlignment="1">
      <alignment horizontal="center" vertical="center"/>
    </xf>
    <xf numFmtId="0" fontId="3" fillId="0" borderId="18" xfId="0" applyFont="1" applyBorder="1" applyAlignment="1">
      <alignment horizontal="center" vertical="center"/>
    </xf>
    <xf numFmtId="0" fontId="3" fillId="0" borderId="2" xfId="0" applyFont="1" applyBorder="1" applyAlignment="1">
      <alignment horizontal="center" vertical="center"/>
    </xf>
    <xf numFmtId="0" fontId="3" fillId="0" borderId="15" xfId="0" applyFont="1" applyBorder="1" applyAlignment="1">
      <alignment horizontal="center" vertical="center"/>
    </xf>
    <xf numFmtId="0" fontId="4" fillId="3" borderId="6" xfId="0" applyFont="1" applyFill="1" applyBorder="1" applyAlignment="1">
      <alignment horizontal="left"/>
    </xf>
    <xf numFmtId="0" fontId="4" fillId="3" borderId="8" xfId="0" applyFont="1" applyFill="1" applyBorder="1" applyAlignment="1">
      <alignment horizontal="left"/>
    </xf>
    <xf numFmtId="0" fontId="3" fillId="3" borderId="55" xfId="0" applyFont="1" applyFill="1" applyBorder="1" applyAlignment="1">
      <alignment horizontal="left" vertical="center" wrapText="1"/>
    </xf>
    <xf numFmtId="0" fontId="8" fillId="0" borderId="56" xfId="0" applyFont="1" applyBorder="1" applyAlignment="1">
      <alignment horizontal="center" vertical="center"/>
    </xf>
    <xf numFmtId="0" fontId="0" fillId="0" borderId="25" xfId="0" applyNumberFormat="1" applyBorder="1" applyAlignment="1">
      <alignment horizontal="center" vertical="center"/>
    </xf>
    <xf numFmtId="0" fontId="0" fillId="0" borderId="40" xfId="0" applyNumberFormat="1" applyBorder="1" applyAlignment="1">
      <alignment horizontal="center" vertical="center"/>
    </xf>
    <xf numFmtId="0" fontId="0" fillId="0" borderId="27" xfId="0" applyNumberFormat="1" applyBorder="1" applyAlignment="1">
      <alignment horizontal="center" vertical="center"/>
    </xf>
    <xf numFmtId="0" fontId="8" fillId="0" borderId="22"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left" vertical="center"/>
    </xf>
    <xf numFmtId="0" fontId="8" fillId="0" borderId="2" xfId="0" applyFont="1" applyBorder="1" applyAlignment="1">
      <alignment horizontal="left" vertical="center"/>
    </xf>
    <xf numFmtId="0" fontId="8" fillId="0" borderId="15" xfId="0" applyFont="1" applyBorder="1" applyAlignment="1">
      <alignment horizontal="left" vertical="center"/>
    </xf>
    <xf numFmtId="0" fontId="2" fillId="8" borderId="4" xfId="0" applyFont="1" applyFill="1" applyBorder="1" applyAlignment="1">
      <alignment horizontal="left"/>
    </xf>
    <xf numFmtId="0" fontId="2" fillId="8" borderId="34" xfId="0" applyFont="1" applyFill="1" applyBorder="1" applyAlignment="1">
      <alignment horizontal="left"/>
    </xf>
    <xf numFmtId="0" fontId="2" fillId="8" borderId="35" xfId="0" applyFont="1" applyFill="1" applyBorder="1" applyAlignment="1">
      <alignment horizontal="left"/>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8" fillId="0" borderId="48" xfId="0" applyFont="1" applyBorder="1" applyAlignment="1">
      <alignment horizontal="center" vertical="center"/>
    </xf>
    <xf numFmtId="0" fontId="3" fillId="0" borderId="49" xfId="0" applyFont="1" applyFill="1" applyBorder="1" applyAlignment="1">
      <alignment horizontal="center" wrapText="1"/>
    </xf>
    <xf numFmtId="0" fontId="3" fillId="0" borderId="50" xfId="0" applyFont="1" applyFill="1" applyBorder="1" applyAlignment="1">
      <alignment horizontal="center" wrapText="1"/>
    </xf>
    <xf numFmtId="0" fontId="3" fillId="0" borderId="10"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16" xfId="0" applyFont="1" applyFill="1" applyBorder="1" applyAlignment="1">
      <alignment horizontal="left" vertical="center" wrapText="1"/>
    </xf>
    <xf numFmtId="0" fontId="3" fillId="0" borderId="20" xfId="0" applyFont="1" applyFill="1" applyBorder="1" applyAlignment="1">
      <alignment horizontal="left" vertical="center" wrapText="1"/>
    </xf>
    <xf numFmtId="0" fontId="3" fillId="0" borderId="16"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8" fillId="0" borderId="15" xfId="0" applyFont="1" applyBorder="1" applyAlignment="1">
      <alignment horizontal="center" vertical="center"/>
    </xf>
    <xf numFmtId="0" fontId="8" fillId="0" borderId="19" xfId="0" applyFont="1" applyBorder="1" applyAlignment="1">
      <alignment horizontal="left" vertical="center"/>
    </xf>
    <xf numFmtId="0" fontId="8" fillId="0" borderId="22" xfId="0" applyFont="1" applyFill="1" applyBorder="1" applyAlignment="1">
      <alignment horizontal="center" vertical="center"/>
    </xf>
    <xf numFmtId="0" fontId="8" fillId="0" borderId="16"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3" fillId="0" borderId="22" xfId="0" applyFont="1" applyFill="1" applyBorder="1" applyAlignment="1">
      <alignment horizontal="center" vertical="center" wrapText="1"/>
    </xf>
    <xf numFmtId="0" fontId="0" fillId="0" borderId="39" xfId="0" applyBorder="1" applyAlignment="1">
      <alignment horizontal="center" vertical="center"/>
    </xf>
    <xf numFmtId="0" fontId="0" fillId="0" borderId="44" xfId="0" applyBorder="1" applyAlignment="1">
      <alignment horizontal="center" vertical="center"/>
    </xf>
    <xf numFmtId="0" fontId="0" fillId="0" borderId="36" xfId="0" applyBorder="1" applyAlignment="1">
      <alignment horizontal="center" vertical="center"/>
    </xf>
    <xf numFmtId="0" fontId="3" fillId="0" borderId="18"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0"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40" xfId="0" applyFill="1" applyBorder="1" applyAlignment="1">
      <alignment horizontal="center" vertical="center" wrapText="1"/>
    </xf>
    <xf numFmtId="0" fontId="0" fillId="0" borderId="36" xfId="0" applyFill="1" applyBorder="1" applyAlignment="1">
      <alignment horizontal="center" vertical="center" wrapText="1"/>
    </xf>
    <xf numFmtId="0" fontId="3" fillId="0" borderId="2" xfId="0" applyFont="1" applyFill="1" applyBorder="1" applyAlignment="1">
      <alignment horizontal="center" vertical="center" wrapText="1"/>
    </xf>
    <xf numFmtId="0" fontId="8" fillId="0" borderId="37" xfId="0" applyFont="1" applyBorder="1" applyAlignment="1">
      <alignment horizontal="center" vertical="center"/>
    </xf>
    <xf numFmtId="0" fontId="8" fillId="0" borderId="38" xfId="0" applyFont="1" applyBorder="1" applyAlignment="1">
      <alignment horizontal="center" vertical="center"/>
    </xf>
    <xf numFmtId="0" fontId="8" fillId="0" borderId="25" xfId="0" applyFont="1" applyBorder="1" applyAlignment="1">
      <alignment horizontal="center" vertical="center"/>
    </xf>
    <xf numFmtId="0" fontId="8" fillId="0" borderId="40" xfId="0" applyFont="1" applyBorder="1" applyAlignment="1">
      <alignment horizontal="center" vertical="center"/>
    </xf>
    <xf numFmtId="0" fontId="8" fillId="0" borderId="36" xfId="0" applyFont="1" applyBorder="1" applyAlignment="1">
      <alignment horizontal="center" vertical="center"/>
    </xf>
    <xf numFmtId="0" fontId="8" fillId="0" borderId="27" xfId="0" applyFont="1" applyBorder="1" applyAlignment="1">
      <alignment horizontal="center" vertical="center"/>
    </xf>
    <xf numFmtId="0" fontId="0" fillId="0" borderId="25" xfId="0" applyBorder="1" applyAlignment="1">
      <alignment horizontal="center" vertical="center"/>
    </xf>
    <xf numFmtId="0" fontId="8" fillId="0" borderId="37"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39" xfId="0" applyFont="1" applyFill="1" applyBorder="1" applyAlignment="1">
      <alignment horizontal="center" vertical="center"/>
    </xf>
    <xf numFmtId="0" fontId="8" fillId="0" borderId="33" xfId="0" applyFont="1" applyBorder="1" applyAlignment="1">
      <alignment horizontal="center" vertical="center"/>
    </xf>
    <xf numFmtId="0" fontId="8" fillId="0" borderId="41" xfId="0" applyFont="1" applyBorder="1" applyAlignment="1">
      <alignment horizontal="center" vertical="center"/>
    </xf>
    <xf numFmtId="0" fontId="8" fillId="0" borderId="42" xfId="0" applyFont="1" applyBorder="1" applyAlignment="1">
      <alignment horizontal="center" vertical="center"/>
    </xf>
    <xf numFmtId="0" fontId="7" fillId="8" borderId="4" xfId="0" applyNumberFormat="1" applyFont="1" applyFill="1" applyBorder="1" applyAlignment="1">
      <alignment horizontal="center" wrapText="1"/>
    </xf>
    <xf numFmtId="0" fontId="7" fillId="8" borderId="34" xfId="0" applyNumberFormat="1" applyFont="1" applyFill="1" applyBorder="1" applyAlignment="1">
      <alignment horizontal="center" wrapText="1"/>
    </xf>
    <xf numFmtId="0" fontId="7" fillId="8" borderId="35" xfId="0" applyNumberFormat="1" applyFont="1" applyFill="1" applyBorder="1" applyAlignment="1">
      <alignment horizontal="center" wrapText="1"/>
    </xf>
    <xf numFmtId="0" fontId="8" fillId="0" borderId="6" xfId="0" applyNumberFormat="1" applyFont="1" applyBorder="1" applyAlignment="1">
      <alignment horizontal="center"/>
    </xf>
    <xf numFmtId="0" fontId="8" fillId="0" borderId="7" xfId="0" applyNumberFormat="1" applyFont="1" applyBorder="1" applyAlignment="1">
      <alignment horizontal="center"/>
    </xf>
    <xf numFmtId="0" fontId="8" fillId="0" borderId="43" xfId="0" applyNumberFormat="1" applyFont="1" applyBorder="1" applyAlignment="1">
      <alignment horizontal="center"/>
    </xf>
  </cellXfs>
  <cellStyles count="3">
    <cellStyle name="常规" xfId="0" builtinId="0"/>
    <cellStyle name="计算" xfId="1" builtinId="22"/>
    <cellStyle name="输入" xfId="2" builtinId="2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6</xdr:row>
      <xdr:rowOff>9525</xdr:rowOff>
    </xdr:from>
    <xdr:to>
      <xdr:col>1</xdr:col>
      <xdr:colOff>3543300</xdr:colOff>
      <xdr:row>7</xdr:row>
      <xdr:rowOff>0</xdr:rowOff>
    </xdr:to>
    <xdr:pic>
      <xdr:nvPicPr>
        <xdr:cNvPr id="2049"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28650" y="1123950"/>
          <a:ext cx="3524250" cy="180975"/>
        </a:xfrm>
        <a:prstGeom prst="rect">
          <a:avLst/>
        </a:prstGeom>
        <a:noFill/>
        <a:ln w="9525">
          <a:noFill/>
          <a:miter lim="800000"/>
          <a:headEnd/>
          <a:tailEnd/>
        </a:ln>
      </xdr:spPr>
    </xdr:pic>
    <xdr:clientData/>
  </xdr:twoCellAnchor>
  <xdr:twoCellAnchor editAs="oneCell">
    <xdr:from>
      <xdr:col>1</xdr:col>
      <xdr:colOff>28575</xdr:colOff>
      <xdr:row>20</xdr:row>
      <xdr:rowOff>66675</xdr:rowOff>
    </xdr:from>
    <xdr:to>
      <xdr:col>1</xdr:col>
      <xdr:colOff>6753225</xdr:colOff>
      <xdr:row>32</xdr:row>
      <xdr:rowOff>114300</xdr:rowOff>
    </xdr:to>
    <xdr:pic>
      <xdr:nvPicPr>
        <xdr:cNvPr id="2050"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638175" y="4000500"/>
          <a:ext cx="6724650" cy="2019300"/>
        </a:xfrm>
        <a:prstGeom prst="rect">
          <a:avLst/>
        </a:prstGeom>
        <a:noFill/>
        <a:ln w="9525">
          <a:noFill/>
          <a:miter lim="800000"/>
          <a:headEnd/>
          <a:tailEnd/>
        </a:ln>
      </xdr:spPr>
    </xdr:pic>
    <xdr:clientData/>
  </xdr:twoCellAnchor>
  <xdr:twoCellAnchor editAs="oneCell">
    <xdr:from>
      <xdr:col>1</xdr:col>
      <xdr:colOff>0</xdr:colOff>
      <xdr:row>9</xdr:row>
      <xdr:rowOff>47625</xdr:rowOff>
    </xdr:from>
    <xdr:to>
      <xdr:col>1</xdr:col>
      <xdr:colOff>3086100</xdr:colOff>
      <xdr:row>18</xdr:row>
      <xdr:rowOff>104775</xdr:rowOff>
    </xdr:to>
    <xdr:pic>
      <xdr:nvPicPr>
        <xdr:cNvPr id="2051"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609600" y="1733550"/>
          <a:ext cx="3086100" cy="1571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0</xdr:row>
      <xdr:rowOff>0</xdr:rowOff>
    </xdr:from>
    <xdr:to>
      <xdr:col>1</xdr:col>
      <xdr:colOff>1666875</xdr:colOff>
      <xdr:row>3</xdr:row>
      <xdr:rowOff>66675</xdr:rowOff>
    </xdr:to>
    <xdr:pic>
      <xdr:nvPicPr>
        <xdr:cNvPr id="3073" name="Picture 126" descr="fs_logo"/>
        <xdr:cNvPicPr>
          <a:picLocks noChangeAspect="1" noChangeArrowheads="1"/>
        </xdr:cNvPicPr>
      </xdr:nvPicPr>
      <xdr:blipFill>
        <a:blip xmlns:r="http://schemas.openxmlformats.org/officeDocument/2006/relationships" r:embed="rId1" cstate="print"/>
        <a:srcRect/>
        <a:stretch>
          <a:fillRect/>
        </a:stretch>
      </xdr:blipFill>
      <xdr:spPr bwMode="auto">
        <a:xfrm>
          <a:off x="295275" y="0"/>
          <a:ext cx="1600200" cy="838200"/>
        </a:xfrm>
        <a:prstGeom prst="rect">
          <a:avLst/>
        </a:prstGeom>
        <a:noFill/>
        <a:ln w="9525">
          <a:noFill/>
          <a:miter lim="800000"/>
          <a:headEnd/>
          <a:tailEnd/>
        </a:ln>
      </xdr:spPr>
    </xdr:pic>
    <xdr:clientData/>
  </xdr:twoCellAnchor>
</xdr:wsDr>
</file>

<file path=xl/queryTables/queryTable1.xml><?xml version="1.0" encoding="utf-8"?>
<queryTable xmlns="http://schemas.openxmlformats.org/spreadsheetml/2006/main" name="Codex_LPDDR1_200MHz.inc"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43"/>
  <sheetViews>
    <sheetView topLeftCell="A7" workbookViewId="0">
      <selection activeCell="B9" sqref="B9"/>
    </sheetView>
  </sheetViews>
  <sheetFormatPr defaultRowHeight="12.75"/>
  <cols>
    <col min="2" max="2" width="103.85546875" customWidth="1"/>
  </cols>
  <sheetData>
    <row r="1" spans="1:7">
      <c r="A1" s="18"/>
      <c r="B1" s="18"/>
      <c r="C1" s="18"/>
      <c r="D1" s="18"/>
      <c r="E1" s="18"/>
      <c r="F1" s="18"/>
      <c r="G1" s="18"/>
    </row>
    <row r="2" spans="1:7" ht="15">
      <c r="A2" s="18"/>
      <c r="B2" s="221" t="s">
        <v>1</v>
      </c>
      <c r="C2" s="53"/>
      <c r="D2" s="53"/>
      <c r="E2" s="18"/>
      <c r="F2" s="18"/>
      <c r="G2" s="18"/>
    </row>
    <row r="3" spans="1:7" ht="15">
      <c r="A3" s="18"/>
      <c r="B3" s="221"/>
      <c r="C3" s="53"/>
      <c r="D3" s="53"/>
      <c r="E3" s="18"/>
      <c r="F3" s="18"/>
      <c r="G3" s="18"/>
    </row>
    <row r="4" spans="1:7" ht="15">
      <c r="A4" s="18"/>
      <c r="B4" s="221" t="s">
        <v>2</v>
      </c>
      <c r="C4" s="53"/>
      <c r="D4" s="53"/>
      <c r="E4" s="18"/>
      <c r="F4" s="18"/>
      <c r="G4" s="18"/>
    </row>
    <row r="5" spans="1:7" ht="15">
      <c r="A5" s="18"/>
      <c r="B5" s="221"/>
      <c r="C5" s="53"/>
      <c r="D5" s="53"/>
      <c r="E5" s="18"/>
      <c r="F5" s="18"/>
      <c r="G5" s="18"/>
    </row>
    <row r="6" spans="1:7" ht="15">
      <c r="A6" s="18"/>
      <c r="B6" s="221" t="s">
        <v>3</v>
      </c>
      <c r="C6" s="53"/>
      <c r="D6" s="53"/>
      <c r="E6" s="18"/>
      <c r="F6" s="18"/>
      <c r="G6" s="18"/>
    </row>
    <row r="7" spans="1:7" ht="15">
      <c r="A7" s="18"/>
      <c r="B7" s="221"/>
      <c r="C7" s="53"/>
      <c r="D7" s="53"/>
      <c r="E7" s="18"/>
      <c r="F7" s="18"/>
      <c r="G7" s="18"/>
    </row>
    <row r="8" spans="1:7" ht="15">
      <c r="A8" s="18"/>
      <c r="B8" s="221"/>
      <c r="C8" s="53"/>
      <c r="D8" s="53"/>
      <c r="E8" s="18"/>
      <c r="F8" s="18"/>
      <c r="G8" s="18"/>
    </row>
    <row r="9" spans="1:7" ht="15">
      <c r="A9" s="18"/>
      <c r="B9" s="221" t="s">
        <v>4</v>
      </c>
      <c r="C9" s="53"/>
      <c r="D9" s="53"/>
      <c r="E9" s="18"/>
      <c r="F9" s="18"/>
      <c r="G9" s="18"/>
    </row>
    <row r="10" spans="1:7" ht="15">
      <c r="A10" s="18"/>
      <c r="B10" s="221"/>
      <c r="C10" s="53"/>
      <c r="D10" s="53"/>
      <c r="E10" s="18"/>
      <c r="F10" s="18"/>
      <c r="G10" s="18"/>
    </row>
    <row r="11" spans="1:7" ht="15">
      <c r="A11" s="18"/>
      <c r="B11" s="221"/>
      <c r="C11" s="53"/>
      <c r="D11" s="53"/>
      <c r="E11" s="18"/>
      <c r="F11" s="18"/>
      <c r="G11" s="18"/>
    </row>
    <row r="12" spans="1:7">
      <c r="A12" s="18"/>
      <c r="B12" s="18"/>
      <c r="C12" s="53"/>
      <c r="D12" s="53"/>
      <c r="E12" s="18"/>
      <c r="F12" s="18"/>
      <c r="G12" s="18"/>
    </row>
    <row r="13" spans="1:7">
      <c r="A13" s="18"/>
      <c r="B13" s="18"/>
      <c r="C13" s="53"/>
      <c r="D13" s="53"/>
      <c r="E13" s="18"/>
      <c r="F13" s="18"/>
      <c r="G13" s="18"/>
    </row>
    <row r="14" spans="1:7">
      <c r="A14" s="18"/>
      <c r="B14" s="18"/>
      <c r="C14" s="53"/>
      <c r="D14" s="53"/>
      <c r="E14" s="18"/>
      <c r="F14" s="18"/>
      <c r="G14" s="18"/>
    </row>
    <row r="15" spans="1:7">
      <c r="A15" s="18"/>
      <c r="B15" s="18"/>
      <c r="C15" s="53"/>
      <c r="D15" s="53"/>
      <c r="E15" s="18"/>
      <c r="F15" s="18"/>
      <c r="G15" s="18"/>
    </row>
    <row r="16" spans="1:7">
      <c r="A16" s="18"/>
      <c r="B16" s="18"/>
      <c r="C16" s="53"/>
      <c r="D16" s="53"/>
      <c r="E16" s="18"/>
      <c r="F16" s="18"/>
      <c r="G16" s="18"/>
    </row>
    <row r="17" spans="1:7">
      <c r="A17" s="18"/>
      <c r="B17" s="18"/>
      <c r="C17" s="53"/>
      <c r="D17" s="53"/>
      <c r="E17" s="18"/>
      <c r="F17" s="18"/>
      <c r="G17" s="18"/>
    </row>
    <row r="18" spans="1:7">
      <c r="A18" s="18"/>
      <c r="B18" s="18"/>
      <c r="C18" s="53"/>
      <c r="D18" s="53"/>
      <c r="E18" s="18"/>
      <c r="F18" s="18"/>
      <c r="G18" s="18"/>
    </row>
    <row r="19" spans="1:7">
      <c r="A19" s="18"/>
      <c r="B19" s="18"/>
      <c r="C19" s="53"/>
      <c r="D19" s="53"/>
      <c r="E19" s="18"/>
      <c r="F19" s="18"/>
      <c r="G19" s="18"/>
    </row>
    <row r="20" spans="1:7" ht="45">
      <c r="A20" s="18"/>
      <c r="B20" s="221" t="s">
        <v>13</v>
      </c>
      <c r="C20" s="18"/>
      <c r="D20" s="18"/>
      <c r="E20" s="18"/>
      <c r="F20" s="18"/>
      <c r="G20" s="18"/>
    </row>
    <row r="21" spans="1:7" ht="15">
      <c r="A21" s="18"/>
      <c r="B21" s="221"/>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ht="45">
      <c r="A34" s="18"/>
      <c r="B34" s="221" t="s">
        <v>10</v>
      </c>
      <c r="C34" s="18"/>
      <c r="D34" s="18"/>
      <c r="E34" s="18"/>
      <c r="F34" s="18"/>
      <c r="G34" s="18"/>
    </row>
    <row r="35" spans="1:7" ht="15">
      <c r="A35" s="18"/>
      <c r="B35" s="221"/>
      <c r="C35" s="18"/>
      <c r="D35" s="18"/>
      <c r="E35" s="18"/>
      <c r="F35" s="18"/>
      <c r="G35" s="18"/>
    </row>
    <row r="36" spans="1:7" ht="30">
      <c r="A36" s="18"/>
      <c r="B36" s="221" t="s">
        <v>5</v>
      </c>
      <c r="C36" s="18"/>
      <c r="D36" s="18"/>
      <c r="E36" s="18"/>
      <c r="F36" s="18"/>
      <c r="G36" s="18"/>
    </row>
    <row r="37" spans="1:7" ht="15">
      <c r="A37" s="18"/>
      <c r="B37" s="221"/>
      <c r="C37" s="18"/>
      <c r="D37" s="18"/>
      <c r="E37" s="18"/>
      <c r="F37" s="18"/>
      <c r="G37" s="18"/>
    </row>
    <row r="38" spans="1:7" ht="15">
      <c r="A38" s="18"/>
      <c r="B38" s="221" t="s">
        <v>6</v>
      </c>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sheetData>
  <phoneticPr fontId="14" type="noConversion"/>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AP207"/>
  <sheetViews>
    <sheetView tabSelected="1" topLeftCell="B10" zoomScaleNormal="100" workbookViewId="0">
      <selection activeCell="E24" sqref="E24"/>
    </sheetView>
  </sheetViews>
  <sheetFormatPr defaultRowHeight="12.75"/>
  <cols>
    <col min="1" max="1" width="3.42578125" style="18" customWidth="1"/>
    <col min="2" max="2" width="30.140625" customWidth="1"/>
    <col min="3" max="3" width="15.5703125" customWidth="1"/>
    <col min="4" max="4" width="19" customWidth="1"/>
    <col min="5" max="5" width="13.85546875" style="1" customWidth="1"/>
    <col min="6" max="6" width="54.5703125" customWidth="1"/>
    <col min="7" max="7" width="17.7109375" style="4" customWidth="1"/>
    <col min="8" max="8" width="15" style="1" customWidth="1"/>
    <col min="9" max="9" width="11.7109375" style="1" customWidth="1"/>
    <col min="10" max="10" width="16.42578125" customWidth="1"/>
    <col min="11" max="11" width="12.140625" style="18" customWidth="1"/>
    <col min="12" max="12" width="16.5703125" style="18" customWidth="1"/>
    <col min="13" max="14" width="10" style="18" bestFit="1" customWidth="1"/>
    <col min="15" max="21" width="4.7109375" style="18" customWidth="1"/>
    <col min="22" max="22" width="9.140625" style="18"/>
  </cols>
  <sheetData>
    <row r="1" spans="1:42">
      <c r="B1" s="19"/>
      <c r="C1" s="18"/>
      <c r="D1" s="18"/>
      <c r="E1" s="18"/>
      <c r="F1" s="18"/>
      <c r="G1" s="25"/>
      <c r="H1" s="18"/>
      <c r="I1" s="18"/>
      <c r="J1" s="18"/>
      <c r="W1" s="18"/>
      <c r="X1" s="18"/>
      <c r="Y1" s="18"/>
      <c r="Z1" s="18"/>
      <c r="AA1" s="18"/>
      <c r="AB1" s="18"/>
      <c r="AC1" s="18"/>
      <c r="AD1" s="18"/>
      <c r="AE1" s="18"/>
      <c r="AF1" s="18"/>
      <c r="AG1" s="18"/>
      <c r="AH1" s="18"/>
      <c r="AI1" s="18"/>
      <c r="AJ1" s="18"/>
      <c r="AK1" s="18"/>
      <c r="AL1" s="18"/>
      <c r="AM1" s="18"/>
      <c r="AN1" s="18"/>
      <c r="AO1" s="18"/>
      <c r="AP1" s="18"/>
    </row>
    <row r="2" spans="1:42">
      <c r="B2" s="18"/>
      <c r="C2" s="18"/>
      <c r="D2" s="18"/>
      <c r="E2" s="18"/>
      <c r="F2" s="18"/>
      <c r="G2" s="25"/>
      <c r="H2" s="18"/>
      <c r="I2" s="18"/>
      <c r="J2" s="18"/>
      <c r="W2" s="18"/>
      <c r="X2" s="18"/>
      <c r="Y2" s="18"/>
      <c r="Z2" s="18"/>
      <c r="AA2" s="18"/>
      <c r="AB2" s="18"/>
      <c r="AC2" s="18"/>
      <c r="AD2" s="18"/>
      <c r="AE2" s="18"/>
      <c r="AF2" s="18"/>
      <c r="AG2" s="18"/>
      <c r="AH2" s="18"/>
      <c r="AI2" s="18"/>
      <c r="AJ2" s="18"/>
      <c r="AK2" s="18"/>
      <c r="AL2" s="18"/>
      <c r="AM2" s="18"/>
      <c r="AN2" s="18"/>
      <c r="AO2" s="18"/>
    </row>
    <row r="3" spans="1:42" s="21" customFormat="1" ht="35.25">
      <c r="A3" s="20"/>
      <c r="C3" s="22" t="s">
        <v>244</v>
      </c>
      <c r="D3" s="20"/>
      <c r="E3" s="20"/>
      <c r="F3" s="20"/>
      <c r="G3" s="26"/>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row>
    <row r="4" spans="1:42" s="21" customFormat="1" ht="30">
      <c r="A4" s="20"/>
      <c r="B4" s="20"/>
      <c r="C4" s="185" t="s">
        <v>301</v>
      </c>
      <c r="D4" s="20"/>
      <c r="E4" s="20"/>
      <c r="F4" s="20"/>
      <c r="G4" s="26"/>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row>
    <row r="5" spans="1:42" s="18" customFormat="1" ht="13.5" thickBot="1">
      <c r="E5" s="24"/>
      <c r="G5" s="25"/>
      <c r="H5" s="24"/>
      <c r="I5" s="24"/>
      <c r="AJ5" s="48" t="s">
        <v>159</v>
      </c>
      <c r="AN5" s="48"/>
    </row>
    <row r="6" spans="1:42" ht="15.75">
      <c r="B6" s="42" t="s">
        <v>137</v>
      </c>
      <c r="C6" s="43"/>
      <c r="D6" s="43"/>
      <c r="E6" s="44"/>
      <c r="F6" s="59" t="s">
        <v>156</v>
      </c>
      <c r="G6" s="58"/>
      <c r="H6" s="24"/>
      <c r="I6" s="24"/>
      <c r="J6" s="18"/>
      <c r="AJ6" s="15" t="s">
        <v>120</v>
      </c>
      <c r="AK6" s="5" t="s">
        <v>129</v>
      </c>
      <c r="AL6" s="5" t="s">
        <v>138</v>
      </c>
      <c r="AN6" s="15" t="s">
        <v>160</v>
      </c>
      <c r="AO6" s="65" t="s">
        <v>162</v>
      </c>
    </row>
    <row r="7" spans="1:42">
      <c r="B7" s="231" t="s">
        <v>247</v>
      </c>
      <c r="C7" s="232"/>
      <c r="D7" s="232"/>
      <c r="E7" s="233"/>
      <c r="F7" s="247" t="s">
        <v>157</v>
      </c>
      <c r="G7" s="243"/>
      <c r="H7" s="24"/>
      <c r="I7" s="24"/>
      <c r="J7" s="18"/>
      <c r="AJ7" s="15" t="s">
        <v>121</v>
      </c>
      <c r="AL7" s="5" t="s">
        <v>139</v>
      </c>
      <c r="AN7" s="15" t="s">
        <v>120</v>
      </c>
      <c r="AO7" s="65" t="s">
        <v>163</v>
      </c>
    </row>
    <row r="8" spans="1:42">
      <c r="B8" s="234"/>
      <c r="C8" s="232"/>
      <c r="D8" s="232"/>
      <c r="E8" s="233"/>
      <c r="F8" s="247"/>
      <c r="G8" s="244"/>
      <c r="H8" s="24"/>
      <c r="I8" s="24"/>
      <c r="J8" s="18"/>
      <c r="AJ8" s="15" t="s">
        <v>122</v>
      </c>
      <c r="AK8" s="5"/>
      <c r="AN8" s="15" t="s">
        <v>121</v>
      </c>
      <c r="AO8" s="65" t="s">
        <v>164</v>
      </c>
    </row>
    <row r="9" spans="1:42" ht="25.5">
      <c r="B9" s="234"/>
      <c r="C9" s="232"/>
      <c r="D9" s="232"/>
      <c r="E9" s="233"/>
      <c r="F9" s="136" t="s">
        <v>166</v>
      </c>
      <c r="G9" s="137"/>
      <c r="H9" s="24"/>
      <c r="I9" s="24"/>
      <c r="J9" s="18"/>
      <c r="AJ9" s="15" t="s">
        <v>123</v>
      </c>
      <c r="AK9" s="5"/>
      <c r="AL9" s="5"/>
      <c r="AN9" s="15" t="s">
        <v>122</v>
      </c>
      <c r="AO9" s="65" t="s">
        <v>165</v>
      </c>
    </row>
    <row r="10" spans="1:42">
      <c r="B10" s="234"/>
      <c r="C10" s="232"/>
      <c r="D10" s="232"/>
      <c r="E10" s="233"/>
      <c r="F10" s="258" t="s">
        <v>256</v>
      </c>
      <c r="G10" s="238" t="s">
        <v>257</v>
      </c>
      <c r="H10" s="24"/>
      <c r="I10" s="24"/>
      <c r="J10" s="18"/>
      <c r="AJ10" s="15" t="s">
        <v>124</v>
      </c>
      <c r="AK10" s="5"/>
      <c r="AL10" s="5"/>
      <c r="AN10" s="15" t="s">
        <v>123</v>
      </c>
      <c r="AO10" s="15"/>
    </row>
    <row r="11" spans="1:42" ht="49.5" customHeight="1">
      <c r="B11" s="234"/>
      <c r="C11" s="232"/>
      <c r="D11" s="232"/>
      <c r="E11" s="233"/>
      <c r="F11" s="259"/>
      <c r="G11" s="239"/>
      <c r="H11" s="24"/>
      <c r="I11" s="24"/>
      <c r="J11" s="18"/>
      <c r="AJ11" s="60">
        <v>110</v>
      </c>
      <c r="AN11" s="15" t="s">
        <v>124</v>
      </c>
      <c r="AO11" s="15"/>
    </row>
    <row r="12" spans="1:42" ht="49.5" customHeight="1">
      <c r="B12" s="234"/>
      <c r="C12" s="232"/>
      <c r="D12" s="232"/>
      <c r="E12" s="233"/>
      <c r="F12" s="146" t="s">
        <v>483</v>
      </c>
      <c r="G12" s="205"/>
      <c r="H12" s="24"/>
      <c r="I12" s="24"/>
      <c r="J12" s="18"/>
      <c r="AJ12" s="60"/>
      <c r="AN12" s="15"/>
      <c r="AO12" s="15"/>
    </row>
    <row r="13" spans="1:42">
      <c r="B13" s="234"/>
      <c r="C13" s="232"/>
      <c r="D13" s="232"/>
      <c r="E13" s="233"/>
      <c r="F13" s="247" t="s">
        <v>7</v>
      </c>
      <c r="G13" s="245"/>
      <c r="H13" s="24"/>
      <c r="I13" s="24"/>
      <c r="J13" s="18"/>
      <c r="AJ13" s="49" t="s">
        <v>125</v>
      </c>
      <c r="AN13" s="60">
        <v>110</v>
      </c>
      <c r="AO13" s="60"/>
    </row>
    <row r="14" spans="1:42" ht="40.5" customHeight="1" thickBot="1">
      <c r="B14" s="235"/>
      <c r="C14" s="236"/>
      <c r="D14" s="236"/>
      <c r="E14" s="237"/>
      <c r="F14" s="268"/>
      <c r="G14" s="246"/>
      <c r="H14" s="24"/>
      <c r="I14" s="24"/>
      <c r="J14" s="18"/>
      <c r="AK14" s="18"/>
      <c r="AL14" s="18"/>
      <c r="AM14" s="18"/>
      <c r="AN14" s="49" t="s">
        <v>125</v>
      </c>
      <c r="AO14" s="49"/>
    </row>
    <row r="15" spans="1:42" s="18" customFormat="1" ht="13.5" thickBot="1">
      <c r="B15" s="48"/>
      <c r="E15" s="24"/>
      <c r="G15" s="25"/>
      <c r="H15" s="24"/>
      <c r="I15" s="24"/>
      <c r="AJ15"/>
      <c r="AK15"/>
      <c r="AL15"/>
      <c r="AM15"/>
      <c r="AN15"/>
      <c r="AO15"/>
    </row>
    <row r="16" spans="1:42" ht="15.75">
      <c r="B16" s="42" t="s">
        <v>500</v>
      </c>
      <c r="C16" s="43"/>
      <c r="D16" s="52"/>
      <c r="E16" s="24"/>
      <c r="F16" s="266" t="s">
        <v>161</v>
      </c>
      <c r="G16" s="267"/>
      <c r="H16" s="24"/>
      <c r="I16" s="24"/>
      <c r="J16" s="18"/>
    </row>
    <row r="17" spans="2:41" ht="12.75" customHeight="1">
      <c r="B17" s="45" t="s">
        <v>63</v>
      </c>
      <c r="C17" s="227" t="s">
        <v>501</v>
      </c>
      <c r="D17" s="228"/>
      <c r="E17" s="24"/>
      <c r="F17" s="256" t="s">
        <v>245</v>
      </c>
      <c r="G17" s="257"/>
      <c r="H17" s="24"/>
      <c r="I17" s="24"/>
      <c r="J17" s="18"/>
    </row>
    <row r="18" spans="2:41">
      <c r="B18" s="45" t="s">
        <v>141</v>
      </c>
      <c r="C18" s="250" t="s">
        <v>502</v>
      </c>
      <c r="D18" s="251"/>
      <c r="E18" s="24"/>
      <c r="F18" s="256"/>
      <c r="G18" s="257"/>
      <c r="H18" s="24"/>
      <c r="I18" s="24"/>
      <c r="J18" s="18"/>
    </row>
    <row r="19" spans="2:41">
      <c r="B19" s="45" t="s">
        <v>64</v>
      </c>
      <c r="C19" s="250" t="s">
        <v>12</v>
      </c>
      <c r="D19" s="251"/>
      <c r="E19" s="24"/>
      <c r="F19" s="256"/>
      <c r="G19" s="257"/>
      <c r="H19" s="24"/>
      <c r="I19" s="24"/>
      <c r="J19" s="18"/>
    </row>
    <row r="20" spans="2:41">
      <c r="B20" s="45" t="s">
        <v>140</v>
      </c>
      <c r="C20" s="250" t="s">
        <v>503</v>
      </c>
      <c r="D20" s="252"/>
      <c r="E20" s="24"/>
      <c r="F20" s="256"/>
      <c r="G20" s="257"/>
      <c r="H20" s="24"/>
      <c r="I20" s="24"/>
      <c r="J20" s="18"/>
    </row>
    <row r="21" spans="2:41">
      <c r="B21" s="45" t="s">
        <v>482</v>
      </c>
      <c r="C21" s="250" t="s">
        <v>11</v>
      </c>
      <c r="D21" s="251"/>
      <c r="E21" s="24"/>
      <c r="F21" s="256"/>
      <c r="G21" s="257"/>
      <c r="H21" s="24"/>
      <c r="I21" s="24"/>
      <c r="J21" s="18"/>
    </row>
    <row r="22" spans="2:41">
      <c r="B22" s="45" t="s">
        <v>65</v>
      </c>
      <c r="C22" s="227">
        <v>13</v>
      </c>
      <c r="D22" s="228"/>
      <c r="E22" s="24"/>
      <c r="F22" s="256"/>
      <c r="G22" s="257"/>
      <c r="H22" s="24"/>
      <c r="I22" s="24"/>
      <c r="J22" s="18"/>
    </row>
    <row r="23" spans="2:41">
      <c r="B23" s="45" t="s">
        <v>66</v>
      </c>
      <c r="C23" s="227">
        <v>9</v>
      </c>
      <c r="D23" s="228"/>
      <c r="E23" s="24"/>
      <c r="F23" s="256"/>
      <c r="G23" s="257"/>
      <c r="H23" s="24"/>
      <c r="I23" s="24"/>
      <c r="J23" s="18"/>
    </row>
    <row r="24" spans="2:41">
      <c r="B24" s="45" t="s">
        <v>67</v>
      </c>
      <c r="C24" s="227">
        <v>4</v>
      </c>
      <c r="D24" s="228"/>
      <c r="E24" s="24"/>
      <c r="F24" s="256"/>
      <c r="G24" s="257"/>
      <c r="H24" s="24"/>
      <c r="I24" s="24"/>
      <c r="J24" s="18"/>
    </row>
    <row r="25" spans="2:41">
      <c r="B25" s="45" t="s">
        <v>243</v>
      </c>
      <c r="C25" s="227">
        <v>1</v>
      </c>
      <c r="D25" s="228"/>
      <c r="E25" s="24"/>
      <c r="F25" s="256"/>
      <c r="G25" s="257"/>
      <c r="H25" s="24"/>
      <c r="I25" s="24"/>
      <c r="J25" s="18"/>
    </row>
    <row r="26" spans="2:41">
      <c r="B26" s="46" t="s">
        <v>128</v>
      </c>
      <c r="C26" s="227" t="s">
        <v>8</v>
      </c>
      <c r="D26" s="228"/>
      <c r="E26" s="24"/>
      <c r="F26" s="61"/>
      <c r="G26" s="62"/>
      <c r="H26" s="24"/>
      <c r="I26" s="24"/>
      <c r="J26" s="18"/>
    </row>
    <row r="27" spans="2:41">
      <c r="B27" s="46" t="s">
        <v>136</v>
      </c>
      <c r="C27" s="227">
        <v>400</v>
      </c>
      <c r="D27" s="228"/>
      <c r="E27" s="24"/>
      <c r="F27" s="61"/>
      <c r="G27" s="62"/>
      <c r="H27" s="24"/>
      <c r="I27" s="24"/>
      <c r="J27" s="18"/>
      <c r="AJ27" s="18"/>
    </row>
    <row r="28" spans="2:41" ht="15" thickBot="1">
      <c r="B28" s="47" t="s">
        <v>135</v>
      </c>
      <c r="C28" s="225">
        <f>ROUNDDOWN((1/C27)*1000, 2)</f>
        <v>2.5</v>
      </c>
      <c r="D28" s="226"/>
      <c r="E28" s="24"/>
      <c r="F28" s="63"/>
      <c r="G28" s="64"/>
      <c r="H28" s="24"/>
      <c r="I28" s="24"/>
      <c r="J28" s="18"/>
      <c r="AK28" s="18"/>
      <c r="AL28" s="18"/>
      <c r="AM28" s="18"/>
      <c r="AN28" s="18"/>
      <c r="AO28" s="18"/>
    </row>
    <row r="29" spans="2:41" ht="15" thickBot="1">
      <c r="B29" s="50"/>
      <c r="C29" s="209"/>
      <c r="D29" s="209"/>
      <c r="E29" s="24"/>
      <c r="F29" s="207"/>
      <c r="G29" s="208"/>
      <c r="H29" s="24"/>
      <c r="I29" s="24"/>
      <c r="J29" s="18"/>
      <c r="AK29" s="18"/>
      <c r="AL29" s="18"/>
      <c r="AM29" s="18"/>
      <c r="AN29" s="18"/>
      <c r="AO29" s="18"/>
    </row>
    <row r="30" spans="2:41" ht="15" customHeight="1" thickBot="1">
      <c r="B30" s="278" t="s">
        <v>495</v>
      </c>
      <c r="C30" s="279"/>
      <c r="D30" s="279"/>
      <c r="E30" s="279"/>
      <c r="F30" s="279"/>
      <c r="G30" s="279"/>
      <c r="H30" s="279"/>
      <c r="I30" s="279"/>
      <c r="J30" s="280"/>
      <c r="AK30" s="18"/>
      <c r="AL30" s="18"/>
      <c r="AM30" s="18"/>
      <c r="AN30" s="18"/>
      <c r="AO30" s="18"/>
    </row>
    <row r="31" spans="2:41" s="18" customFormat="1" ht="15" thickBot="1">
      <c r="B31" s="50"/>
      <c r="C31" s="51"/>
      <c r="E31" s="24"/>
      <c r="G31" s="25"/>
      <c r="H31" s="24"/>
      <c r="I31" s="24"/>
      <c r="AJ31" s="16"/>
      <c r="AK31"/>
      <c r="AL31"/>
      <c r="AM31"/>
      <c r="AN31"/>
      <c r="AO31"/>
    </row>
    <row r="32" spans="2:41" ht="51.75" thickBot="1">
      <c r="B32" s="248" t="s">
        <v>314</v>
      </c>
      <c r="C32" s="249"/>
      <c r="D32" s="3" t="s">
        <v>126</v>
      </c>
      <c r="E32" s="3" t="s">
        <v>58</v>
      </c>
      <c r="F32" s="7" t="s">
        <v>16</v>
      </c>
      <c r="G32" s="27" t="s">
        <v>47</v>
      </c>
      <c r="H32" s="8" t="s">
        <v>116</v>
      </c>
      <c r="I32" s="8" t="s">
        <v>127</v>
      </c>
      <c r="J32" s="75"/>
      <c r="AJ32" s="16"/>
    </row>
    <row r="33" spans="1:41" ht="3" customHeight="1" thickBot="1">
      <c r="B33" s="188"/>
      <c r="C33" s="189"/>
      <c r="D33" s="190"/>
      <c r="E33" s="190"/>
      <c r="F33" s="191"/>
      <c r="G33" s="192"/>
      <c r="H33" s="190"/>
      <c r="I33" s="190"/>
      <c r="J33" s="55"/>
      <c r="AK33" s="16"/>
      <c r="AL33" s="16"/>
      <c r="AM33" s="16"/>
      <c r="AN33" s="16"/>
      <c r="AO33" s="16"/>
    </row>
    <row r="34" spans="1:41" ht="76.5">
      <c r="B34" s="284" t="s">
        <v>315</v>
      </c>
      <c r="C34" s="285"/>
      <c r="D34" s="194" t="s">
        <v>165</v>
      </c>
      <c r="E34" s="135" t="str">
        <f>DEC2HEX((BIN2DEC(D34)*2^16),8)</f>
        <v>00030000</v>
      </c>
      <c r="F34" s="195" t="s">
        <v>323</v>
      </c>
      <c r="G34" s="303" t="s">
        <v>312</v>
      </c>
      <c r="H34" s="303" t="s">
        <v>313</v>
      </c>
      <c r="I34" s="307" t="str">
        <f>"0x"&amp;(DEC2HEX(HEX2DEC(E41)+HEX2DEC(E40)+HEX2DEC(E39)+HEX2DEC(E38)+HEX2DEC(E37)+HEX2DEC(E36)+HEX2DEC(E35)+HEX2DEC(E34),8))</f>
        <v>0x00030000</v>
      </c>
      <c r="J34" s="306"/>
      <c r="AK34" s="16"/>
      <c r="AL34" s="16"/>
      <c r="AM34" s="16"/>
      <c r="AN34" s="16"/>
      <c r="AO34" s="16"/>
    </row>
    <row r="35" spans="1:41" ht="63.75">
      <c r="B35" s="229" t="s">
        <v>316</v>
      </c>
      <c r="C35" s="230"/>
      <c r="D35" s="203" t="s">
        <v>162</v>
      </c>
      <c r="E35" s="133" t="str">
        <f>DEC2HEX((BIN2DEC(D35)*2^12),8)</f>
        <v>00000000</v>
      </c>
      <c r="F35" s="196" t="s">
        <v>324</v>
      </c>
      <c r="G35" s="304"/>
      <c r="H35" s="310"/>
      <c r="I35" s="308"/>
      <c r="J35" s="306"/>
      <c r="AK35" s="16"/>
      <c r="AL35" s="16"/>
      <c r="AM35" s="16"/>
      <c r="AN35" s="16"/>
      <c r="AO35" s="16"/>
    </row>
    <row r="36" spans="1:41" ht="63.75">
      <c r="B36" s="229" t="s">
        <v>317</v>
      </c>
      <c r="C36" s="230"/>
      <c r="D36" s="203" t="s">
        <v>162</v>
      </c>
      <c r="E36" s="133" t="str">
        <f>DEC2HEX((BIN2DEC(D36)*2^10),8)</f>
        <v>00000000</v>
      </c>
      <c r="F36" s="196" t="s">
        <v>325</v>
      </c>
      <c r="G36" s="304"/>
      <c r="H36" s="310"/>
      <c r="I36" s="308"/>
      <c r="J36" s="306"/>
      <c r="AK36" s="16"/>
      <c r="AL36" s="16"/>
      <c r="AM36" s="16"/>
      <c r="AN36" s="16"/>
      <c r="AO36" s="16"/>
    </row>
    <row r="37" spans="1:41" ht="76.5">
      <c r="B37" s="229" t="s">
        <v>318</v>
      </c>
      <c r="C37" s="230"/>
      <c r="D37" s="203" t="s">
        <v>162</v>
      </c>
      <c r="E37" s="133" t="str">
        <f>DEC2HEX((BIN2DEC(D37)*2^8),8)</f>
        <v>00000000</v>
      </c>
      <c r="F37" s="196" t="s">
        <v>326</v>
      </c>
      <c r="G37" s="304"/>
      <c r="H37" s="310"/>
      <c r="I37" s="308"/>
      <c r="J37" s="306"/>
      <c r="AK37" s="16"/>
      <c r="AL37" s="16"/>
      <c r="AM37" s="16"/>
      <c r="AN37" s="16"/>
      <c r="AO37" s="16"/>
    </row>
    <row r="38" spans="1:41" ht="51">
      <c r="B38" s="229" t="s">
        <v>319</v>
      </c>
      <c r="C38" s="230"/>
      <c r="D38" s="203" t="s">
        <v>162</v>
      </c>
      <c r="E38" s="133" t="str">
        <f>DEC2HEX((BIN2DEC(D38)*2^6),8)</f>
        <v>00000000</v>
      </c>
      <c r="F38" s="196" t="s">
        <v>329</v>
      </c>
      <c r="G38" s="304"/>
      <c r="H38" s="310"/>
      <c r="I38" s="308"/>
      <c r="J38" s="306"/>
      <c r="AK38" s="16"/>
      <c r="AL38" s="16"/>
      <c r="AM38" s="16"/>
      <c r="AN38" s="16"/>
      <c r="AO38" s="16"/>
    </row>
    <row r="39" spans="1:41" ht="51">
      <c r="B39" s="229" t="s">
        <v>320</v>
      </c>
      <c r="C39" s="230"/>
      <c r="D39" s="203" t="s">
        <v>162</v>
      </c>
      <c r="E39" s="133" t="str">
        <f>DEC2HEX((BIN2DEC(D39)*2^4),8)</f>
        <v>00000000</v>
      </c>
      <c r="F39" s="196" t="s">
        <v>330</v>
      </c>
      <c r="G39" s="304"/>
      <c r="H39" s="310"/>
      <c r="I39" s="308"/>
      <c r="J39" s="306"/>
      <c r="AK39" s="16"/>
      <c r="AL39" s="16"/>
      <c r="AM39" s="16"/>
      <c r="AN39" s="16"/>
      <c r="AO39" s="16"/>
    </row>
    <row r="40" spans="1:41" ht="63.75">
      <c r="B40" s="229" t="s">
        <v>321</v>
      </c>
      <c r="C40" s="230"/>
      <c r="D40" s="203" t="s">
        <v>162</v>
      </c>
      <c r="E40" s="133" t="str">
        <f>DEC2HEX((BIN2DEC(D40)*2^2),8)</f>
        <v>00000000</v>
      </c>
      <c r="F40" s="196" t="s">
        <v>327</v>
      </c>
      <c r="G40" s="304"/>
      <c r="H40" s="310"/>
      <c r="I40" s="308"/>
      <c r="J40" s="306"/>
      <c r="AK40" s="16"/>
      <c r="AL40" s="16"/>
      <c r="AM40" s="16"/>
      <c r="AN40" s="16"/>
      <c r="AO40" s="16"/>
    </row>
    <row r="41" spans="1:41" s="16" customFormat="1" ht="64.5" thickBot="1">
      <c r="A41" s="23"/>
      <c r="B41" s="286" t="s">
        <v>322</v>
      </c>
      <c r="C41" s="287"/>
      <c r="D41" s="204" t="s">
        <v>162</v>
      </c>
      <c r="E41" s="134" t="str">
        <f>DEC2HEX((BIN2DEC(D41)*2^0),8)</f>
        <v>00000000</v>
      </c>
      <c r="F41" s="193" t="s">
        <v>328</v>
      </c>
      <c r="G41" s="305"/>
      <c r="H41" s="287"/>
      <c r="I41" s="309"/>
      <c r="J41" s="306"/>
      <c r="K41" s="23"/>
      <c r="L41" s="23"/>
      <c r="M41" s="23"/>
      <c r="N41" s="23"/>
      <c r="O41" s="23"/>
      <c r="P41" s="23"/>
      <c r="Q41" s="23"/>
      <c r="R41" s="23"/>
      <c r="S41" s="23"/>
      <c r="T41" s="23"/>
      <c r="U41" s="23"/>
      <c r="V41" s="23"/>
      <c r="AJ41"/>
      <c r="AK41"/>
      <c r="AL41"/>
      <c r="AM41"/>
      <c r="AN41"/>
      <c r="AO41"/>
    </row>
    <row r="42" spans="1:41" ht="13.5" thickBot="1">
      <c r="B42" s="50"/>
      <c r="C42" s="18"/>
      <c r="D42" s="18"/>
      <c r="E42" s="24"/>
      <c r="F42" s="18"/>
      <c r="G42" s="25"/>
      <c r="H42" s="24"/>
      <c r="I42" s="24"/>
      <c r="J42" s="18"/>
    </row>
    <row r="43" spans="1:41" ht="39" thickBot="1">
      <c r="B43" s="28" t="s">
        <v>311</v>
      </c>
      <c r="C43" s="28" t="s">
        <v>39</v>
      </c>
      <c r="D43" s="28" t="s">
        <v>246</v>
      </c>
      <c r="E43" s="28" t="s">
        <v>58</v>
      </c>
      <c r="F43" s="29" t="s">
        <v>16</v>
      </c>
      <c r="G43" s="30" t="s">
        <v>47</v>
      </c>
      <c r="H43" s="31" t="s">
        <v>116</v>
      </c>
      <c r="I43" s="31" t="s">
        <v>48</v>
      </c>
      <c r="J43" s="31" t="s">
        <v>154</v>
      </c>
    </row>
    <row r="44" spans="1:41" ht="3" customHeight="1" thickBot="1">
      <c r="B44" s="100"/>
      <c r="C44" s="100"/>
      <c r="D44" s="100"/>
      <c r="E44" s="100"/>
      <c r="F44" s="101"/>
      <c r="G44" s="102"/>
      <c r="H44" s="103"/>
      <c r="I44" s="103"/>
      <c r="J44" s="103"/>
    </row>
    <row r="45" spans="1:41" ht="25.5">
      <c r="B45" s="106" t="s">
        <v>249</v>
      </c>
      <c r="C45" s="123" t="s">
        <v>15</v>
      </c>
      <c r="D45" s="123">
        <v>0</v>
      </c>
      <c r="E45" s="109" t="str">
        <f>DEC2HEX((D45*2^24),8)</f>
        <v>00000000</v>
      </c>
      <c r="F45" s="110" t="s">
        <v>253</v>
      </c>
      <c r="G45" s="240" t="s">
        <v>46</v>
      </c>
      <c r="H45" s="240" t="s">
        <v>248</v>
      </c>
      <c r="I45" s="260" t="str">
        <f>"0x"&amp;(DEC2HEX((HEX2DEC(E45)+HEX2DEC(E46)+HEX2DEC(E47)),8))</f>
        <v>0x00000000</v>
      </c>
      <c r="J45" s="281" t="str">
        <f>"0x"&amp;(DEC2HEX((HEX2DEC(E45)+HEX2DEC(E46)+HEX2DEC(E47) + 1),8))</f>
        <v>0x00000001</v>
      </c>
    </row>
    <row r="46" spans="1:41" ht="25.5">
      <c r="B46" s="139" t="s">
        <v>250</v>
      </c>
      <c r="C46" s="142" t="s">
        <v>15</v>
      </c>
      <c r="D46" s="142">
        <v>0</v>
      </c>
      <c r="E46" s="33" t="str">
        <f>DEC2HEX((D46*2^16),8)</f>
        <v>00000000</v>
      </c>
      <c r="F46" s="144" t="s">
        <v>254</v>
      </c>
      <c r="G46" s="274"/>
      <c r="H46" s="274"/>
      <c r="I46" s="261"/>
      <c r="J46" s="282"/>
    </row>
    <row r="47" spans="1:41" ht="39" thickBot="1">
      <c r="B47" s="111" t="s">
        <v>251</v>
      </c>
      <c r="C47" s="140" t="s">
        <v>15</v>
      </c>
      <c r="D47" s="140">
        <v>0</v>
      </c>
      <c r="E47" s="112" t="str">
        <f>DEC2HEX((D47*2^0),8)</f>
        <v>00000000</v>
      </c>
      <c r="F47" s="113" t="s">
        <v>252</v>
      </c>
      <c r="G47" s="242"/>
      <c r="H47" s="242"/>
      <c r="I47" s="269"/>
      <c r="J47" s="283"/>
    </row>
    <row r="48" spans="1:41" ht="51">
      <c r="B48" s="80" t="s">
        <v>54</v>
      </c>
      <c r="C48" s="95" t="s">
        <v>15</v>
      </c>
      <c r="D48" s="145">
        <v>1</v>
      </c>
      <c r="E48" s="82" t="str">
        <f>DEC2HEX((D48*2^24),8)</f>
        <v>01000000</v>
      </c>
      <c r="F48" s="96" t="s">
        <v>55</v>
      </c>
      <c r="G48" s="263" t="s">
        <v>59</v>
      </c>
      <c r="H48" s="263" t="s">
        <v>255</v>
      </c>
      <c r="I48" s="270" t="str">
        <f>"0x"&amp;DEC2HEX((HEX2DEC(E51)+HEX2DEC(E49)+HEX2DEC(E50)+HEX2DEC(E48)), 8)</f>
        <v>0x0103020A</v>
      </c>
      <c r="J48" s="138"/>
    </row>
    <row r="49" spans="2:10" ht="89.25">
      <c r="B49" s="84" t="s">
        <v>51</v>
      </c>
      <c r="C49" s="10" t="s">
        <v>15</v>
      </c>
      <c r="D49" s="147">
        <f>(12-C23)</f>
        <v>3</v>
      </c>
      <c r="E49" s="2" t="str">
        <f>DEC2HEX(((D49)*2^16),8)</f>
        <v>00030000</v>
      </c>
      <c r="F49" s="9" t="s">
        <v>168</v>
      </c>
      <c r="G49" s="264"/>
      <c r="H49" s="264"/>
      <c r="I49" s="271"/>
      <c r="J49" s="18"/>
    </row>
    <row r="50" spans="2:10" ht="63.75">
      <c r="B50" s="84" t="s">
        <v>52</v>
      </c>
      <c r="C50" s="10" t="s">
        <v>15</v>
      </c>
      <c r="D50" s="147">
        <f>(15-C22)</f>
        <v>2</v>
      </c>
      <c r="E50" s="2" t="str">
        <f>DEC2HEX(((D50)*2^8),8)</f>
        <v>00000200</v>
      </c>
      <c r="F50" s="9" t="s">
        <v>169</v>
      </c>
      <c r="G50" s="264"/>
      <c r="H50" s="264"/>
      <c r="I50" s="271"/>
      <c r="J50" s="18"/>
    </row>
    <row r="51" spans="2:10" ht="39" thickBot="1">
      <c r="B51" s="97" t="s">
        <v>50</v>
      </c>
      <c r="C51" s="98" t="s">
        <v>15</v>
      </c>
      <c r="D51" s="148">
        <v>10</v>
      </c>
      <c r="E51" s="70" t="str">
        <f>DEC2HEX((D51*2^0),8)</f>
        <v>0000000A</v>
      </c>
      <c r="F51" s="99" t="s">
        <v>484</v>
      </c>
      <c r="G51" s="265"/>
      <c r="H51" s="265"/>
      <c r="I51" s="272"/>
      <c r="J51" s="18"/>
    </row>
    <row r="52" spans="2:10" ht="51">
      <c r="B52" s="150" t="s">
        <v>53</v>
      </c>
      <c r="C52" s="151" t="s">
        <v>15</v>
      </c>
      <c r="D52" s="153">
        <f>(C24-4)/4</f>
        <v>0</v>
      </c>
      <c r="E52" s="82" t="str">
        <f>DEC2HEX((D52*2^16),8)</f>
        <v>00000000</v>
      </c>
      <c r="F52" s="152" t="s">
        <v>170</v>
      </c>
      <c r="G52" s="263" t="s">
        <v>60</v>
      </c>
      <c r="H52" s="263" t="s">
        <v>258</v>
      </c>
      <c r="I52" s="260" t="str">
        <f>"0x"&amp;(DEC2HEX((HEX2DEC(E52)+HEX2DEC(E53)+HEX2DEC(E54)),8))</f>
        <v>0x00000101</v>
      </c>
      <c r="J52" s="18"/>
    </row>
    <row r="53" spans="2:10" ht="76.5">
      <c r="B53" s="84" t="s">
        <v>259</v>
      </c>
      <c r="C53" s="10" t="s">
        <v>15</v>
      </c>
      <c r="D53" s="149">
        <v>1</v>
      </c>
      <c r="E53" s="2" t="str">
        <f>DEC2HEX((D53*2^8),8)</f>
        <v>00000100</v>
      </c>
      <c r="F53" s="9" t="s">
        <v>261</v>
      </c>
      <c r="G53" s="264"/>
      <c r="H53" s="264"/>
      <c r="I53" s="261"/>
      <c r="J53" s="18"/>
    </row>
    <row r="54" spans="2:10" ht="64.5" thickBot="1">
      <c r="B54" s="97" t="s">
        <v>260</v>
      </c>
      <c r="C54" s="98" t="s">
        <v>15</v>
      </c>
      <c r="D54" s="154">
        <v>1</v>
      </c>
      <c r="E54" s="70" t="str">
        <f>DEC2HEX((D54*2^0),8)</f>
        <v>00000001</v>
      </c>
      <c r="F54" s="99" t="s">
        <v>262</v>
      </c>
      <c r="G54" s="265"/>
      <c r="H54" s="265"/>
      <c r="I54" s="262"/>
      <c r="J54" s="18"/>
    </row>
    <row r="55" spans="2:10" ht="25.5">
      <c r="B55" s="106" t="s">
        <v>62</v>
      </c>
      <c r="C55" s="156" t="s">
        <v>15</v>
      </c>
      <c r="D55" s="108">
        <v>0</v>
      </c>
      <c r="E55" s="109" t="str">
        <f>DEC2HEX((D55*2^16),8)</f>
        <v>00000000</v>
      </c>
      <c r="F55" s="110" t="s">
        <v>480</v>
      </c>
      <c r="G55" s="240" t="s">
        <v>145</v>
      </c>
      <c r="H55" s="240" t="s">
        <v>263</v>
      </c>
      <c r="I55" s="313" t="str">
        <f>"0x"&amp;DEC2HEX((HEX2DEC(E55)+HEX2DEC(E56)+HEX2DEC(E57)), 8)</f>
        <v>0x00000002</v>
      </c>
      <c r="J55" s="35"/>
    </row>
    <row r="56" spans="2:10" ht="25.5">
      <c r="B56" s="115" t="s">
        <v>158</v>
      </c>
      <c r="C56" s="157" t="s">
        <v>15</v>
      </c>
      <c r="D56" s="37">
        <v>0</v>
      </c>
      <c r="E56" s="33" t="str">
        <f>DEC2HEX((D56*2^8),8)</f>
        <v>00000000</v>
      </c>
      <c r="F56" s="34" t="s">
        <v>481</v>
      </c>
      <c r="G56" s="241"/>
      <c r="H56" s="241"/>
      <c r="I56" s="314"/>
      <c r="J56" s="35"/>
    </row>
    <row r="57" spans="2:10" ht="39" thickBot="1">
      <c r="B57" s="111" t="s">
        <v>155</v>
      </c>
      <c r="C57" s="127" t="s">
        <v>15</v>
      </c>
      <c r="D57" s="158">
        <v>2</v>
      </c>
      <c r="E57" s="112" t="str">
        <f>DEC2HEX((DEC2HEX(D57)*2^0),8)</f>
        <v>00000002</v>
      </c>
      <c r="F57" s="113" t="s">
        <v>485</v>
      </c>
      <c r="G57" s="242"/>
      <c r="H57" s="242"/>
      <c r="I57" s="315"/>
      <c r="J57" s="35"/>
    </row>
    <row r="58" spans="2:10" ht="229.5">
      <c r="B58" s="106" t="s">
        <v>36</v>
      </c>
      <c r="C58" s="108" t="s">
        <v>15</v>
      </c>
      <c r="D58" s="107">
        <v>3.5</v>
      </c>
      <c r="E58" s="109" t="str">
        <f>DEC2HEX((D58*2*2^24),8)</f>
        <v>07000000</v>
      </c>
      <c r="F58" s="110" t="s">
        <v>479</v>
      </c>
      <c r="G58" s="275" t="s">
        <v>146</v>
      </c>
      <c r="H58" s="240" t="s">
        <v>264</v>
      </c>
      <c r="I58" s="253" t="str">
        <f>"0x"&amp;DEC2HEX((HEX2DEC(E58)+HEX2DEC(E59)+HEX2DEC(E60)+HEX2DEC(E61)), 8)</f>
        <v>0x07080403</v>
      </c>
      <c r="J58" s="35"/>
    </row>
    <row r="59" spans="2:10" ht="255">
      <c r="B59" s="116" t="s">
        <v>35</v>
      </c>
      <c r="C59" s="68" t="s">
        <v>15</v>
      </c>
      <c r="D59" s="125">
        <v>4</v>
      </c>
      <c r="E59" s="67" t="str">
        <f>DEC2HEX((D59*2*2^16),8)</f>
        <v>00080000</v>
      </c>
      <c r="F59" s="69" t="s">
        <v>492</v>
      </c>
      <c r="G59" s="276"/>
      <c r="H59" s="241"/>
      <c r="I59" s="254"/>
      <c r="J59" s="35"/>
    </row>
    <row r="60" spans="2:10" ht="89.25">
      <c r="B60" s="114" t="s">
        <v>265</v>
      </c>
      <c r="C60" s="38" t="s">
        <v>15</v>
      </c>
      <c r="D60" s="206">
        <v>4</v>
      </c>
      <c r="E60" s="67" t="str">
        <f>DEC2HEX((D60*2^8),8)</f>
        <v>00000400</v>
      </c>
      <c r="F60" s="34" t="s">
        <v>491</v>
      </c>
      <c r="G60" s="276"/>
      <c r="H60" s="241"/>
      <c r="I60" s="254"/>
      <c r="J60" s="35"/>
    </row>
    <row r="61" spans="2:10" ht="64.5" thickBot="1">
      <c r="B61" s="162" t="s">
        <v>266</v>
      </c>
      <c r="C61" s="141" t="s">
        <v>15</v>
      </c>
      <c r="D61" s="117">
        <v>3</v>
      </c>
      <c r="E61" s="67" t="str">
        <f>DEC2HEX((D61*2^0),8)</f>
        <v>00000003</v>
      </c>
      <c r="F61" s="69" t="s">
        <v>171</v>
      </c>
      <c r="G61" s="277"/>
      <c r="H61" s="292"/>
      <c r="I61" s="255"/>
      <c r="J61" s="35"/>
    </row>
    <row r="62" spans="2:10" ht="51">
      <c r="B62" s="175" t="s">
        <v>18</v>
      </c>
      <c r="C62" s="165">
        <f>(C74+C78)</f>
        <v>21</v>
      </c>
      <c r="D62" s="118">
        <f>ROUNDUP((C62/C28),0)</f>
        <v>9</v>
      </c>
      <c r="E62" s="119" t="str">
        <f>DEC2HEX((D62*2^24),8)</f>
        <v>09000000</v>
      </c>
      <c r="F62" s="91" t="s">
        <v>268</v>
      </c>
      <c r="G62" s="273" t="s">
        <v>147</v>
      </c>
      <c r="H62" s="273" t="s">
        <v>270</v>
      </c>
      <c r="I62" s="313" t="str">
        <f>"0x"&amp;DEC2HEX((HEX2DEC(E62)+HEX2DEC(E63)+HEX2DEC(E64)), 8)</f>
        <v>0x0900A003</v>
      </c>
      <c r="J62" s="35"/>
    </row>
    <row r="63" spans="2:10" ht="63.75">
      <c r="B63" s="115" t="s">
        <v>19</v>
      </c>
      <c r="C63" s="166">
        <v>400</v>
      </c>
      <c r="D63" s="37">
        <f>ROUNDUP((C63/C28),0)</f>
        <v>160</v>
      </c>
      <c r="E63" s="33" t="str">
        <f>DEC2HEX((D63*2^8),8)</f>
        <v>0000A000</v>
      </c>
      <c r="F63" s="34" t="s">
        <v>173</v>
      </c>
      <c r="G63" s="274"/>
      <c r="H63" s="274"/>
      <c r="I63" s="314"/>
      <c r="J63" s="35"/>
    </row>
    <row r="64" spans="2:10" ht="26.25" thickBot="1">
      <c r="B64" s="162" t="s">
        <v>267</v>
      </c>
      <c r="C64" s="141" t="s">
        <v>15</v>
      </c>
      <c r="D64" s="117">
        <v>3</v>
      </c>
      <c r="E64" s="67" t="str">
        <f>DEC2HEX((D64*2^0),8)</f>
        <v>00000003</v>
      </c>
      <c r="F64" s="69" t="s">
        <v>269</v>
      </c>
      <c r="G64" s="274"/>
      <c r="H64" s="274"/>
      <c r="I64" s="316"/>
      <c r="J64" s="35"/>
    </row>
    <row r="65" spans="2:10" ht="14.25">
      <c r="B65" s="106" t="s">
        <v>20</v>
      </c>
      <c r="C65" s="167">
        <v>50</v>
      </c>
      <c r="D65" s="108">
        <f>ROUNDUP((C65/C28),0)</f>
        <v>20</v>
      </c>
      <c r="E65" s="109" t="str">
        <f>DEC2HEX((D65*2^24),8)</f>
        <v>14000000</v>
      </c>
      <c r="F65" s="110" t="s">
        <v>167</v>
      </c>
      <c r="G65" s="273" t="s">
        <v>56</v>
      </c>
      <c r="H65" s="273" t="s">
        <v>271</v>
      </c>
      <c r="I65" s="311" t="str">
        <f>"0x"&amp;(DEC2HEX((HEX2DEC(E65)+HEX2DEC(E66)),8))</f>
        <v>0x140000C8</v>
      </c>
      <c r="J65" s="35"/>
    </row>
    <row r="66" spans="2:10" ht="26.25" thickBot="1">
      <c r="B66" s="116" t="s">
        <v>21</v>
      </c>
      <c r="C66" s="66" t="s">
        <v>15</v>
      </c>
      <c r="D66" s="125">
        <v>200</v>
      </c>
      <c r="E66" s="67" t="str">
        <f>DEC2HEX((D66*2^0),8)</f>
        <v>000000C8</v>
      </c>
      <c r="F66" s="69" t="s">
        <v>172</v>
      </c>
      <c r="G66" s="274"/>
      <c r="H66" s="274"/>
      <c r="I66" s="312"/>
      <c r="J66" s="35"/>
    </row>
    <row r="67" spans="2:10" ht="51">
      <c r="B67" s="106" t="s">
        <v>34</v>
      </c>
      <c r="C67" s="120" t="s">
        <v>15</v>
      </c>
      <c r="D67" s="121">
        <v>2</v>
      </c>
      <c r="E67" s="109" t="str">
        <f>DEC2HEX((D67*2^24),8)</f>
        <v>02000000</v>
      </c>
      <c r="F67" s="110" t="s">
        <v>290</v>
      </c>
      <c r="G67" s="273" t="s">
        <v>148</v>
      </c>
      <c r="H67" s="273" t="s">
        <v>272</v>
      </c>
      <c r="I67" s="311" t="str">
        <f>"0x"&amp;(DEC2HEX((HEX2DEC(E67)+HEX2DEC(E68)),8))</f>
        <v>0x02013880</v>
      </c>
      <c r="J67" s="35"/>
    </row>
    <row r="68" spans="2:10" ht="51.75" thickBot="1">
      <c r="B68" s="124" t="s">
        <v>33</v>
      </c>
      <c r="C68" s="125">
        <v>200000</v>
      </c>
      <c r="D68" s="68">
        <f>ROUNDUP((C68/C28), 0)</f>
        <v>80000</v>
      </c>
      <c r="E68" s="67" t="str">
        <f>DEC2HEX((D68*2^0),8)</f>
        <v>00013880</v>
      </c>
      <c r="F68" s="69" t="s">
        <v>486</v>
      </c>
      <c r="G68" s="274"/>
      <c r="H68" s="274"/>
      <c r="I68" s="312"/>
      <c r="J68" s="35"/>
    </row>
    <row r="69" spans="2:10" ht="25.5">
      <c r="B69" s="169" t="s">
        <v>17</v>
      </c>
      <c r="C69" s="95" t="s">
        <v>15</v>
      </c>
      <c r="D69" s="170">
        <v>2</v>
      </c>
      <c r="E69" s="109" t="str">
        <f>DEC2HEX((D69*2^16),8)</f>
        <v>00020000</v>
      </c>
      <c r="F69" s="110" t="s">
        <v>175</v>
      </c>
      <c r="G69" s="240" t="s">
        <v>149</v>
      </c>
      <c r="H69" s="240" t="s">
        <v>273</v>
      </c>
      <c r="I69" s="313" t="str">
        <f>"0x"&amp;DEC2HEX((HEX2DEC(E69)+HEX2DEC(E70)+HEX2DEC(E71)), 8)</f>
        <v>0x00020303</v>
      </c>
      <c r="J69" s="35"/>
    </row>
    <row r="70" spans="2:10" ht="25.5">
      <c r="B70" s="115" t="s">
        <v>32</v>
      </c>
      <c r="C70" s="36">
        <v>6</v>
      </c>
      <c r="D70" s="32">
        <f>ROUNDUP((C70/C28),0)</f>
        <v>3</v>
      </c>
      <c r="E70" s="33" t="str">
        <f>DEC2HEX((D70*2^8),8)</f>
        <v>00000300</v>
      </c>
      <c r="F70" s="34" t="s">
        <v>291</v>
      </c>
      <c r="G70" s="241"/>
      <c r="H70" s="241"/>
      <c r="I70" s="314"/>
      <c r="J70" s="35"/>
    </row>
    <row r="71" spans="2:10" ht="51.75" thickBot="1">
      <c r="B71" s="111" t="s">
        <v>31</v>
      </c>
      <c r="C71" s="128">
        <v>6</v>
      </c>
      <c r="D71" s="122">
        <f>ROUNDUP((C71/C28),0)</f>
        <v>3</v>
      </c>
      <c r="E71" s="112" t="str">
        <f>DEC2HEX((D71*2^0),8)</f>
        <v>00000003</v>
      </c>
      <c r="F71" s="171" t="s">
        <v>292</v>
      </c>
      <c r="G71" s="242"/>
      <c r="H71" s="242"/>
      <c r="I71" s="315"/>
      <c r="J71" s="35"/>
    </row>
    <row r="72" spans="2:10" ht="25.5">
      <c r="B72" s="106" t="s">
        <v>29</v>
      </c>
      <c r="C72" s="121">
        <v>70000</v>
      </c>
      <c r="D72" s="126">
        <f>ROUNDUP((C72/C28),0)</f>
        <v>28000</v>
      </c>
      <c r="E72" s="109" t="str">
        <f>DEC2HEX((D72*2^8),8)</f>
        <v>006D6000</v>
      </c>
      <c r="F72" s="110" t="s">
        <v>293</v>
      </c>
      <c r="G72" s="273" t="s">
        <v>150</v>
      </c>
      <c r="H72" s="273" t="s">
        <v>274</v>
      </c>
      <c r="I72" s="311" t="str">
        <f>"0x"&amp;(DEC2HEX((HEX2DEC(E72)+HEX2DEC(E73)),8))</f>
        <v>0x006D6012</v>
      </c>
      <c r="J72" s="35"/>
    </row>
    <row r="73" spans="2:10" ht="26.25" thickBot="1">
      <c r="B73" s="139" t="s">
        <v>30</v>
      </c>
      <c r="C73" s="163">
        <v>45</v>
      </c>
      <c r="D73" s="164">
        <f>ROUNDUP((C73/C28),0)</f>
        <v>18</v>
      </c>
      <c r="E73" s="143" t="str">
        <f>DEC2HEX((D73*2^0),8)</f>
        <v>00000012</v>
      </c>
      <c r="F73" s="144" t="s">
        <v>294</v>
      </c>
      <c r="G73" s="274"/>
      <c r="H73" s="274"/>
      <c r="I73" s="312"/>
      <c r="J73" s="35"/>
    </row>
    <row r="74" spans="2:10" ht="25.5">
      <c r="B74" s="106" t="s">
        <v>28</v>
      </c>
      <c r="C74" s="121">
        <v>6</v>
      </c>
      <c r="D74" s="126">
        <f>ROUNDUP((C74/C28),0)</f>
        <v>3</v>
      </c>
      <c r="E74" s="109" t="str">
        <f>DEC2HEX((D74*2^24),8)</f>
        <v>03000000</v>
      </c>
      <c r="F74" s="110" t="s">
        <v>295</v>
      </c>
      <c r="G74" s="240" t="s">
        <v>151</v>
      </c>
      <c r="H74" s="240" t="s">
        <v>275</v>
      </c>
      <c r="I74" s="313" t="str">
        <f>"0x"&amp;DEC2HEX((HEX2DEC(E74)+HEX2DEC(E75)+HEX2DEC(E76)), 8)</f>
        <v>0x03330C2A</v>
      </c>
      <c r="J74" s="35"/>
    </row>
    <row r="75" spans="2:10" ht="25.5">
      <c r="B75" s="115" t="s">
        <v>27</v>
      </c>
      <c r="C75" s="36">
        <v>127.5</v>
      </c>
      <c r="D75" s="32">
        <f>ROUNDUP((C75/C28),0)</f>
        <v>51</v>
      </c>
      <c r="E75" s="33" t="str">
        <f>DEC2HEX((D75*2^16),8)</f>
        <v>00330000</v>
      </c>
      <c r="F75" s="34" t="s">
        <v>296</v>
      </c>
      <c r="G75" s="241"/>
      <c r="H75" s="241"/>
      <c r="I75" s="314"/>
      <c r="J75" s="35"/>
    </row>
    <row r="76" spans="2:10" ht="179.25" thickBot="1">
      <c r="B76" s="116" t="s">
        <v>26</v>
      </c>
      <c r="C76" s="172">
        <v>7800</v>
      </c>
      <c r="D76" s="66">
        <f>ROUNDUP(((C76/C28-6)),0)</f>
        <v>3114</v>
      </c>
      <c r="E76" s="67" t="str">
        <f>DEC2HEX((D76*2^0),8)</f>
        <v>00000C2A</v>
      </c>
      <c r="F76" s="69" t="s">
        <v>174</v>
      </c>
      <c r="G76" s="292"/>
      <c r="H76" s="292"/>
      <c r="I76" s="316"/>
      <c r="J76" s="35"/>
    </row>
    <row r="77" spans="2:10" ht="38.25">
      <c r="B77" s="106" t="s">
        <v>37</v>
      </c>
      <c r="C77" s="173">
        <v>7.5</v>
      </c>
      <c r="D77" s="126">
        <f>ROUNDUP((C77/C28),0)</f>
        <v>3</v>
      </c>
      <c r="E77" s="109" t="str">
        <f>DEC2HEX((D77*2^24),8)</f>
        <v>03000000</v>
      </c>
      <c r="F77" s="110" t="s">
        <v>487</v>
      </c>
      <c r="G77" s="275" t="s">
        <v>152</v>
      </c>
      <c r="H77" s="321" t="s">
        <v>276</v>
      </c>
      <c r="I77" s="253" t="str">
        <f>"0x"&amp;DEC2HEX((HEX2DEC(E77)+HEX2DEC(E78)+HEX2DEC(E79)+HEX2DEC(E80)), 8)</f>
        <v>0x03060304</v>
      </c>
      <c r="J77" s="35"/>
    </row>
    <row r="78" spans="2:10" ht="25.5">
      <c r="B78" s="115" t="s">
        <v>38</v>
      </c>
      <c r="C78" s="36">
        <v>15</v>
      </c>
      <c r="D78" s="32">
        <f>ROUNDUP((C78/C28),0)</f>
        <v>6</v>
      </c>
      <c r="E78" s="33" t="str">
        <f>DEC2HEX((D78*2^16),8)</f>
        <v>00060000</v>
      </c>
      <c r="F78" s="34" t="s">
        <v>297</v>
      </c>
      <c r="G78" s="276"/>
      <c r="H78" s="322"/>
      <c r="I78" s="254"/>
      <c r="J78" s="35"/>
    </row>
    <row r="79" spans="2:10" ht="38.25">
      <c r="B79" s="115" t="s">
        <v>25</v>
      </c>
      <c r="C79" s="168">
        <v>7.5</v>
      </c>
      <c r="D79" s="32">
        <f>ROUNDUP((C79/C28),0)</f>
        <v>3</v>
      </c>
      <c r="E79" s="33" t="str">
        <f>DEC2HEX((D79*2^8),8)</f>
        <v>00000300</v>
      </c>
      <c r="F79" s="34" t="s">
        <v>298</v>
      </c>
      <c r="G79" s="276"/>
      <c r="H79" s="322"/>
      <c r="I79" s="254"/>
      <c r="J79" s="35"/>
    </row>
    <row r="80" spans="2:10" ht="26.25" thickBot="1">
      <c r="B80" s="116" t="s">
        <v>24</v>
      </c>
      <c r="C80" s="172">
        <v>10</v>
      </c>
      <c r="D80" s="66">
        <f>ROUNDUP((C80/C28),0)</f>
        <v>4</v>
      </c>
      <c r="E80" s="67" t="str">
        <f>DEC2HEX((D80*2^0),8)</f>
        <v>00000004</v>
      </c>
      <c r="F80" s="69" t="s">
        <v>299</v>
      </c>
      <c r="G80" s="277"/>
      <c r="H80" s="323"/>
      <c r="I80" s="255"/>
      <c r="J80" s="35"/>
    </row>
    <row r="81" spans="2:41" ht="38.25">
      <c r="B81" s="106" t="s">
        <v>22</v>
      </c>
      <c r="C81" s="155"/>
      <c r="D81" s="174">
        <v>200</v>
      </c>
      <c r="E81" s="109" t="str">
        <f>DEC2HEX((D81*2^16),8)</f>
        <v>00C80000</v>
      </c>
      <c r="F81" s="110" t="s">
        <v>277</v>
      </c>
      <c r="G81" s="275" t="s">
        <v>153</v>
      </c>
      <c r="H81" s="240" t="s">
        <v>278</v>
      </c>
      <c r="I81" s="313" t="str">
        <f>"0x"&amp;DEC2HEX((HEX2DEC(E81)+HEX2DEC(E82)), 8)</f>
        <v>0x00C80037</v>
      </c>
      <c r="J81" s="35"/>
    </row>
    <row r="82" spans="2:41" ht="39" thickBot="1">
      <c r="B82" s="111" t="s">
        <v>23</v>
      </c>
      <c r="C82" s="159">
        <f>(C75+10)</f>
        <v>137.5</v>
      </c>
      <c r="D82" s="122">
        <f>ROUNDUP((C82/C28),0)</f>
        <v>55</v>
      </c>
      <c r="E82" s="112" t="str">
        <f>DEC2HEX((D82*2^0),8)</f>
        <v>00000037</v>
      </c>
      <c r="F82" s="113" t="s">
        <v>300</v>
      </c>
      <c r="G82" s="293"/>
      <c r="H82" s="242"/>
      <c r="I82" s="315"/>
      <c r="J82" s="35"/>
    </row>
    <row r="83" spans="2:41" ht="51.75" thickBot="1">
      <c r="B83" s="111" t="s">
        <v>45</v>
      </c>
      <c r="C83" s="129">
        <v>12</v>
      </c>
      <c r="D83" s="32">
        <f>ROUNDUP((C83/C28),0)</f>
        <v>5</v>
      </c>
      <c r="E83" s="112" t="str">
        <f>DEC2HEX((D83*2^0),8)</f>
        <v>00000005</v>
      </c>
      <c r="F83" s="113" t="s">
        <v>281</v>
      </c>
      <c r="G83" s="131" t="s">
        <v>279</v>
      </c>
      <c r="H83" s="130" t="s">
        <v>280</v>
      </c>
      <c r="I83" s="132" t="str">
        <f>"0x"&amp;DEC2HEX((HEX2DEC(E83)), 8)</f>
        <v>0x00000005</v>
      </c>
      <c r="J83" s="35"/>
    </row>
    <row r="84" spans="2:41" ht="63.75">
      <c r="B84" s="90" t="s">
        <v>284</v>
      </c>
      <c r="C84" s="160" t="s">
        <v>15</v>
      </c>
      <c r="D84" s="161">
        <v>2</v>
      </c>
      <c r="E84" s="33" t="str">
        <f>DEC2HEX((D84*2^24),8)</f>
        <v>02000000</v>
      </c>
      <c r="F84" s="91" t="s">
        <v>285</v>
      </c>
      <c r="G84" s="294" t="s">
        <v>282</v>
      </c>
      <c r="H84" s="294" t="s">
        <v>283</v>
      </c>
      <c r="I84" s="318" t="str">
        <f>"0x"&amp;DEC2HEX((HEX2DEC(E84)+HEX2DEC(E85)+HEX2DEC(E86)+HEX2DEC(E87)), 8)</f>
        <v>0x02060303</v>
      </c>
      <c r="J84" s="35"/>
    </row>
    <row r="85" spans="2:41" ht="63.75">
      <c r="B85" s="180" t="s">
        <v>40</v>
      </c>
      <c r="C85" s="179">
        <v>15</v>
      </c>
      <c r="D85" s="32">
        <f>ROUNDUP((C85/C28),0)</f>
        <v>6</v>
      </c>
      <c r="E85" s="33" t="str">
        <f>DEC2HEX((D85*2^16),8)</f>
        <v>00060000</v>
      </c>
      <c r="F85" s="34" t="s">
        <v>286</v>
      </c>
      <c r="G85" s="295"/>
      <c r="H85" s="295"/>
      <c r="I85" s="319"/>
      <c r="J85" s="35"/>
    </row>
    <row r="86" spans="2:41" ht="76.5">
      <c r="B86" s="181" t="s">
        <v>41</v>
      </c>
      <c r="C86" s="33" t="s">
        <v>15</v>
      </c>
      <c r="D86" s="178">
        <v>3</v>
      </c>
      <c r="E86" s="33" t="str">
        <f>DEC2HEX((D86*2^8),8)</f>
        <v>00000300</v>
      </c>
      <c r="F86" s="34" t="s">
        <v>489</v>
      </c>
      <c r="G86" s="295"/>
      <c r="H86" s="295"/>
      <c r="I86" s="319"/>
      <c r="J86" s="35"/>
    </row>
    <row r="87" spans="2:41" ht="64.5" thickBot="1">
      <c r="B87" s="176" t="s">
        <v>42</v>
      </c>
      <c r="C87" s="104" t="s">
        <v>15</v>
      </c>
      <c r="D87" s="177">
        <v>3</v>
      </c>
      <c r="E87" s="104" t="str">
        <f>DEC2HEX((D87*2^0),8)</f>
        <v>00000003</v>
      </c>
      <c r="F87" s="105" t="s">
        <v>488</v>
      </c>
      <c r="G87" s="296"/>
      <c r="H87" s="296"/>
      <c r="I87" s="320"/>
      <c r="J87" s="35"/>
    </row>
    <row r="88" spans="2:41">
      <c r="B88" s="327" t="s">
        <v>289</v>
      </c>
      <c r="C88" s="328"/>
      <c r="D88" s="328"/>
      <c r="E88" s="328"/>
      <c r="F88" s="329"/>
      <c r="G88" s="294" t="s">
        <v>287</v>
      </c>
      <c r="H88" s="294" t="s">
        <v>288</v>
      </c>
      <c r="I88" s="318" t="str">
        <f>"0x210021"&amp;DEC2HEX(HEX2DEC(E89), 2)</f>
        <v>0x21002103</v>
      </c>
      <c r="J88" s="35"/>
    </row>
    <row r="89" spans="2:41" ht="90" thickBot="1">
      <c r="B89" s="182" t="s">
        <v>43</v>
      </c>
      <c r="C89" s="183" t="s">
        <v>15</v>
      </c>
      <c r="D89" s="184">
        <v>3</v>
      </c>
      <c r="E89" s="112" t="str">
        <f>DEC2HEX((D89*2^0),8)</f>
        <v>00000003</v>
      </c>
      <c r="F89" s="113" t="s">
        <v>490</v>
      </c>
      <c r="G89" s="296"/>
      <c r="H89" s="296"/>
      <c r="I89" s="320"/>
      <c r="J89" s="35"/>
      <c r="AJ89" s="18"/>
    </row>
    <row r="90" spans="2:41" ht="13.5" thickBot="1">
      <c r="B90" s="197"/>
      <c r="C90" s="198"/>
      <c r="D90" s="199"/>
      <c r="E90" s="200"/>
      <c r="F90" s="201"/>
      <c r="G90" s="202"/>
      <c r="H90" s="202"/>
      <c r="I90" s="202"/>
      <c r="J90" s="35"/>
      <c r="AJ90" s="18"/>
    </row>
    <row r="91" spans="2:41" ht="27" customHeight="1" thickBot="1">
      <c r="B91" s="324" t="s">
        <v>342</v>
      </c>
      <c r="C91" s="325"/>
      <c r="D91" s="325"/>
      <c r="E91" s="325"/>
      <c r="F91" s="325"/>
      <c r="G91" s="325"/>
      <c r="H91" s="325"/>
      <c r="I91" s="326"/>
      <c r="J91" s="35"/>
      <c r="AJ91" s="18"/>
    </row>
    <row r="92" spans="2:41" ht="13.5" thickBot="1">
      <c r="B92" s="25"/>
      <c r="C92" s="24"/>
      <c r="D92" s="24"/>
      <c r="E92" s="24"/>
      <c r="F92" s="53"/>
      <c r="G92" s="25"/>
      <c r="H92" s="24"/>
      <c r="I92" s="24"/>
      <c r="J92" s="35"/>
      <c r="AK92" s="18"/>
      <c r="AL92" s="18"/>
      <c r="AM92" s="18"/>
      <c r="AN92" s="18"/>
      <c r="AO92" s="18"/>
    </row>
    <row r="93" spans="2:41" s="18" customFormat="1" ht="39" thickBot="1">
      <c r="B93" s="3" t="s">
        <v>143</v>
      </c>
      <c r="C93" s="3" t="s">
        <v>61</v>
      </c>
      <c r="D93" s="3" t="s">
        <v>57</v>
      </c>
      <c r="E93" s="3" t="s">
        <v>58</v>
      </c>
      <c r="F93" s="7" t="s">
        <v>16</v>
      </c>
      <c r="G93" s="27" t="s">
        <v>47</v>
      </c>
      <c r="H93" s="8" t="s">
        <v>116</v>
      </c>
      <c r="I93" s="8" t="s">
        <v>48</v>
      </c>
      <c r="AJ93"/>
      <c r="AK93"/>
      <c r="AL93"/>
      <c r="AM93"/>
      <c r="AN93"/>
      <c r="AO93"/>
    </row>
    <row r="94" spans="2:41" ht="2.25" customHeight="1" thickBot="1">
      <c r="B94" s="72"/>
      <c r="C94" s="72"/>
      <c r="D94" s="72"/>
      <c r="E94" s="72"/>
      <c r="F94" s="73"/>
      <c r="G94" s="74"/>
      <c r="H94" s="75"/>
      <c r="I94" s="75"/>
      <c r="J94" s="18"/>
    </row>
    <row r="95" spans="2:41" ht="25.5">
      <c r="B95" s="80" t="s">
        <v>194</v>
      </c>
      <c r="C95" s="214">
        <v>0</v>
      </c>
      <c r="D95" s="81" t="str">
        <f t="shared" ref="D95:D108" si="0">BIN2HEX(C95,4)</f>
        <v>0000</v>
      </c>
      <c r="E95" s="82" t="str">
        <f>DEC2HEX(HEX2DEC(D95)*2^28,8)</f>
        <v>00000000</v>
      </c>
      <c r="F95" s="83" t="s">
        <v>217</v>
      </c>
      <c r="G95" s="299" t="s">
        <v>302</v>
      </c>
      <c r="H95" s="299" t="s">
        <v>303</v>
      </c>
      <c r="I95" s="297" t="str">
        <f>"0x"&amp;DEC2HEX((HEX2DEC(E95)+HEX2DEC(E96)+HEX2DEC(E97)+HEX2DEC(E98)+HEX2DEC(E99)+HEX2DEC(E100)+HEX2DEC(E101)+HEX2DEC(E102)+HEX2DEC(E103)+HEX2DEC(E104)+HEX2DEC(E105)+HEX2DEC(E106)+HEX2DEC(E107)+HEX2DEC(E108)+ 0), 8)</f>
        <v>0x04420442</v>
      </c>
      <c r="J95" s="18"/>
    </row>
    <row r="96" spans="2:41" ht="25.5">
      <c r="B96" s="84" t="s">
        <v>195</v>
      </c>
      <c r="C96" s="85" t="s">
        <v>121</v>
      </c>
      <c r="D96" s="76" t="str">
        <f t="shared" si="0"/>
        <v>0002</v>
      </c>
      <c r="E96" s="77" t="str">
        <f>DEC2HEX(HEX2DEC(D96)*2^25,8)</f>
        <v>04000000</v>
      </c>
      <c r="F96" s="11" t="s">
        <v>218</v>
      </c>
      <c r="G96" s="290"/>
      <c r="H96" s="290"/>
      <c r="I96" s="298"/>
      <c r="J96" s="18"/>
    </row>
    <row r="97" spans="2:11" ht="25.5">
      <c r="B97" s="84" t="s">
        <v>196</v>
      </c>
      <c r="C97" s="213">
        <v>0</v>
      </c>
      <c r="D97" s="76" t="str">
        <f t="shared" si="0"/>
        <v>0000</v>
      </c>
      <c r="E97" s="77" t="str">
        <f>DEC2HEX(HEX2DEC(D97)*2^24,8)</f>
        <v>00000000</v>
      </c>
      <c r="F97" s="11" t="s">
        <v>219</v>
      </c>
      <c r="G97" s="290"/>
      <c r="H97" s="290"/>
      <c r="I97" s="298"/>
      <c r="J97" s="18"/>
    </row>
    <row r="98" spans="2:11" ht="25.5">
      <c r="B98" s="84" t="s">
        <v>197</v>
      </c>
      <c r="C98" s="213">
        <v>0</v>
      </c>
      <c r="D98" s="76" t="str">
        <f t="shared" si="0"/>
        <v>0000</v>
      </c>
      <c r="E98" s="77" t="str">
        <f>DEC2HEX(HEX2DEC(D98)*2^23,8)</f>
        <v>00000000</v>
      </c>
      <c r="F98" s="11" t="s">
        <v>220</v>
      </c>
      <c r="G98" s="290"/>
      <c r="H98" s="290"/>
      <c r="I98" s="298"/>
      <c r="J98" s="18"/>
    </row>
    <row r="99" spans="2:11" ht="178.5">
      <c r="B99" s="84" t="s">
        <v>198</v>
      </c>
      <c r="C99" s="93" t="s">
        <v>123</v>
      </c>
      <c r="D99" s="94" t="str">
        <f t="shared" si="0"/>
        <v>0004</v>
      </c>
      <c r="E99" s="78" t="str">
        <f>DEC2HEX(HEX2DEC(D99)*2^20,8)</f>
        <v>00400000</v>
      </c>
      <c r="F99" s="12" t="s">
        <v>493</v>
      </c>
      <c r="G99" s="290"/>
      <c r="H99" s="290"/>
      <c r="I99" s="298"/>
      <c r="J99" s="18"/>
    </row>
    <row r="100" spans="2:11" ht="38.25">
      <c r="B100" s="84" t="s">
        <v>199</v>
      </c>
      <c r="C100" s="211">
        <v>0</v>
      </c>
      <c r="D100" s="6" t="str">
        <f t="shared" si="0"/>
        <v>0000</v>
      </c>
      <c r="E100" s="2" t="str">
        <f>DEC2HEX(HEX2DEC(D100)*2^19,8)</f>
        <v>00000000</v>
      </c>
      <c r="F100" s="12" t="s">
        <v>221</v>
      </c>
      <c r="G100" s="290"/>
      <c r="H100" s="290"/>
      <c r="I100" s="298"/>
      <c r="J100" s="18"/>
    </row>
    <row r="101" spans="2:11" ht="77.25" thickBot="1">
      <c r="B101" s="84" t="s">
        <v>200</v>
      </c>
      <c r="C101" s="211" t="s">
        <v>121</v>
      </c>
      <c r="D101" s="6" t="str">
        <f t="shared" si="0"/>
        <v>0002</v>
      </c>
      <c r="E101" s="2" t="str">
        <f>DEC2HEX(HEX2DEC(D101)*2^16,8)</f>
        <v>00020000</v>
      </c>
      <c r="F101" s="11" t="s">
        <v>496</v>
      </c>
      <c r="G101" s="290"/>
      <c r="H101" s="290"/>
      <c r="I101" s="298"/>
      <c r="J101" s="18"/>
    </row>
    <row r="102" spans="2:11" ht="38.25" customHeight="1">
      <c r="B102" s="80" t="s">
        <v>177</v>
      </c>
      <c r="C102" s="214">
        <v>0</v>
      </c>
      <c r="D102" s="81" t="str">
        <f t="shared" si="0"/>
        <v>0000</v>
      </c>
      <c r="E102" s="82" t="str">
        <f>DEC2HEX(HEX2DEC(D102)*2^12,8)</f>
        <v>00000000</v>
      </c>
      <c r="F102" s="83" t="s">
        <v>201</v>
      </c>
      <c r="G102" s="290"/>
      <c r="H102" s="290"/>
      <c r="I102" s="298"/>
      <c r="J102" s="18"/>
    </row>
    <row r="103" spans="2:11" ht="25.5">
      <c r="B103" s="84" t="s">
        <v>178</v>
      </c>
      <c r="C103" s="85" t="s">
        <v>121</v>
      </c>
      <c r="D103" s="76" t="str">
        <f t="shared" si="0"/>
        <v>0002</v>
      </c>
      <c r="E103" s="77" t="str">
        <f>DEC2HEX(HEX2DEC(D103)*2^9,8)</f>
        <v>00000400</v>
      </c>
      <c r="F103" s="11" t="s">
        <v>202</v>
      </c>
      <c r="G103" s="290"/>
      <c r="H103" s="290"/>
      <c r="I103" s="298"/>
      <c r="J103" s="18"/>
    </row>
    <row r="104" spans="2:11" ht="25.5">
      <c r="B104" s="84" t="s">
        <v>179</v>
      </c>
      <c r="C104" s="213">
        <v>0</v>
      </c>
      <c r="D104" s="76" t="str">
        <f t="shared" si="0"/>
        <v>0000</v>
      </c>
      <c r="E104" s="77" t="str">
        <f>DEC2HEX(HEX2DEC(D104)*2^8,8)</f>
        <v>00000000</v>
      </c>
      <c r="F104" s="11" t="s">
        <v>203</v>
      </c>
      <c r="G104" s="290"/>
      <c r="H104" s="290"/>
      <c r="I104" s="298"/>
      <c r="J104" s="18"/>
      <c r="K104" s="14"/>
    </row>
    <row r="105" spans="2:11" ht="25.5">
      <c r="B105" s="84" t="s">
        <v>180</v>
      </c>
      <c r="C105" s="213">
        <v>0</v>
      </c>
      <c r="D105" s="76" t="str">
        <f t="shared" si="0"/>
        <v>0000</v>
      </c>
      <c r="E105" s="77" t="str">
        <f>DEC2HEX(HEX2DEC(D105)*2^7,8)</f>
        <v>00000000</v>
      </c>
      <c r="F105" s="11" t="s">
        <v>204</v>
      </c>
      <c r="G105" s="290"/>
      <c r="H105" s="290"/>
      <c r="I105" s="298"/>
      <c r="J105" s="18"/>
    </row>
    <row r="106" spans="2:11" ht="178.5">
      <c r="B106" s="84" t="s">
        <v>181</v>
      </c>
      <c r="C106" s="85" t="s">
        <v>123</v>
      </c>
      <c r="D106" s="76" t="str">
        <f t="shared" si="0"/>
        <v>0004</v>
      </c>
      <c r="E106" s="77" t="str">
        <f>DEC2HEX(HEX2DEC(D106)*2^4,8)</f>
        <v>00000040</v>
      </c>
      <c r="F106" s="12" t="s">
        <v>494</v>
      </c>
      <c r="G106" s="290"/>
      <c r="H106" s="290"/>
      <c r="I106" s="298"/>
      <c r="J106" s="18"/>
    </row>
    <row r="107" spans="2:11" ht="38.25">
      <c r="B107" s="84" t="s">
        <v>182</v>
      </c>
      <c r="C107" s="212">
        <v>0</v>
      </c>
      <c r="D107" s="76" t="str">
        <f t="shared" si="0"/>
        <v>0000</v>
      </c>
      <c r="E107" s="77" t="str">
        <f>DEC2HEX(HEX2DEC(D107)*2^3,8)</f>
        <v>00000000</v>
      </c>
      <c r="F107" s="12" t="s">
        <v>205</v>
      </c>
      <c r="G107" s="290"/>
      <c r="H107" s="290"/>
      <c r="I107" s="298"/>
      <c r="J107" s="18"/>
    </row>
    <row r="108" spans="2:11" ht="77.25" thickBot="1">
      <c r="B108" s="86" t="s">
        <v>183</v>
      </c>
      <c r="C108" s="210" t="s">
        <v>121</v>
      </c>
      <c r="D108" s="87" t="str">
        <f t="shared" si="0"/>
        <v>0002</v>
      </c>
      <c r="E108" s="88" t="str">
        <f>DEC2HEX(HEX2DEC(D108)*2^0,8)</f>
        <v>00000002</v>
      </c>
      <c r="F108" s="89" t="s">
        <v>0</v>
      </c>
      <c r="G108" s="291"/>
      <c r="H108" s="291"/>
      <c r="I108" s="300"/>
      <c r="J108" s="18"/>
    </row>
    <row r="109" spans="2:11" ht="25.5">
      <c r="B109" s="84" t="s">
        <v>224</v>
      </c>
      <c r="C109" s="216">
        <v>0</v>
      </c>
      <c r="D109" s="6" t="str">
        <f t="shared" ref="D109:D117" si="1">BIN2HEX(C109,4)</f>
        <v>0000</v>
      </c>
      <c r="E109" s="2" t="str">
        <f>DEC2HEX(HEX2DEC(D109)*2^28,8)</f>
        <v>00000000</v>
      </c>
      <c r="F109" s="11" t="s">
        <v>233</v>
      </c>
      <c r="G109" s="299" t="s">
        <v>304</v>
      </c>
      <c r="H109" s="299" t="s">
        <v>305</v>
      </c>
      <c r="I109" s="297" t="str">
        <f>"0x"&amp;DEC2HEX((HEX2DEC(E109)+HEX2DEC(E110)+HEX2DEC(E111)+HEX2DEC(E112)+HEX2DEC(E113)+HEX2DEC(E114)+HEX2DEC(E115)+HEX2DEC(E116)+HEX2DEC(E117)+HEX2DEC(E118)+HEX2DEC(E119)+HEX2DEC(E120)+HEX2DEC(E121)+HEX2DEC(E122)+HEX2DEC(E123)+HEX2DEC(E124)+HEX2DEC(E125)+HEX2DEC(E126)), 8)</f>
        <v>0x00040004</v>
      </c>
      <c r="J109" s="18"/>
    </row>
    <row r="110" spans="2:11" ht="38.25">
      <c r="B110" s="84" t="s">
        <v>225</v>
      </c>
      <c r="C110" s="216">
        <v>0</v>
      </c>
      <c r="D110" s="6" t="str">
        <f t="shared" si="1"/>
        <v>0000</v>
      </c>
      <c r="E110" s="2" t="str">
        <f>DEC2HEX(HEX2DEC(D110)*2^27,8)</f>
        <v>00000000</v>
      </c>
      <c r="F110" s="11" t="s">
        <v>234</v>
      </c>
      <c r="G110" s="290"/>
      <c r="H110" s="290"/>
      <c r="I110" s="298"/>
      <c r="J110" s="18"/>
    </row>
    <row r="111" spans="2:11" ht="25.5">
      <c r="B111" s="84" t="s">
        <v>226</v>
      </c>
      <c r="C111" s="216">
        <v>0</v>
      </c>
      <c r="D111" s="6" t="str">
        <f t="shared" si="1"/>
        <v>0000</v>
      </c>
      <c r="E111" s="2" t="str">
        <f>DEC2HEX(HEX2DEC(D111)*2^26,8)</f>
        <v>00000000</v>
      </c>
      <c r="F111" s="11" t="s">
        <v>235</v>
      </c>
      <c r="G111" s="290"/>
      <c r="H111" s="290"/>
      <c r="I111" s="298"/>
      <c r="J111" s="18"/>
    </row>
    <row r="112" spans="2:11" ht="38.25">
      <c r="B112" s="84" t="s">
        <v>227</v>
      </c>
      <c r="C112" s="216">
        <v>0</v>
      </c>
      <c r="D112" s="6" t="str">
        <f t="shared" si="1"/>
        <v>0000</v>
      </c>
      <c r="E112" s="2" t="str">
        <f>DEC2HEX(HEX2DEC(D112)*2^23,8)</f>
        <v>00000000</v>
      </c>
      <c r="F112" s="11" t="s">
        <v>236</v>
      </c>
      <c r="G112" s="290"/>
      <c r="H112" s="290"/>
      <c r="I112" s="298"/>
      <c r="J112" s="18"/>
    </row>
    <row r="113" spans="2:10" ht="89.25">
      <c r="B113" s="84" t="s">
        <v>228</v>
      </c>
      <c r="C113" s="79">
        <v>0</v>
      </c>
      <c r="D113" s="6" t="str">
        <f t="shared" si="1"/>
        <v>0000</v>
      </c>
      <c r="E113" s="2" t="str">
        <f>DEC2HEX(HEX2DEC(D113)*2^22,8)</f>
        <v>00000000</v>
      </c>
      <c r="F113" s="11" t="s">
        <v>237</v>
      </c>
      <c r="G113" s="290"/>
      <c r="H113" s="290"/>
      <c r="I113" s="298"/>
      <c r="J113" s="18"/>
    </row>
    <row r="114" spans="2:10" ht="25.5">
      <c r="B114" s="84" t="s">
        <v>229</v>
      </c>
      <c r="C114" s="216">
        <v>0</v>
      </c>
      <c r="D114" s="6" t="str">
        <f t="shared" si="1"/>
        <v>0000</v>
      </c>
      <c r="E114" s="2" t="str">
        <f>DEC2HEX(HEX2DEC(D114)*2^19,8)</f>
        <v>00000000</v>
      </c>
      <c r="F114" s="11" t="s">
        <v>238</v>
      </c>
      <c r="G114" s="290"/>
      <c r="H114" s="290"/>
      <c r="I114" s="298"/>
      <c r="J114" s="18"/>
    </row>
    <row r="115" spans="2:10" ht="89.25">
      <c r="B115" s="84" t="s">
        <v>230</v>
      </c>
      <c r="C115" s="79">
        <v>1</v>
      </c>
      <c r="D115" s="6" t="str">
        <f t="shared" si="1"/>
        <v>0001</v>
      </c>
      <c r="E115" s="2" t="str">
        <f>DEC2HEX(HEX2DEC(D115)*2^18,8)</f>
        <v>00040000</v>
      </c>
      <c r="F115" s="11" t="s">
        <v>239</v>
      </c>
      <c r="G115" s="290"/>
      <c r="H115" s="290"/>
      <c r="I115" s="298"/>
      <c r="J115" s="14"/>
    </row>
    <row r="116" spans="2:10" ht="25.5">
      <c r="B116" s="84" t="s">
        <v>231</v>
      </c>
      <c r="C116" s="79">
        <v>0</v>
      </c>
      <c r="D116" s="6" t="str">
        <f t="shared" si="1"/>
        <v>0000</v>
      </c>
      <c r="E116" s="2" t="str">
        <f>DEC2HEX(HEX2DEC(D116)*2^17,8)</f>
        <v>00000000</v>
      </c>
      <c r="F116" s="11" t="s">
        <v>240</v>
      </c>
      <c r="G116" s="290"/>
      <c r="H116" s="290"/>
      <c r="I116" s="298"/>
      <c r="J116" s="18"/>
    </row>
    <row r="117" spans="2:10" ht="26.25" thickBot="1">
      <c r="B117" s="86" t="s">
        <v>232</v>
      </c>
      <c r="C117" s="217">
        <v>0</v>
      </c>
      <c r="D117" s="87" t="str">
        <f t="shared" si="1"/>
        <v>0000</v>
      </c>
      <c r="E117" s="88" t="str">
        <f>DEC2HEX(HEX2DEC(D117)*2^16,8)</f>
        <v>00000000</v>
      </c>
      <c r="F117" s="92" t="s">
        <v>241</v>
      </c>
      <c r="G117" s="290"/>
      <c r="H117" s="290"/>
      <c r="I117" s="298"/>
      <c r="J117" s="18"/>
    </row>
    <row r="118" spans="2:10" ht="25.5">
      <c r="B118" s="84" t="s">
        <v>191</v>
      </c>
      <c r="C118" s="216">
        <v>0</v>
      </c>
      <c r="D118" s="6" t="str">
        <f t="shared" ref="D118:D130" si="2">BIN2HEX(C118,4)</f>
        <v>0000</v>
      </c>
      <c r="E118" s="2" t="str">
        <f>DEC2HEX(HEX2DEC(D118)*2^12,8)</f>
        <v>00000000</v>
      </c>
      <c r="F118" s="11" t="s">
        <v>207</v>
      </c>
      <c r="G118" s="290"/>
      <c r="H118" s="290"/>
      <c r="I118" s="298"/>
      <c r="J118" s="18"/>
    </row>
    <row r="119" spans="2:10" ht="38.25">
      <c r="B119" s="84" t="s">
        <v>190</v>
      </c>
      <c r="C119" s="216">
        <v>0</v>
      </c>
      <c r="D119" s="6" t="str">
        <f t="shared" si="2"/>
        <v>0000</v>
      </c>
      <c r="E119" s="2" t="str">
        <f>DEC2HEX(HEX2DEC(D119)*2^11,8)</f>
        <v>00000000</v>
      </c>
      <c r="F119" s="11" t="s">
        <v>208</v>
      </c>
      <c r="G119" s="290"/>
      <c r="H119" s="290"/>
      <c r="I119" s="298"/>
      <c r="J119" s="18"/>
    </row>
    <row r="120" spans="2:10" ht="25.5">
      <c r="B120" s="84" t="s">
        <v>192</v>
      </c>
      <c r="C120" s="216">
        <v>0</v>
      </c>
      <c r="D120" s="6" t="str">
        <f t="shared" si="2"/>
        <v>0000</v>
      </c>
      <c r="E120" s="2" t="str">
        <f>DEC2HEX(HEX2DEC(D120)*2^10,8)</f>
        <v>00000000</v>
      </c>
      <c r="F120" s="11" t="s">
        <v>209</v>
      </c>
      <c r="G120" s="290"/>
      <c r="H120" s="290"/>
      <c r="I120" s="298"/>
      <c r="J120" s="18"/>
    </row>
    <row r="121" spans="2:10" ht="38.25">
      <c r="B121" s="84" t="s">
        <v>189</v>
      </c>
      <c r="C121" s="216">
        <v>0</v>
      </c>
      <c r="D121" s="6" t="str">
        <f t="shared" si="2"/>
        <v>0000</v>
      </c>
      <c r="E121" s="2" t="str">
        <f>DEC2HEX(HEX2DEC(D121)*2^7,8)</f>
        <v>00000000</v>
      </c>
      <c r="F121" s="11" t="s">
        <v>210</v>
      </c>
      <c r="G121" s="290"/>
      <c r="H121" s="290"/>
      <c r="I121" s="298"/>
      <c r="J121" s="18"/>
    </row>
    <row r="122" spans="2:10" ht="89.25">
      <c r="B122" s="84" t="s">
        <v>188</v>
      </c>
      <c r="C122" s="79">
        <v>0</v>
      </c>
      <c r="D122" s="6" t="str">
        <f t="shared" si="2"/>
        <v>0000</v>
      </c>
      <c r="E122" s="2" t="str">
        <f>DEC2HEX(HEX2DEC(D122)*2^6,8)</f>
        <v>00000000</v>
      </c>
      <c r="F122" s="11" t="s">
        <v>211</v>
      </c>
      <c r="G122" s="290"/>
      <c r="H122" s="290"/>
      <c r="I122" s="298"/>
      <c r="J122" s="18"/>
    </row>
    <row r="123" spans="2:10" ht="25.5">
      <c r="B123" s="84" t="s">
        <v>186</v>
      </c>
      <c r="C123" s="216">
        <v>0</v>
      </c>
      <c r="D123" s="6" t="str">
        <f t="shared" si="2"/>
        <v>0000</v>
      </c>
      <c r="E123" s="2" t="str">
        <f>DEC2HEX(HEX2DEC(D123)*2^3,8)</f>
        <v>00000000</v>
      </c>
      <c r="F123" s="11" t="s">
        <v>212</v>
      </c>
      <c r="G123" s="290"/>
      <c r="H123" s="290"/>
      <c r="I123" s="298"/>
      <c r="J123" s="18"/>
    </row>
    <row r="124" spans="2:10" ht="89.25">
      <c r="B124" s="84" t="s">
        <v>187</v>
      </c>
      <c r="C124" s="79">
        <v>1</v>
      </c>
      <c r="D124" s="6" t="str">
        <f t="shared" si="2"/>
        <v>0001</v>
      </c>
      <c r="E124" s="2" t="str">
        <f>DEC2HEX(HEX2DEC(D124)*2^2,8)</f>
        <v>00000004</v>
      </c>
      <c r="F124" s="11" t="s">
        <v>213</v>
      </c>
      <c r="G124" s="290"/>
      <c r="H124" s="290"/>
      <c r="I124" s="298"/>
      <c r="J124" s="18"/>
    </row>
    <row r="125" spans="2:10" ht="25.5">
      <c r="B125" s="84" t="s">
        <v>185</v>
      </c>
      <c r="C125" s="79">
        <v>0</v>
      </c>
      <c r="D125" s="6" t="str">
        <f t="shared" si="2"/>
        <v>0000</v>
      </c>
      <c r="E125" s="2" t="str">
        <f>DEC2HEX(HEX2DEC(D125)*2^1,8)</f>
        <v>00000000</v>
      </c>
      <c r="F125" s="11" t="s">
        <v>214</v>
      </c>
      <c r="G125" s="290"/>
      <c r="H125" s="290"/>
      <c r="I125" s="298"/>
      <c r="J125" s="18"/>
    </row>
    <row r="126" spans="2:10" ht="26.25" thickBot="1">
      <c r="B126" s="97" t="s">
        <v>184</v>
      </c>
      <c r="C126" s="215">
        <v>0</v>
      </c>
      <c r="D126" s="186" t="str">
        <f t="shared" si="2"/>
        <v>0000</v>
      </c>
      <c r="E126" s="70" t="str">
        <f>DEC2HEX(HEX2DEC(D126)*2^0,8)</f>
        <v>00000000</v>
      </c>
      <c r="F126" s="187" t="s">
        <v>215</v>
      </c>
      <c r="G126" s="290"/>
      <c r="H126" s="290"/>
      <c r="I126" s="298"/>
      <c r="J126" s="18"/>
    </row>
    <row r="127" spans="2:10" ht="89.25">
      <c r="B127" s="106" t="s">
        <v>223</v>
      </c>
      <c r="C127" s="220">
        <v>0</v>
      </c>
      <c r="D127" s="81" t="str">
        <f>BIN2HEX(C127,4)</f>
        <v>0000</v>
      </c>
      <c r="E127" s="82" t="str">
        <f>DEC2HEX(HEX2DEC(D127)*2^23,8)</f>
        <v>00000000</v>
      </c>
      <c r="F127" s="110" t="s">
        <v>222</v>
      </c>
      <c r="G127" s="303" t="s">
        <v>306</v>
      </c>
      <c r="H127" s="303" t="s">
        <v>307</v>
      </c>
      <c r="I127" s="317" t="str">
        <f>"0x"&amp;DEC2HEX((HEX2DEC(E127)+HEX2DEC(E128)), 8)</f>
        <v>0x00000000</v>
      </c>
      <c r="J127" s="18"/>
    </row>
    <row r="128" spans="2:10" ht="90" thickBot="1">
      <c r="B128" s="111" t="s">
        <v>193</v>
      </c>
      <c r="C128" s="219">
        <v>0</v>
      </c>
      <c r="D128" s="87" t="str">
        <f>BIN2HEX(C128,4)</f>
        <v>0000</v>
      </c>
      <c r="E128" s="88" t="str">
        <f>DEC2HEX(HEX2DEC(D128)*2^7,8)</f>
        <v>00000000</v>
      </c>
      <c r="F128" s="113" t="s">
        <v>206</v>
      </c>
      <c r="G128" s="287"/>
      <c r="H128" s="287"/>
      <c r="I128" s="302"/>
      <c r="J128" s="18"/>
    </row>
    <row r="129" spans="2:41" ht="51.75" thickBot="1">
      <c r="B129" s="86" t="s">
        <v>308</v>
      </c>
      <c r="C129" s="218" t="s">
        <v>49</v>
      </c>
      <c r="D129" s="87" t="str">
        <f>BIN2HEX(C129,4)</f>
        <v>0000</v>
      </c>
      <c r="E129" s="88" t="str">
        <f>DEC2HEX(HEX2DEC(D129)*2^16,8)</f>
        <v>00000000</v>
      </c>
      <c r="F129" s="92" t="s">
        <v>242</v>
      </c>
      <c r="G129" s="288" t="s">
        <v>309</v>
      </c>
      <c r="H129" s="290" t="s">
        <v>310</v>
      </c>
      <c r="I129" s="301" t="str">
        <f>"0x"&amp;DEC2HEX((HEX2DEC(E129)+HEX2DEC(E130)), 8)</f>
        <v>0x00000000</v>
      </c>
      <c r="J129" s="18"/>
    </row>
    <row r="130" spans="2:41" ht="51.75" thickBot="1">
      <c r="B130" s="86" t="s">
        <v>44</v>
      </c>
      <c r="C130" s="218" t="s">
        <v>49</v>
      </c>
      <c r="D130" s="87" t="str">
        <f t="shared" si="2"/>
        <v>0000</v>
      </c>
      <c r="E130" s="88" t="str">
        <f>DEC2HEX(HEX2DEC(D130)*2^0,8)</f>
        <v>00000000</v>
      </c>
      <c r="F130" s="92" t="s">
        <v>216</v>
      </c>
      <c r="G130" s="289"/>
      <c r="H130" s="291"/>
      <c r="I130" s="302"/>
      <c r="J130" s="18"/>
      <c r="AJ130" s="18"/>
    </row>
    <row r="131" spans="2:41">
      <c r="B131" s="54"/>
      <c r="C131" s="55"/>
      <c r="D131" s="55"/>
      <c r="E131" s="55"/>
      <c r="F131" s="56"/>
      <c r="G131" s="57"/>
      <c r="H131" s="55"/>
      <c r="I131" s="55"/>
      <c r="J131" s="18"/>
      <c r="AJ131" s="18"/>
      <c r="AK131" s="18"/>
      <c r="AL131" s="18"/>
      <c r="AM131" s="18"/>
      <c r="AN131" s="18"/>
      <c r="AO131" s="18"/>
    </row>
    <row r="132" spans="2:41" s="18" customFormat="1">
      <c r="E132" s="24"/>
      <c r="G132" s="25"/>
      <c r="H132" s="24"/>
      <c r="I132" s="24"/>
    </row>
    <row r="133" spans="2:41" s="18" customFormat="1">
      <c r="E133" s="24"/>
      <c r="G133" s="25"/>
      <c r="H133" s="24"/>
      <c r="I133" s="24"/>
    </row>
    <row r="134" spans="2:41" s="18" customFormat="1">
      <c r="E134" s="24"/>
      <c r="G134" s="25"/>
      <c r="H134" s="24"/>
      <c r="I134" s="24"/>
    </row>
    <row r="135" spans="2:41" s="18" customFormat="1">
      <c r="E135" s="24"/>
      <c r="G135" s="25"/>
      <c r="H135" s="24"/>
      <c r="I135" s="24"/>
    </row>
    <row r="136" spans="2:41" s="18" customFormat="1">
      <c r="E136" s="24"/>
      <c r="G136" s="25"/>
      <c r="H136" s="24"/>
      <c r="I136" s="24"/>
    </row>
    <row r="137" spans="2:41" s="18" customFormat="1">
      <c r="E137" s="24"/>
      <c r="G137" s="25"/>
      <c r="H137" s="24"/>
      <c r="I137" s="24"/>
    </row>
    <row r="138" spans="2:41" s="18" customFormat="1">
      <c r="E138" s="24"/>
      <c r="G138" s="25"/>
      <c r="H138" s="24"/>
      <c r="I138" s="24"/>
    </row>
    <row r="139" spans="2:41" s="18" customFormat="1">
      <c r="E139" s="24"/>
      <c r="G139" s="25"/>
      <c r="H139" s="24"/>
      <c r="I139" s="24"/>
    </row>
    <row r="140" spans="2:41" s="18" customFormat="1">
      <c r="E140" s="24"/>
      <c r="G140" s="25"/>
      <c r="H140" s="24"/>
      <c r="I140" s="24"/>
    </row>
    <row r="141" spans="2:41" s="18" customFormat="1">
      <c r="E141" s="24"/>
      <c r="G141" s="25"/>
      <c r="H141" s="24"/>
      <c r="I141" s="24"/>
    </row>
    <row r="142" spans="2:41" s="18" customFormat="1">
      <c r="E142" s="24"/>
      <c r="G142" s="25"/>
      <c r="H142" s="24"/>
      <c r="I142" s="24"/>
    </row>
    <row r="143" spans="2:41" s="18" customFormat="1">
      <c r="E143" s="24"/>
      <c r="G143" s="25"/>
      <c r="H143" s="24"/>
      <c r="I143" s="24"/>
    </row>
    <row r="144" spans="2:41" s="18" customFormat="1">
      <c r="E144" s="24"/>
      <c r="G144" s="25"/>
      <c r="H144" s="24"/>
      <c r="I144" s="24"/>
    </row>
    <row r="145" spans="5:9" s="18" customFormat="1">
      <c r="E145" s="24"/>
      <c r="G145" s="25"/>
      <c r="H145" s="24"/>
      <c r="I145" s="24"/>
    </row>
    <row r="146" spans="5:9" s="18" customFormat="1">
      <c r="E146" s="24"/>
      <c r="G146" s="25"/>
      <c r="H146" s="24"/>
      <c r="I146" s="24"/>
    </row>
    <row r="147" spans="5:9" s="18" customFormat="1">
      <c r="E147" s="24"/>
      <c r="G147" s="25"/>
      <c r="H147" s="24"/>
      <c r="I147" s="24"/>
    </row>
    <row r="148" spans="5:9" s="18" customFormat="1">
      <c r="E148" s="24"/>
      <c r="G148" s="25"/>
      <c r="H148" s="24"/>
      <c r="I148" s="24"/>
    </row>
    <row r="149" spans="5:9" s="18" customFormat="1">
      <c r="E149" s="24"/>
      <c r="G149" s="25"/>
      <c r="H149" s="24"/>
      <c r="I149" s="24"/>
    </row>
    <row r="150" spans="5:9" s="18" customFormat="1">
      <c r="E150" s="24"/>
      <c r="G150" s="25"/>
      <c r="H150" s="24"/>
      <c r="I150" s="24"/>
    </row>
    <row r="151" spans="5:9" s="18" customFormat="1">
      <c r="E151" s="24"/>
      <c r="G151" s="25"/>
      <c r="H151" s="24"/>
      <c r="I151" s="24"/>
    </row>
    <row r="152" spans="5:9" s="18" customFormat="1">
      <c r="E152" s="24"/>
      <c r="G152" s="25"/>
      <c r="H152" s="24"/>
      <c r="I152" s="24"/>
    </row>
    <row r="153" spans="5:9" s="18" customFormat="1">
      <c r="E153" s="24"/>
      <c r="G153" s="25"/>
      <c r="H153" s="24"/>
      <c r="I153" s="24"/>
    </row>
    <row r="154" spans="5:9" s="18" customFormat="1">
      <c r="E154" s="24"/>
      <c r="G154" s="25"/>
      <c r="H154" s="24"/>
      <c r="I154" s="24"/>
    </row>
    <row r="155" spans="5:9" s="18" customFormat="1">
      <c r="E155" s="24"/>
      <c r="G155" s="25"/>
      <c r="H155" s="24"/>
      <c r="I155" s="24"/>
    </row>
    <row r="156" spans="5:9" s="18" customFormat="1">
      <c r="E156" s="24"/>
      <c r="G156" s="25"/>
      <c r="H156" s="24"/>
      <c r="I156" s="24"/>
    </row>
    <row r="157" spans="5:9" s="18" customFormat="1">
      <c r="E157" s="24"/>
      <c r="G157" s="25"/>
      <c r="H157" s="24"/>
      <c r="I157" s="24"/>
    </row>
    <row r="158" spans="5:9" s="18" customFormat="1">
      <c r="E158" s="24"/>
      <c r="G158" s="25"/>
      <c r="H158" s="24"/>
      <c r="I158" s="24"/>
    </row>
    <row r="159" spans="5:9" s="18" customFormat="1">
      <c r="E159" s="24"/>
      <c r="G159" s="25"/>
      <c r="H159" s="24"/>
      <c r="I159" s="24"/>
    </row>
    <row r="160" spans="5:9" s="18" customFormat="1">
      <c r="E160" s="24"/>
      <c r="G160" s="25"/>
      <c r="H160" s="24"/>
      <c r="I160" s="24"/>
    </row>
    <row r="161" spans="5:9" s="18" customFormat="1">
      <c r="E161" s="24"/>
      <c r="G161" s="25"/>
      <c r="H161" s="24"/>
      <c r="I161" s="24"/>
    </row>
    <row r="162" spans="5:9" s="18" customFormat="1">
      <c r="E162" s="24"/>
      <c r="G162" s="25"/>
      <c r="H162" s="24"/>
      <c r="I162" s="24"/>
    </row>
    <row r="163" spans="5:9" s="18" customFormat="1">
      <c r="E163" s="24"/>
      <c r="G163" s="25"/>
      <c r="H163" s="24"/>
      <c r="I163" s="24"/>
    </row>
    <row r="164" spans="5:9" s="18" customFormat="1">
      <c r="E164" s="24"/>
      <c r="G164" s="25"/>
      <c r="H164" s="24"/>
      <c r="I164" s="24"/>
    </row>
    <row r="165" spans="5:9" s="18" customFormat="1">
      <c r="E165" s="24"/>
      <c r="G165" s="25"/>
      <c r="H165" s="24"/>
      <c r="I165" s="24"/>
    </row>
    <row r="166" spans="5:9" s="18" customFormat="1">
      <c r="E166" s="24"/>
      <c r="G166" s="25"/>
      <c r="H166" s="24"/>
      <c r="I166" s="24"/>
    </row>
    <row r="167" spans="5:9" s="18" customFormat="1">
      <c r="E167" s="24"/>
      <c r="G167" s="25"/>
      <c r="H167" s="24"/>
      <c r="I167" s="24"/>
    </row>
    <row r="168" spans="5:9" s="18" customFormat="1">
      <c r="E168" s="24"/>
      <c r="G168" s="25"/>
      <c r="H168" s="24"/>
      <c r="I168" s="24"/>
    </row>
    <row r="169" spans="5:9" s="18" customFormat="1">
      <c r="E169" s="24"/>
      <c r="G169" s="25"/>
      <c r="H169" s="24"/>
      <c r="I169" s="24"/>
    </row>
    <row r="170" spans="5:9" s="18" customFormat="1">
      <c r="E170" s="24"/>
      <c r="G170" s="25"/>
      <c r="H170" s="24"/>
      <c r="I170" s="24"/>
    </row>
    <row r="171" spans="5:9" s="18" customFormat="1">
      <c r="E171" s="24"/>
      <c r="G171" s="25"/>
      <c r="H171" s="24"/>
      <c r="I171" s="24"/>
    </row>
    <row r="172" spans="5:9" s="18" customFormat="1">
      <c r="E172" s="24"/>
      <c r="G172" s="25"/>
      <c r="H172" s="24"/>
      <c r="I172" s="24"/>
    </row>
    <row r="173" spans="5:9" s="18" customFormat="1">
      <c r="E173" s="24"/>
      <c r="G173" s="25"/>
      <c r="H173" s="24"/>
      <c r="I173" s="24"/>
    </row>
    <row r="174" spans="5:9" s="18" customFormat="1">
      <c r="E174" s="24"/>
      <c r="G174" s="25"/>
      <c r="H174" s="24"/>
      <c r="I174" s="24"/>
    </row>
    <row r="175" spans="5:9" s="18" customFormat="1">
      <c r="E175" s="24"/>
      <c r="G175" s="25"/>
      <c r="H175" s="24"/>
      <c r="I175" s="24"/>
    </row>
    <row r="176" spans="5:9" s="18" customFormat="1">
      <c r="E176" s="24"/>
      <c r="G176" s="25"/>
      <c r="H176" s="24"/>
      <c r="I176" s="24"/>
    </row>
    <row r="177" spans="5:9" s="18" customFormat="1">
      <c r="E177" s="24"/>
      <c r="G177" s="25"/>
      <c r="H177" s="24"/>
      <c r="I177" s="24"/>
    </row>
    <row r="178" spans="5:9" s="18" customFormat="1">
      <c r="E178" s="24"/>
      <c r="G178" s="25"/>
      <c r="H178" s="24"/>
      <c r="I178" s="24"/>
    </row>
    <row r="179" spans="5:9" s="18" customFormat="1">
      <c r="E179" s="24"/>
      <c r="G179" s="25"/>
      <c r="H179" s="24"/>
      <c r="I179" s="24"/>
    </row>
    <row r="180" spans="5:9" s="18" customFormat="1">
      <c r="E180" s="24"/>
      <c r="G180" s="25"/>
      <c r="H180" s="24"/>
      <c r="I180" s="24"/>
    </row>
    <row r="181" spans="5:9" s="18" customFormat="1">
      <c r="E181" s="24"/>
      <c r="G181" s="25"/>
      <c r="H181" s="24"/>
      <c r="I181" s="24"/>
    </row>
    <row r="182" spans="5:9" s="18" customFormat="1">
      <c r="E182" s="24"/>
      <c r="G182" s="25"/>
      <c r="H182" s="24"/>
      <c r="I182" s="24"/>
    </row>
    <row r="183" spans="5:9" s="18" customFormat="1">
      <c r="E183" s="24"/>
      <c r="G183" s="25"/>
      <c r="H183" s="24"/>
      <c r="I183" s="24"/>
    </row>
    <row r="184" spans="5:9" s="18" customFormat="1">
      <c r="E184" s="24"/>
      <c r="G184" s="25"/>
      <c r="H184" s="24"/>
      <c r="I184" s="24"/>
    </row>
    <row r="185" spans="5:9" s="18" customFormat="1">
      <c r="E185" s="24"/>
      <c r="G185" s="25"/>
      <c r="H185" s="24"/>
      <c r="I185" s="24"/>
    </row>
    <row r="186" spans="5:9" s="18" customFormat="1">
      <c r="E186" s="24"/>
      <c r="G186" s="25"/>
      <c r="H186" s="24"/>
      <c r="I186" s="24"/>
    </row>
    <row r="187" spans="5:9" s="18" customFormat="1">
      <c r="E187" s="24"/>
      <c r="G187" s="25"/>
      <c r="H187" s="24"/>
      <c r="I187" s="24"/>
    </row>
    <row r="188" spans="5:9" s="18" customFormat="1">
      <c r="E188" s="24"/>
      <c r="G188" s="25"/>
      <c r="H188" s="24"/>
      <c r="I188" s="24"/>
    </row>
    <row r="189" spans="5:9" s="18" customFormat="1">
      <c r="E189" s="24"/>
      <c r="G189" s="25"/>
      <c r="H189" s="24"/>
      <c r="I189" s="24"/>
    </row>
    <row r="190" spans="5:9" s="18" customFormat="1">
      <c r="E190" s="24"/>
      <c r="G190" s="25"/>
      <c r="H190" s="24"/>
      <c r="I190" s="24"/>
    </row>
    <row r="191" spans="5:9" s="18" customFormat="1">
      <c r="E191" s="24"/>
      <c r="G191" s="25"/>
      <c r="H191" s="24"/>
      <c r="I191" s="24"/>
    </row>
    <row r="192" spans="5:9" s="18" customFormat="1">
      <c r="E192" s="24"/>
      <c r="G192" s="25"/>
      <c r="H192" s="24"/>
      <c r="I192" s="24"/>
    </row>
    <row r="193" spans="2:41" s="18" customFormat="1">
      <c r="E193" s="24"/>
      <c r="G193" s="25"/>
      <c r="H193" s="24"/>
      <c r="I193" s="24"/>
    </row>
    <row r="194" spans="2:41" s="18" customFormat="1">
      <c r="E194" s="24"/>
      <c r="G194" s="25"/>
      <c r="H194" s="24"/>
      <c r="I194" s="24"/>
    </row>
    <row r="195" spans="2:41" s="18" customFormat="1">
      <c r="E195" s="24"/>
      <c r="G195" s="25"/>
      <c r="H195" s="24"/>
      <c r="I195" s="24"/>
    </row>
    <row r="196" spans="2:41" s="18" customFormat="1">
      <c r="E196" s="24"/>
      <c r="G196" s="25"/>
      <c r="H196" s="24"/>
      <c r="I196" s="24"/>
    </row>
    <row r="197" spans="2:41" s="18" customFormat="1">
      <c r="E197" s="24"/>
      <c r="G197" s="25"/>
      <c r="H197" s="24"/>
      <c r="I197" s="24"/>
    </row>
    <row r="198" spans="2:41" s="18" customFormat="1">
      <c r="E198" s="24"/>
      <c r="G198" s="25"/>
      <c r="H198" s="24"/>
      <c r="I198" s="24"/>
    </row>
    <row r="199" spans="2:41" s="18" customFormat="1">
      <c r="E199" s="24"/>
      <c r="G199" s="25"/>
      <c r="H199" s="24"/>
      <c r="I199" s="24"/>
    </row>
    <row r="200" spans="2:41" s="18" customFormat="1">
      <c r="E200" s="24"/>
      <c r="G200" s="25"/>
      <c r="H200" s="24"/>
      <c r="I200" s="24"/>
    </row>
    <row r="201" spans="2:41" s="18" customFormat="1">
      <c r="E201" s="24"/>
      <c r="G201" s="25"/>
      <c r="H201" s="24"/>
      <c r="I201" s="24"/>
    </row>
    <row r="202" spans="2:41" s="18" customFormat="1">
      <c r="E202" s="24"/>
      <c r="G202" s="25"/>
      <c r="H202" s="24"/>
      <c r="I202" s="24"/>
    </row>
    <row r="203" spans="2:41" s="18" customFormat="1">
      <c r="E203" s="24"/>
      <c r="G203" s="25"/>
      <c r="H203" s="24"/>
      <c r="I203" s="24"/>
    </row>
    <row r="204" spans="2:41" s="18" customFormat="1">
      <c r="E204" s="24"/>
      <c r="G204" s="25"/>
      <c r="H204" s="24"/>
      <c r="I204" s="24"/>
    </row>
    <row r="205" spans="2:41" s="18" customFormat="1">
      <c r="E205" s="24"/>
      <c r="G205" s="25"/>
      <c r="H205" s="24"/>
      <c r="I205" s="24"/>
    </row>
    <row r="206" spans="2:41" s="18" customFormat="1">
      <c r="E206" s="24"/>
      <c r="G206" s="25"/>
      <c r="H206" s="24"/>
      <c r="I206" s="24"/>
      <c r="AJ206"/>
    </row>
    <row r="207" spans="2:41" s="18" customFormat="1">
      <c r="B207"/>
      <c r="C207"/>
      <c r="D207"/>
      <c r="E207" s="1"/>
      <c r="F207"/>
      <c r="G207" s="4"/>
      <c r="H207" s="1"/>
      <c r="I207" s="1"/>
      <c r="AJ207"/>
      <c r="AK207"/>
      <c r="AL207"/>
      <c r="AM207"/>
      <c r="AN207"/>
      <c r="AO207"/>
    </row>
  </sheetData>
  <mergeCells count="95">
    <mergeCell ref="G72:G73"/>
    <mergeCell ref="G74:G76"/>
    <mergeCell ref="B88:F88"/>
    <mergeCell ref="I81:I82"/>
    <mergeCell ref="I77:I80"/>
    <mergeCell ref="I74:I76"/>
    <mergeCell ref="I127:I128"/>
    <mergeCell ref="G127:G128"/>
    <mergeCell ref="H127:H128"/>
    <mergeCell ref="I84:I87"/>
    <mergeCell ref="H77:H80"/>
    <mergeCell ref="I88:I89"/>
    <mergeCell ref="G109:G126"/>
    <mergeCell ref="H109:H126"/>
    <mergeCell ref="B91:I91"/>
    <mergeCell ref="I72:I73"/>
    <mergeCell ref="I65:I66"/>
    <mergeCell ref="I67:I68"/>
    <mergeCell ref="I55:I57"/>
    <mergeCell ref="H48:H51"/>
    <mergeCell ref="I62:I64"/>
    <mergeCell ref="I69:I71"/>
    <mergeCell ref="H55:H57"/>
    <mergeCell ref="H58:H61"/>
    <mergeCell ref="H72:H73"/>
    <mergeCell ref="H69:H71"/>
    <mergeCell ref="G62:G64"/>
    <mergeCell ref="G55:G57"/>
    <mergeCell ref="H67:H68"/>
    <mergeCell ref="J34:J41"/>
    <mergeCell ref="I34:I41"/>
    <mergeCell ref="H34:H41"/>
    <mergeCell ref="I109:I126"/>
    <mergeCell ref="H95:H108"/>
    <mergeCell ref="I95:I108"/>
    <mergeCell ref="I129:I130"/>
    <mergeCell ref="G34:G41"/>
    <mergeCell ref="G95:G108"/>
    <mergeCell ref="G65:G66"/>
    <mergeCell ref="H84:H87"/>
    <mergeCell ref="H88:H89"/>
    <mergeCell ref="G88:G89"/>
    <mergeCell ref="G129:G130"/>
    <mergeCell ref="H129:H130"/>
    <mergeCell ref="G45:G47"/>
    <mergeCell ref="H45:H47"/>
    <mergeCell ref="H62:H64"/>
    <mergeCell ref="H74:H76"/>
    <mergeCell ref="H81:H82"/>
    <mergeCell ref="G81:G82"/>
    <mergeCell ref="G77:G80"/>
    <mergeCell ref="G84:G87"/>
    <mergeCell ref="J45:J47"/>
    <mergeCell ref="B36:C36"/>
    <mergeCell ref="B35:C35"/>
    <mergeCell ref="B34:C34"/>
    <mergeCell ref="B38:C38"/>
    <mergeCell ref="B41:C41"/>
    <mergeCell ref="H65:H66"/>
    <mergeCell ref="C19:D19"/>
    <mergeCell ref="C21:D21"/>
    <mergeCell ref="C26:D26"/>
    <mergeCell ref="C25:D25"/>
    <mergeCell ref="G48:G51"/>
    <mergeCell ref="C24:D24"/>
    <mergeCell ref="C27:D27"/>
    <mergeCell ref="B40:C40"/>
    <mergeCell ref="B39:C39"/>
    <mergeCell ref="I58:I61"/>
    <mergeCell ref="F17:G25"/>
    <mergeCell ref="F10:F11"/>
    <mergeCell ref="I52:I54"/>
    <mergeCell ref="G52:G54"/>
    <mergeCell ref="H52:H54"/>
    <mergeCell ref="F16:G16"/>
    <mergeCell ref="F13:F14"/>
    <mergeCell ref="I45:I47"/>
    <mergeCell ref="I48:I51"/>
    <mergeCell ref="G69:G71"/>
    <mergeCell ref="G7:G8"/>
    <mergeCell ref="G13:G14"/>
    <mergeCell ref="C17:D17"/>
    <mergeCell ref="F7:F8"/>
    <mergeCell ref="B32:C32"/>
    <mergeCell ref="C18:D18"/>
    <mergeCell ref="C20:D20"/>
    <mergeCell ref="G67:G68"/>
    <mergeCell ref="G58:G61"/>
    <mergeCell ref="C28:D28"/>
    <mergeCell ref="C22:D22"/>
    <mergeCell ref="B37:C37"/>
    <mergeCell ref="B7:E14"/>
    <mergeCell ref="G10:G11"/>
    <mergeCell ref="C23:D23"/>
    <mergeCell ref="B30:J30"/>
  </mergeCells>
  <phoneticPr fontId="1" type="noConversion"/>
  <dataValidations disablePrompts="1" count="4">
    <dataValidation type="list" allowBlank="1" showInputMessage="1" showErrorMessage="1" sqref="C101 C108">
      <formula1>$AN$7:$AN$10</formula1>
    </dataValidation>
    <dataValidation type="list" allowBlank="1" showInputMessage="1" showErrorMessage="1" sqref="C99 C96 C103 C106">
      <formula1>$AN$6:$AN$14</formula1>
    </dataValidation>
    <dataValidation type="list" allowBlank="1" showInputMessage="1" showErrorMessage="1" sqref="C26">
      <formula1>$AK$6:$AK$8</formula1>
    </dataValidation>
    <dataValidation type="list" allowBlank="1" showInputMessage="1" showErrorMessage="1" sqref="C17">
      <formula1>$AL$6:$AL$7</formula1>
    </dataValidation>
  </dataValidations>
  <pageMargins left="0.75" right="0.75" top="1" bottom="1" header="0.5" footer="0.5"/>
  <pageSetup scale="81" orientation="landscape" r:id="rId1"/>
  <headerFooter alignWithMargins="0"/>
  <ignoredErrors>
    <ignoredError sqref="E54 E81" formula="1"/>
    <ignoredError sqref="C99 AO6" numberStoredAsText="1"/>
  </ignoredErrors>
  <drawing r:id="rId2"/>
</worksheet>
</file>

<file path=xl/worksheets/sheet3.xml><?xml version="1.0" encoding="utf-8"?>
<worksheet xmlns="http://schemas.openxmlformats.org/spreadsheetml/2006/main" xmlns:r="http://schemas.openxmlformats.org/officeDocument/2006/relationships">
  <dimension ref="A1:I149"/>
  <sheetViews>
    <sheetView topLeftCell="A52" zoomScale="85" workbookViewId="0">
      <selection activeCell="H13" sqref="H13"/>
    </sheetView>
  </sheetViews>
  <sheetFormatPr defaultRowHeight="12.75"/>
  <cols>
    <col min="1" max="1" width="20.42578125" customWidth="1"/>
    <col min="2" max="2" width="29" customWidth="1"/>
    <col min="3" max="3" width="12.42578125" bestFit="1" customWidth="1"/>
    <col min="4" max="4" width="8.28515625" customWidth="1"/>
    <col min="5" max="5" width="25.85546875" style="1" hidden="1" customWidth="1"/>
    <col min="6" max="6" width="23.85546875" style="1" hidden="1" customWidth="1"/>
    <col min="7" max="7" width="13.42578125" customWidth="1"/>
    <col min="8" max="8" width="12.28515625" customWidth="1"/>
  </cols>
  <sheetData>
    <row r="1" spans="1:3">
      <c r="A1" t="s">
        <v>68</v>
      </c>
    </row>
    <row r="2" spans="1:3">
      <c r="A2" s="5" t="s">
        <v>341</v>
      </c>
    </row>
    <row r="3" spans="1:3">
      <c r="A3" t="s">
        <v>68</v>
      </c>
    </row>
    <row r="4" spans="1:3">
      <c r="A4" t="s">
        <v>112</v>
      </c>
    </row>
    <row r="6" spans="1:3">
      <c r="A6" t="s">
        <v>332</v>
      </c>
    </row>
    <row r="7" spans="1:3">
      <c r="A7" t="s">
        <v>343</v>
      </c>
    </row>
    <row r="8" spans="1:3">
      <c r="A8" t="s">
        <v>332</v>
      </c>
    </row>
    <row r="9" spans="1:3">
      <c r="A9" t="s">
        <v>344</v>
      </c>
    </row>
    <row r="10" spans="1:3">
      <c r="A10" t="s">
        <v>357</v>
      </c>
      <c r="B10" t="s">
        <v>358</v>
      </c>
      <c r="C10" t="s">
        <v>360</v>
      </c>
    </row>
    <row r="11" spans="1:3">
      <c r="A11" t="s">
        <v>357</v>
      </c>
      <c r="B11" t="s">
        <v>359</v>
      </c>
      <c r="C11" t="s">
        <v>361</v>
      </c>
    </row>
    <row r="13" spans="1:3">
      <c r="A13" t="s">
        <v>332</v>
      </c>
    </row>
    <row r="14" spans="1:3">
      <c r="A14" t="s">
        <v>345</v>
      </c>
    </row>
    <row r="15" spans="1:3">
      <c r="A15" t="s">
        <v>332</v>
      </c>
    </row>
    <row r="16" spans="1:3">
      <c r="A16" t="s">
        <v>346</v>
      </c>
    </row>
    <row r="17" spans="1:3">
      <c r="A17" t="s">
        <v>113</v>
      </c>
      <c r="B17" t="s">
        <v>362</v>
      </c>
      <c r="C17" t="s">
        <v>364</v>
      </c>
    </row>
    <row r="18" spans="1:3">
      <c r="A18" t="s">
        <v>347</v>
      </c>
    </row>
    <row r="19" spans="1:3">
      <c r="A19" t="s">
        <v>348</v>
      </c>
    </row>
    <row r="20" spans="1:3">
      <c r="A20" t="s">
        <v>113</v>
      </c>
      <c r="B20" t="s">
        <v>363</v>
      </c>
      <c r="C20" t="s">
        <v>365</v>
      </c>
    </row>
    <row r="23" spans="1:3">
      <c r="A23" t="s">
        <v>349</v>
      </c>
    </row>
    <row r="24" spans="1:3">
      <c r="A24" t="s">
        <v>113</v>
      </c>
      <c r="B24" t="s">
        <v>366</v>
      </c>
      <c r="C24" t="s">
        <v>367</v>
      </c>
    </row>
    <row r="25" spans="1:3">
      <c r="A25" t="s">
        <v>350</v>
      </c>
    </row>
    <row r="26" spans="1:3">
      <c r="A26" t="s">
        <v>113</v>
      </c>
      <c r="B26" t="s">
        <v>368</v>
      </c>
      <c r="C26" t="s">
        <v>369</v>
      </c>
    </row>
    <row r="27" spans="1:3">
      <c r="A27" t="s">
        <v>351</v>
      </c>
    </row>
    <row r="28" spans="1:3">
      <c r="A28" t="s">
        <v>113</v>
      </c>
      <c r="B28" t="s">
        <v>370</v>
      </c>
      <c r="C28" t="s">
        <v>86</v>
      </c>
    </row>
    <row r="30" spans="1:3">
      <c r="A30" t="s">
        <v>332</v>
      </c>
    </row>
    <row r="31" spans="1:3">
      <c r="A31" t="s">
        <v>352</v>
      </c>
    </row>
    <row r="32" spans="1:3">
      <c r="A32" t="s">
        <v>332</v>
      </c>
    </row>
    <row r="33" spans="1:3">
      <c r="A33" t="s">
        <v>353</v>
      </c>
    </row>
    <row r="34" spans="1:3">
      <c r="A34" t="s">
        <v>113</v>
      </c>
      <c r="B34" t="s">
        <v>371</v>
      </c>
      <c r="C34" t="s">
        <v>372</v>
      </c>
    </row>
    <row r="35" spans="1:3">
      <c r="C35" s="5"/>
    </row>
    <row r="36" spans="1:3">
      <c r="A36" t="s">
        <v>332</v>
      </c>
    </row>
    <row r="37" spans="1:3">
      <c r="A37" t="s">
        <v>354</v>
      </c>
    </row>
    <row r="38" spans="1:3">
      <c r="A38" s="5" t="s">
        <v>332</v>
      </c>
    </row>
    <row r="39" spans="1:3">
      <c r="A39" t="s">
        <v>355</v>
      </c>
    </row>
    <row r="40" spans="1:3">
      <c r="A40" t="s">
        <v>356</v>
      </c>
    </row>
    <row r="41" spans="1:3">
      <c r="A41" t="s">
        <v>113</v>
      </c>
      <c r="B41" t="s">
        <v>373</v>
      </c>
      <c r="C41" t="s">
        <v>374</v>
      </c>
    </row>
    <row r="43" spans="1:3">
      <c r="A43" t="s">
        <v>332</v>
      </c>
    </row>
    <row r="44" spans="1:3">
      <c r="A44" t="s">
        <v>333</v>
      </c>
    </row>
    <row r="45" spans="1:3">
      <c r="A45" t="s">
        <v>332</v>
      </c>
    </row>
    <row r="46" spans="1:3" ht="13.5" customHeight="1">
      <c r="A46" t="s">
        <v>334</v>
      </c>
    </row>
    <row r="47" spans="1:3">
      <c r="A47" t="s">
        <v>113</v>
      </c>
      <c r="B47" s="5" t="s">
        <v>331</v>
      </c>
      <c r="C47" s="13" t="str">
        <f ca="1">'Register Configuration'!$I$34</f>
        <v>0x00030000</v>
      </c>
    </row>
    <row r="49" spans="1:4">
      <c r="A49" t="s">
        <v>335</v>
      </c>
    </row>
    <row r="50" spans="1:4">
      <c r="A50" t="s">
        <v>113</v>
      </c>
      <c r="B50" t="s">
        <v>336</v>
      </c>
      <c r="C50" t="s">
        <v>340</v>
      </c>
    </row>
    <row r="51" spans="1:4">
      <c r="A51" t="s">
        <v>113</v>
      </c>
      <c r="B51" t="s">
        <v>337</v>
      </c>
      <c r="C51" t="s">
        <v>340</v>
      </c>
    </row>
    <row r="52" spans="1:4">
      <c r="A52" t="s">
        <v>113</v>
      </c>
      <c r="B52" s="5" t="s">
        <v>338</v>
      </c>
      <c r="C52" s="5" t="s">
        <v>340</v>
      </c>
      <c r="D52" s="5"/>
    </row>
    <row r="53" spans="1:4">
      <c r="A53" t="s">
        <v>113</v>
      </c>
      <c r="B53" s="5" t="s">
        <v>339</v>
      </c>
      <c r="C53" s="5" t="s">
        <v>340</v>
      </c>
    </row>
    <row r="54" spans="1:4">
      <c r="B54" s="5"/>
      <c r="C54" s="5"/>
    </row>
    <row r="55" spans="1:4">
      <c r="A55" t="s">
        <v>458</v>
      </c>
      <c r="B55" s="5"/>
      <c r="C55" s="5"/>
    </row>
    <row r="56" spans="1:4">
      <c r="A56" t="s">
        <v>459</v>
      </c>
      <c r="B56" s="5"/>
      <c r="C56" s="5"/>
    </row>
    <row r="57" spans="1:4">
      <c r="C57" s="5"/>
    </row>
    <row r="58" spans="1:4">
      <c r="A58" t="s">
        <v>68</v>
      </c>
    </row>
    <row r="59" spans="1:4">
      <c r="A59" t="s">
        <v>115</v>
      </c>
    </row>
    <row r="60" spans="1:4">
      <c r="A60" t="s">
        <v>68</v>
      </c>
    </row>
    <row r="61" spans="1:4">
      <c r="A61" s="5" t="s">
        <v>132</v>
      </c>
      <c r="B61" s="222" t="str">
        <f ca="1">'Register Configuration'!C18</f>
        <v>SK hynix</v>
      </c>
      <c r="C61" s="14"/>
      <c r="D61" s="14"/>
    </row>
    <row r="62" spans="1:4">
      <c r="A62" s="5" t="s">
        <v>133</v>
      </c>
      <c r="B62" s="71" t="str">
        <f ca="1">'Register Configuration'!C19</f>
        <v>H5PS2562GFR</v>
      </c>
      <c r="C62" s="14"/>
      <c r="D62" s="14"/>
    </row>
    <row r="63" spans="1:4">
      <c r="A63" s="5" t="s">
        <v>130</v>
      </c>
      <c r="B63" s="13" t="str">
        <f ca="1">'Register Configuration'!C27&amp;"MHz"</f>
        <v>400MHz</v>
      </c>
      <c r="C63" s="14"/>
      <c r="D63" s="14"/>
    </row>
    <row r="64" spans="1:4">
      <c r="A64" t="s">
        <v>117</v>
      </c>
      <c r="B64" s="222" t="str">
        <f ca="1">'Register Configuration'!C21</f>
        <v>256Mb</v>
      </c>
    </row>
    <row r="65" spans="1:9">
      <c r="A65" s="5" t="s">
        <v>131</v>
      </c>
      <c r="B65" s="17">
        <f ca="1">'Register Configuration'!C25</f>
        <v>1</v>
      </c>
      <c r="C65" s="14"/>
      <c r="D65" s="14"/>
    </row>
    <row r="66" spans="1:9">
      <c r="A66" s="5" t="s">
        <v>134</v>
      </c>
      <c r="B66" s="17">
        <f ca="1">'Register Configuration'!C24</f>
        <v>4</v>
      </c>
    </row>
    <row r="67" spans="1:9">
      <c r="A67" t="s">
        <v>118</v>
      </c>
      <c r="B67" s="17">
        <f ca="1">'Register Configuration'!C22</f>
        <v>13</v>
      </c>
    </row>
    <row r="68" spans="1:9">
      <c r="A68" t="s">
        <v>119</v>
      </c>
      <c r="B68" s="17">
        <f ca="1">'Register Configuration'!C23</f>
        <v>9</v>
      </c>
      <c r="H68">
        <v>10</v>
      </c>
    </row>
    <row r="69" spans="1:9">
      <c r="A69" t="s">
        <v>68</v>
      </c>
      <c r="H69">
        <f>HEX2DEC(10)</f>
        <v>16</v>
      </c>
    </row>
    <row r="70" spans="1:9">
      <c r="A70" t="s">
        <v>113</v>
      </c>
      <c r="B70" t="s">
        <v>375</v>
      </c>
      <c r="C70" s="14" t="s">
        <v>70</v>
      </c>
      <c r="E70" s="39" t="s">
        <v>142</v>
      </c>
      <c r="F70" s="40" t="s">
        <v>144</v>
      </c>
      <c r="G70" s="4" t="str">
        <f>LEFT(B70,10)</f>
        <v>0x800E0000</v>
      </c>
      <c r="H70" t="str">
        <f>RIGHT(G70,4)</f>
        <v>0000</v>
      </c>
      <c r="I70" s="223">
        <f t="shared" ref="I70:I101" si="0">HEX2DEC(H70)/4</f>
        <v>0</v>
      </c>
    </row>
    <row r="71" spans="1:9">
      <c r="A71" t="s">
        <v>113</v>
      </c>
      <c r="B71" t="s">
        <v>376</v>
      </c>
      <c r="C71" s="13" t="str">
        <f ca="1">INDEX('Register Configuration'!I$45:I$131, MATCH(LEFT(B71,10),'Register Configuration'!H$45:H$131,0),1)</f>
        <v>0x00000000</v>
      </c>
      <c r="D71" s="5"/>
      <c r="E71" s="39" t="s">
        <v>72</v>
      </c>
      <c r="F71" s="41" t="str">
        <f>IF(E71=C71,"",C71)</f>
        <v>0x00000000</v>
      </c>
      <c r="G71" s="4" t="str">
        <f t="shared" ref="G71:G134" si="1">LEFT(B71,10)</f>
        <v>0x800E0040</v>
      </c>
      <c r="H71" t="str">
        <f t="shared" ref="H71:H134" si="2">RIGHT(G71,4)</f>
        <v>0040</v>
      </c>
      <c r="I71" s="224">
        <f t="shared" si="0"/>
        <v>16</v>
      </c>
    </row>
    <row r="72" spans="1:9">
      <c r="A72" t="s">
        <v>113</v>
      </c>
      <c r="B72" t="s">
        <v>377</v>
      </c>
      <c r="C72" s="14" t="s">
        <v>70</v>
      </c>
      <c r="D72" s="5"/>
      <c r="E72" s="39" t="s">
        <v>70</v>
      </c>
      <c r="F72" s="41" t="str">
        <f t="shared" ref="F72:F135" si="3">IF(E72=C72,"",C72)</f>
        <v/>
      </c>
      <c r="G72" s="4" t="str">
        <f t="shared" si="1"/>
        <v>0x800E0054</v>
      </c>
      <c r="H72" t="str">
        <f t="shared" si="2"/>
        <v>0054</v>
      </c>
      <c r="I72" s="223">
        <f t="shared" si="0"/>
        <v>21</v>
      </c>
    </row>
    <row r="73" spans="1:9">
      <c r="A73" t="s">
        <v>113</v>
      </c>
      <c r="B73" t="s">
        <v>378</v>
      </c>
      <c r="C73" s="14" t="s">
        <v>9</v>
      </c>
      <c r="E73" s="39" t="s">
        <v>70</v>
      </c>
      <c r="F73" s="41" t="str">
        <f t="shared" si="3"/>
        <v/>
      </c>
      <c r="G73" s="4" t="str">
        <f t="shared" si="1"/>
        <v>0x800E0058</v>
      </c>
      <c r="H73" t="str">
        <f t="shared" si="2"/>
        <v>0058</v>
      </c>
      <c r="I73" s="223">
        <f t="shared" si="0"/>
        <v>22</v>
      </c>
    </row>
    <row r="74" spans="1:9">
      <c r="A74" t="s">
        <v>113</v>
      </c>
      <c r="B74" t="s">
        <v>379</v>
      </c>
      <c r="C74" s="14" t="s">
        <v>70</v>
      </c>
      <c r="E74" s="39" t="s">
        <v>73</v>
      </c>
      <c r="F74" s="41" t="str">
        <f t="shared" si="3"/>
        <v>0x00000000</v>
      </c>
      <c r="G74" s="4" t="str">
        <f t="shared" si="1"/>
        <v>0x800E005C</v>
      </c>
      <c r="H74" t="str">
        <f t="shared" si="2"/>
        <v>005C</v>
      </c>
      <c r="I74" s="223">
        <f t="shared" si="0"/>
        <v>23</v>
      </c>
    </row>
    <row r="75" spans="1:9">
      <c r="A75" t="s">
        <v>113</v>
      </c>
      <c r="B75" t="s">
        <v>380</v>
      </c>
      <c r="C75" s="14" t="s">
        <v>70</v>
      </c>
      <c r="E75" s="39" t="s">
        <v>74</v>
      </c>
      <c r="F75" s="41" t="str">
        <f t="shared" si="3"/>
        <v>0x00000000</v>
      </c>
      <c r="G75" s="4" t="str">
        <f t="shared" si="1"/>
        <v>0x800E0060</v>
      </c>
      <c r="H75" t="str">
        <f t="shared" si="2"/>
        <v>0060</v>
      </c>
      <c r="I75" s="223">
        <f t="shared" si="0"/>
        <v>24</v>
      </c>
    </row>
    <row r="76" spans="1:9">
      <c r="A76" t="s">
        <v>113</v>
      </c>
      <c r="B76" t="s">
        <v>381</v>
      </c>
      <c r="C76" s="14" t="s">
        <v>70</v>
      </c>
      <c r="E76" s="39" t="s">
        <v>75</v>
      </c>
      <c r="F76" s="41" t="str">
        <f t="shared" si="3"/>
        <v>0x00000000</v>
      </c>
      <c r="G76" s="4" t="str">
        <f t="shared" si="1"/>
        <v>0x800E0064</v>
      </c>
      <c r="H76" t="str">
        <f t="shared" si="2"/>
        <v>0064</v>
      </c>
      <c r="I76" s="223">
        <f t="shared" si="0"/>
        <v>25</v>
      </c>
    </row>
    <row r="77" spans="1:9">
      <c r="A77" t="s">
        <v>113</v>
      </c>
      <c r="B77" t="s">
        <v>382</v>
      </c>
      <c r="C77" s="14" t="s">
        <v>14</v>
      </c>
      <c r="E77" s="39" t="s">
        <v>76</v>
      </c>
      <c r="F77" s="41" t="str">
        <f t="shared" si="3"/>
        <v>0x00010101</v>
      </c>
      <c r="G77" s="4" t="str">
        <f t="shared" si="1"/>
        <v>0x800E0068</v>
      </c>
      <c r="H77" t="str">
        <f t="shared" si="2"/>
        <v>0068</v>
      </c>
      <c r="I77" s="223">
        <f t="shared" si="0"/>
        <v>26</v>
      </c>
    </row>
    <row r="78" spans="1:9">
      <c r="A78" t="s">
        <v>113</v>
      </c>
      <c r="B78" t="s">
        <v>383</v>
      </c>
      <c r="C78" s="14" t="s">
        <v>92</v>
      </c>
      <c r="E78" s="39" t="s">
        <v>77</v>
      </c>
      <c r="F78" s="41" t="str">
        <f t="shared" si="3"/>
        <v>0x01010101</v>
      </c>
      <c r="G78" s="4" t="str">
        <f t="shared" si="1"/>
        <v>0x800E006C</v>
      </c>
      <c r="H78" t="str">
        <f t="shared" si="2"/>
        <v>006C</v>
      </c>
      <c r="I78" s="223">
        <f t="shared" si="0"/>
        <v>27</v>
      </c>
    </row>
    <row r="79" spans="1:9">
      <c r="A79" t="s">
        <v>113</v>
      </c>
      <c r="B79" t="s">
        <v>384</v>
      </c>
      <c r="C79" s="14" t="s">
        <v>460</v>
      </c>
      <c r="E79" s="39" t="s">
        <v>78</v>
      </c>
      <c r="F79" s="41" t="str">
        <f t="shared" si="3"/>
        <v>0x000f0f01</v>
      </c>
      <c r="G79" s="4" t="str">
        <f t="shared" si="1"/>
        <v>0x800E0070</v>
      </c>
      <c r="H79" t="str">
        <f t="shared" si="2"/>
        <v>0070</v>
      </c>
      <c r="I79" s="223">
        <f t="shared" si="0"/>
        <v>28</v>
      </c>
    </row>
    <row r="80" spans="1:9">
      <c r="A80" t="s">
        <v>113</v>
      </c>
      <c r="B80" t="s">
        <v>385</v>
      </c>
      <c r="C80" s="13" t="str">
        <f ca="1">INDEX('Register Configuration'!I$45:I$131, MATCH(LEFT(B80,10),'Register Configuration'!H$45:H$131,0),1)</f>
        <v>0x0103020A</v>
      </c>
      <c r="D80" s="5"/>
      <c r="E80" s="39" t="s">
        <v>79</v>
      </c>
      <c r="F80" s="41" t="str">
        <f t="shared" si="3"/>
        <v>0x0103020A</v>
      </c>
      <c r="G80" s="4" t="str">
        <f t="shared" si="1"/>
        <v>0x800E0074</v>
      </c>
      <c r="H80" t="str">
        <f t="shared" si="2"/>
        <v>0074</v>
      </c>
      <c r="I80" s="224">
        <f t="shared" si="0"/>
        <v>29</v>
      </c>
    </row>
    <row r="81" spans="1:9">
      <c r="A81" t="s">
        <v>113</v>
      </c>
      <c r="B81" t="s">
        <v>386</v>
      </c>
      <c r="C81" s="13" t="str">
        <f ca="1">INDEX('Register Configuration'!I$45:I$131, MATCH(LEFT(B81,10),'Register Configuration'!H$45:H$131,0),1)</f>
        <v>0x00000101</v>
      </c>
      <c r="D81" s="5"/>
      <c r="E81" s="39" t="s">
        <v>70</v>
      </c>
      <c r="F81" s="41" t="str">
        <f t="shared" si="3"/>
        <v>0x00000101</v>
      </c>
      <c r="G81" s="4" t="str">
        <f t="shared" si="1"/>
        <v>0x800E007C</v>
      </c>
      <c r="H81" t="str">
        <f t="shared" si="2"/>
        <v>007C</v>
      </c>
      <c r="I81" s="224">
        <f t="shared" si="0"/>
        <v>31</v>
      </c>
    </row>
    <row r="82" spans="1:9">
      <c r="A82" t="s">
        <v>113</v>
      </c>
      <c r="B82" t="s">
        <v>387</v>
      </c>
      <c r="C82" s="14" t="s">
        <v>71</v>
      </c>
      <c r="D82" s="5"/>
      <c r="E82" s="39" t="s">
        <v>80</v>
      </c>
      <c r="F82" s="41" t="str">
        <f t="shared" si="3"/>
        <v>0x00000100</v>
      </c>
      <c r="G82" s="4" t="str">
        <f t="shared" si="1"/>
        <v>0x800E0080</v>
      </c>
      <c r="H82" t="str">
        <f t="shared" si="2"/>
        <v>0080</v>
      </c>
      <c r="I82" s="223">
        <f t="shared" si="0"/>
        <v>32</v>
      </c>
    </row>
    <row r="83" spans="1:9">
      <c r="A83" t="s">
        <v>113</v>
      </c>
      <c r="B83" t="s">
        <v>388</v>
      </c>
      <c r="C83" s="14" t="s">
        <v>71</v>
      </c>
      <c r="D83" s="5"/>
      <c r="E83" s="39" t="s">
        <v>81</v>
      </c>
      <c r="F83" s="41" t="str">
        <f t="shared" si="3"/>
        <v>0x00000100</v>
      </c>
      <c r="G83" s="4" t="str">
        <f t="shared" si="1"/>
        <v>0x800E0084</v>
      </c>
      <c r="H83" t="str">
        <f t="shared" si="2"/>
        <v>0084</v>
      </c>
      <c r="I83" s="223">
        <f t="shared" si="0"/>
        <v>33</v>
      </c>
    </row>
    <row r="84" spans="1:9">
      <c r="A84" t="s">
        <v>113</v>
      </c>
      <c r="B84" t="s">
        <v>389</v>
      </c>
      <c r="C84" s="14" t="s">
        <v>70</v>
      </c>
      <c r="E84" s="39" t="s">
        <v>82</v>
      </c>
      <c r="F84" s="41" t="str">
        <f t="shared" si="3"/>
        <v>0x00000000</v>
      </c>
      <c r="G84" s="4" t="str">
        <f t="shared" si="1"/>
        <v>0x800E0088</v>
      </c>
      <c r="H84" t="str">
        <f t="shared" si="2"/>
        <v>0088</v>
      </c>
      <c r="I84" s="223">
        <f t="shared" si="0"/>
        <v>34</v>
      </c>
    </row>
    <row r="85" spans="1:9">
      <c r="A85" t="s">
        <v>113</v>
      </c>
      <c r="B85" t="s">
        <v>390</v>
      </c>
      <c r="C85" s="13" t="str">
        <f ca="1">INDEX('Register Configuration'!I$45:I$131, MATCH(LEFT(B85,10),'Register Configuration'!H$45:H$131,0),1)</f>
        <v>0x00000002</v>
      </c>
      <c r="E85" s="39" t="s">
        <v>83</v>
      </c>
      <c r="F85" s="41" t="str">
        <f t="shared" si="3"/>
        <v>0x00000002</v>
      </c>
      <c r="G85" s="4" t="str">
        <f t="shared" si="1"/>
        <v>0x800E008C</v>
      </c>
      <c r="H85" t="str">
        <f t="shared" si="2"/>
        <v>008C</v>
      </c>
      <c r="I85" s="224">
        <f t="shared" si="0"/>
        <v>35</v>
      </c>
    </row>
    <row r="86" spans="1:9">
      <c r="A86" t="s">
        <v>113</v>
      </c>
      <c r="B86" t="s">
        <v>391</v>
      </c>
      <c r="C86" s="14" t="s">
        <v>461</v>
      </c>
      <c r="E86" s="39" t="s">
        <v>71</v>
      </c>
      <c r="F86" s="41" t="str">
        <f t="shared" si="3"/>
        <v>0x01010000</v>
      </c>
      <c r="G86" s="4" t="str">
        <f t="shared" si="1"/>
        <v>0x800E0090</v>
      </c>
      <c r="H86" t="str">
        <f t="shared" si="2"/>
        <v>0090</v>
      </c>
      <c r="I86" s="223">
        <f t="shared" si="0"/>
        <v>36</v>
      </c>
    </row>
    <row r="87" spans="1:9">
      <c r="A87" t="s">
        <v>113</v>
      </c>
      <c r="B87" t="s">
        <v>392</v>
      </c>
      <c r="C87" s="13" t="str">
        <f ca="1">INDEX('Register Configuration'!I$45:I$131, MATCH(LEFT(B87,10),'Register Configuration'!H$45:H$131,0),1)</f>
        <v>0x07080403</v>
      </c>
      <c r="E87" s="39" t="s">
        <v>84</v>
      </c>
      <c r="F87" s="41" t="str">
        <f t="shared" si="3"/>
        <v>0x07080403</v>
      </c>
      <c r="G87" s="4" t="str">
        <f t="shared" si="1"/>
        <v>0x800E0094</v>
      </c>
      <c r="H87" t="str">
        <f t="shared" si="2"/>
        <v>0094</v>
      </c>
      <c r="I87" s="224">
        <f t="shared" si="0"/>
        <v>37</v>
      </c>
    </row>
    <row r="88" spans="1:9">
      <c r="A88" t="s">
        <v>113</v>
      </c>
      <c r="B88" t="s">
        <v>393</v>
      </c>
      <c r="C88" s="13" t="str">
        <f ca="1">INDEX('Register Configuration'!I$45:I$131, MATCH(LEFT(B88,10),'Register Configuration'!H$45:H$131,0),1)</f>
        <v>0x0900A003</v>
      </c>
      <c r="E88" s="39" t="s">
        <v>85</v>
      </c>
      <c r="F88" s="41" t="str">
        <f t="shared" si="3"/>
        <v>0x0900A003</v>
      </c>
      <c r="G88" s="4" t="str">
        <f t="shared" si="1"/>
        <v>0x800E0098</v>
      </c>
      <c r="H88" t="str">
        <f t="shared" si="2"/>
        <v>0098</v>
      </c>
      <c r="I88" s="224">
        <f t="shared" si="0"/>
        <v>38</v>
      </c>
    </row>
    <row r="89" spans="1:9">
      <c r="A89" t="s">
        <v>113</v>
      </c>
      <c r="B89" t="s">
        <v>394</v>
      </c>
      <c r="C89" s="13" t="str">
        <f ca="1">INDEX('Register Configuration'!I$45:I$131, MATCH(LEFT(B89,10),'Register Configuration'!H$45:H$131,0),1)</f>
        <v>0x140000C8</v>
      </c>
      <c r="E89" s="39" t="s">
        <v>70</v>
      </c>
      <c r="F89" s="41" t="str">
        <f t="shared" si="3"/>
        <v>0x140000C8</v>
      </c>
      <c r="G89" s="4" t="str">
        <f t="shared" si="1"/>
        <v>0x800E009C</v>
      </c>
      <c r="H89" t="str">
        <f t="shared" si="2"/>
        <v>009C</v>
      </c>
      <c r="I89" s="224">
        <f t="shared" si="0"/>
        <v>39</v>
      </c>
    </row>
    <row r="90" spans="1:9">
      <c r="A90" t="s">
        <v>113</v>
      </c>
      <c r="B90" t="s">
        <v>395</v>
      </c>
      <c r="C90" s="13" t="str">
        <f ca="1">INDEX('Register Configuration'!I$45:I$131, MATCH(LEFT(B90,10),'Register Configuration'!H$45:H$131,0),1)</f>
        <v>0x02013880</v>
      </c>
      <c r="E90" s="39" t="s">
        <v>70</v>
      </c>
      <c r="F90" s="41" t="str">
        <f t="shared" si="3"/>
        <v>0x02013880</v>
      </c>
      <c r="G90" s="4" t="str">
        <f t="shared" si="1"/>
        <v>0x800E00A0</v>
      </c>
      <c r="H90" t="str">
        <f t="shared" si="2"/>
        <v>00A0</v>
      </c>
      <c r="I90" s="224">
        <f t="shared" si="0"/>
        <v>40</v>
      </c>
    </row>
    <row r="91" spans="1:9">
      <c r="A91" t="s">
        <v>113</v>
      </c>
      <c r="B91" t="s">
        <v>396</v>
      </c>
      <c r="C91" s="13" t="str">
        <f ca="1">INDEX('Register Configuration'!I$45:I$131, MATCH(LEFT(B91,10),'Register Configuration'!H$45:H$131,0),1)</f>
        <v>0x00020303</v>
      </c>
      <c r="E91" s="39" t="s">
        <v>70</v>
      </c>
      <c r="F91" s="41" t="str">
        <f t="shared" si="3"/>
        <v>0x00020303</v>
      </c>
      <c r="G91" s="4" t="str">
        <f t="shared" si="1"/>
        <v>0x800E00A4</v>
      </c>
      <c r="H91" t="str">
        <f t="shared" si="2"/>
        <v>00A4</v>
      </c>
      <c r="I91" s="224">
        <f t="shared" si="0"/>
        <v>41</v>
      </c>
    </row>
    <row r="92" spans="1:9">
      <c r="A92" t="s">
        <v>113</v>
      </c>
      <c r="B92" t="s">
        <v>397</v>
      </c>
      <c r="C92" s="13" t="str">
        <f ca="1">INDEX('Register Configuration'!I$45:I$131, MATCH(LEFT(B92,10),'Register Configuration'!H$45:H$131,0),1)</f>
        <v>0x006D6012</v>
      </c>
      <c r="E92" s="39" t="s">
        <v>73</v>
      </c>
      <c r="F92" s="41" t="str">
        <f t="shared" si="3"/>
        <v>0x006D6012</v>
      </c>
      <c r="G92" s="4" t="str">
        <f t="shared" si="1"/>
        <v>0x800E00A8</v>
      </c>
      <c r="H92" t="str">
        <f t="shared" si="2"/>
        <v>00A8</v>
      </c>
      <c r="I92" s="224">
        <f t="shared" si="0"/>
        <v>42</v>
      </c>
    </row>
    <row r="93" spans="1:9">
      <c r="A93" t="s">
        <v>113</v>
      </c>
      <c r="B93" t="s">
        <v>398</v>
      </c>
      <c r="C93" s="13" t="str">
        <f ca="1">INDEX('Register Configuration'!I$45:I$131, MATCH(LEFT(B93,10),'Register Configuration'!H$45:H$131,0),1)</f>
        <v>0x03330C2A</v>
      </c>
      <c r="E93" s="39" t="s">
        <v>86</v>
      </c>
      <c r="F93" s="41" t="str">
        <f t="shared" si="3"/>
        <v>0x03330C2A</v>
      </c>
      <c r="G93" s="4" t="str">
        <f t="shared" si="1"/>
        <v>0x800E00AC</v>
      </c>
      <c r="H93" t="str">
        <f t="shared" si="2"/>
        <v>00AC</v>
      </c>
      <c r="I93" s="224">
        <f t="shared" si="0"/>
        <v>43</v>
      </c>
    </row>
    <row r="94" spans="1:9">
      <c r="A94" t="s">
        <v>113</v>
      </c>
      <c r="B94" t="s">
        <v>399</v>
      </c>
      <c r="C94" s="13" t="str">
        <f ca="1">INDEX('Register Configuration'!I$45:I$131, MATCH(LEFT(B94,10),'Register Configuration'!H$45:H$131,0),1)</f>
        <v>0x03060304</v>
      </c>
      <c r="E94" s="39" t="s">
        <v>70</v>
      </c>
      <c r="F94" s="41" t="str">
        <f t="shared" si="3"/>
        <v>0x03060304</v>
      </c>
      <c r="G94" s="4" t="str">
        <f t="shared" si="1"/>
        <v>0x800E00B0</v>
      </c>
      <c r="H94" t="str">
        <f t="shared" si="2"/>
        <v>00B0</v>
      </c>
      <c r="I94" s="224">
        <f t="shared" si="0"/>
        <v>44</v>
      </c>
    </row>
    <row r="95" spans="1:9">
      <c r="A95" t="s">
        <v>113</v>
      </c>
      <c r="B95" t="s">
        <v>400</v>
      </c>
      <c r="C95" s="13" t="str">
        <f ca="1">INDEX('Register Configuration'!I$45:I$131, MATCH(LEFT(B95,10),'Register Configuration'!H$45:H$131,0),1)</f>
        <v>0x00C80037</v>
      </c>
      <c r="E95" s="39" t="s">
        <v>87</v>
      </c>
      <c r="F95" s="41" t="str">
        <f t="shared" si="3"/>
        <v>0x00C80037</v>
      </c>
      <c r="G95" s="4" t="str">
        <f t="shared" si="1"/>
        <v>0x800E00B4</v>
      </c>
      <c r="H95" t="str">
        <f t="shared" si="2"/>
        <v>00B4</v>
      </c>
      <c r="I95" s="224">
        <f t="shared" si="0"/>
        <v>45</v>
      </c>
    </row>
    <row r="96" spans="1:9">
      <c r="A96" t="s">
        <v>113</v>
      </c>
      <c r="B96" t="s">
        <v>401</v>
      </c>
      <c r="C96" s="14" t="s">
        <v>462</v>
      </c>
      <c r="E96" s="39" t="s">
        <v>70</v>
      </c>
      <c r="F96" s="41" t="str">
        <f t="shared" si="3"/>
        <v>0x00011900</v>
      </c>
      <c r="G96" s="4" t="str">
        <f t="shared" si="1"/>
        <v>0x800E00C0</v>
      </c>
      <c r="H96" t="str">
        <f t="shared" si="2"/>
        <v>00C0</v>
      </c>
      <c r="I96" s="223">
        <f t="shared" si="0"/>
        <v>48</v>
      </c>
    </row>
    <row r="97" spans="1:9">
      <c r="A97" t="s">
        <v>113</v>
      </c>
      <c r="B97" t="s">
        <v>402</v>
      </c>
      <c r="C97" s="14" t="s">
        <v>463</v>
      </c>
      <c r="E97" s="39" t="s">
        <v>70</v>
      </c>
      <c r="F97" s="41" t="str">
        <f t="shared" si="3"/>
        <v>0xffff0303</v>
      </c>
      <c r="G97" s="4" t="str">
        <f t="shared" si="1"/>
        <v>0x800E00C4</v>
      </c>
      <c r="H97" t="str">
        <f t="shared" si="2"/>
        <v>00C4</v>
      </c>
      <c r="I97" s="223">
        <f t="shared" si="0"/>
        <v>49</v>
      </c>
    </row>
    <row r="98" spans="1:9">
      <c r="A98" t="s">
        <v>113</v>
      </c>
      <c r="B98" t="s">
        <v>403</v>
      </c>
      <c r="C98" s="14" t="s">
        <v>464</v>
      </c>
      <c r="E98" s="39" t="s">
        <v>87</v>
      </c>
      <c r="F98" s="41" t="str">
        <f t="shared" si="3"/>
        <v>0x00012100</v>
      </c>
      <c r="G98" s="4" t="str">
        <f t="shared" si="1"/>
        <v>0x800E00C8</v>
      </c>
      <c r="H98" t="str">
        <f t="shared" si="2"/>
        <v>00C8</v>
      </c>
      <c r="I98" s="223">
        <f t="shared" si="0"/>
        <v>50</v>
      </c>
    </row>
    <row r="99" spans="1:9">
      <c r="A99" t="s">
        <v>113</v>
      </c>
      <c r="B99" t="s">
        <v>404</v>
      </c>
      <c r="C99" s="14" t="s">
        <v>463</v>
      </c>
      <c r="E99" s="39" t="s">
        <v>70</v>
      </c>
      <c r="F99" s="41" t="str">
        <f t="shared" si="3"/>
        <v>0xffff0303</v>
      </c>
      <c r="G99" s="4" t="str">
        <f t="shared" si="1"/>
        <v>0x800E00CC</v>
      </c>
      <c r="H99" t="str">
        <f t="shared" si="2"/>
        <v>00CC</v>
      </c>
      <c r="I99" s="223">
        <f t="shared" si="0"/>
        <v>51</v>
      </c>
    </row>
    <row r="100" spans="1:9">
      <c r="A100" t="s">
        <v>113</v>
      </c>
      <c r="B100" t="s">
        <v>405</v>
      </c>
      <c r="C100" s="14" t="s">
        <v>464</v>
      </c>
      <c r="E100" s="39" t="s">
        <v>70</v>
      </c>
      <c r="F100" s="41" t="str">
        <f t="shared" si="3"/>
        <v>0x00012100</v>
      </c>
      <c r="G100" s="4" t="str">
        <f t="shared" si="1"/>
        <v>0x800E00D0</v>
      </c>
      <c r="H100" t="str">
        <f t="shared" si="2"/>
        <v>00D0</v>
      </c>
      <c r="I100" s="223">
        <f t="shared" si="0"/>
        <v>52</v>
      </c>
    </row>
    <row r="101" spans="1:9">
      <c r="A101" t="s">
        <v>113</v>
      </c>
      <c r="B101" t="s">
        <v>406</v>
      </c>
      <c r="C101" s="14" t="s">
        <v>463</v>
      </c>
      <c r="E101" s="39" t="s">
        <v>73</v>
      </c>
      <c r="F101" s="41" t="str">
        <f t="shared" si="3"/>
        <v>0xffff0303</v>
      </c>
      <c r="G101" s="4" t="str">
        <f t="shared" si="1"/>
        <v>0x800E00D4</v>
      </c>
      <c r="H101" t="str">
        <f t="shared" si="2"/>
        <v>00D4</v>
      </c>
      <c r="I101" s="223">
        <f t="shared" si="0"/>
        <v>53</v>
      </c>
    </row>
    <row r="102" spans="1:9">
      <c r="A102" t="s">
        <v>113</v>
      </c>
      <c r="B102" t="s">
        <v>407</v>
      </c>
      <c r="C102" s="14" t="s">
        <v>464</v>
      </c>
      <c r="E102" s="39" t="s">
        <v>71</v>
      </c>
      <c r="F102" s="41" t="str">
        <f t="shared" si="3"/>
        <v>0x00012100</v>
      </c>
      <c r="G102" s="4" t="str">
        <f t="shared" si="1"/>
        <v>0x800E00D8</v>
      </c>
      <c r="H102" t="str">
        <f t="shared" si="2"/>
        <v>00D8</v>
      </c>
      <c r="I102" s="223">
        <f t="shared" ref="I102:I133" si="4">HEX2DEC(H102)/4</f>
        <v>54</v>
      </c>
    </row>
    <row r="103" spans="1:9">
      <c r="A103" t="s">
        <v>113</v>
      </c>
      <c r="B103" t="s">
        <v>408</v>
      </c>
      <c r="C103" s="14" t="s">
        <v>463</v>
      </c>
      <c r="E103" s="39" t="s">
        <v>88</v>
      </c>
      <c r="F103" s="41" t="str">
        <f t="shared" si="3"/>
        <v>0xffff0303</v>
      </c>
      <c r="G103" s="4" t="str">
        <f t="shared" si="1"/>
        <v>0x800E00DC</v>
      </c>
      <c r="H103" t="str">
        <f t="shared" si="2"/>
        <v>00DC</v>
      </c>
      <c r="I103" s="223">
        <f t="shared" si="4"/>
        <v>55</v>
      </c>
    </row>
    <row r="104" spans="1:9">
      <c r="A104" t="s">
        <v>113</v>
      </c>
      <c r="B104" t="s">
        <v>409</v>
      </c>
      <c r="C104" s="14" t="s">
        <v>81</v>
      </c>
      <c r="E104" s="39" t="s">
        <v>89</v>
      </c>
      <c r="F104" s="41" t="str">
        <f t="shared" si="3"/>
        <v>0x00000003</v>
      </c>
      <c r="G104" s="4" t="str">
        <f t="shared" si="1"/>
        <v>0x800E00E0</v>
      </c>
      <c r="H104" t="str">
        <f t="shared" si="2"/>
        <v>00E0</v>
      </c>
      <c r="I104" s="223">
        <f t="shared" si="4"/>
        <v>56</v>
      </c>
    </row>
    <row r="105" spans="1:9">
      <c r="A105" t="s">
        <v>113</v>
      </c>
      <c r="B105" t="s">
        <v>410</v>
      </c>
      <c r="C105" s="14" t="s">
        <v>70</v>
      </c>
      <c r="E105" s="39" t="s">
        <v>90</v>
      </c>
      <c r="F105" s="41" t="str">
        <f t="shared" si="3"/>
        <v>0x00000000</v>
      </c>
      <c r="G105" s="4" t="str">
        <f t="shared" si="1"/>
        <v>0x800E00E8</v>
      </c>
      <c r="H105" t="str">
        <f t="shared" si="2"/>
        <v>00E8</v>
      </c>
      <c r="I105" s="223">
        <f t="shared" si="4"/>
        <v>58</v>
      </c>
    </row>
    <row r="106" spans="1:9">
      <c r="A106" t="s">
        <v>113</v>
      </c>
      <c r="B106" t="s">
        <v>411</v>
      </c>
      <c r="C106" s="14" t="s">
        <v>465</v>
      </c>
      <c r="E106" s="39" t="s">
        <v>91</v>
      </c>
      <c r="F106" s="41" t="str">
        <f t="shared" si="3"/>
        <v>0x00000612</v>
      </c>
      <c r="G106" s="4" t="str">
        <f t="shared" si="1"/>
        <v>0x800E0108</v>
      </c>
      <c r="H106" t="str">
        <f t="shared" si="2"/>
        <v>0108</v>
      </c>
      <c r="I106" s="223">
        <f t="shared" si="4"/>
        <v>66</v>
      </c>
    </row>
    <row r="107" spans="1:9">
      <c r="A107" t="s">
        <v>113</v>
      </c>
      <c r="B107" t="s">
        <v>412</v>
      </c>
      <c r="C107" s="14" t="s">
        <v>466</v>
      </c>
      <c r="E107" s="39" t="s">
        <v>92</v>
      </c>
      <c r="F107" s="41" t="str">
        <f t="shared" si="3"/>
        <v>0x01000f02</v>
      </c>
      <c r="G107" s="4" t="str">
        <f t="shared" si="1"/>
        <v>0x800E010C</v>
      </c>
      <c r="H107" t="str">
        <f t="shared" si="2"/>
        <v>010C</v>
      </c>
      <c r="I107" s="223">
        <f t="shared" si="4"/>
        <v>67</v>
      </c>
    </row>
    <row r="108" spans="1:9">
      <c r="A108" t="s">
        <v>113</v>
      </c>
      <c r="B108" t="s">
        <v>413</v>
      </c>
      <c r="C108" s="14" t="s">
        <v>97</v>
      </c>
      <c r="E108" s="39" t="s">
        <v>93</v>
      </c>
      <c r="F108" s="41" t="str">
        <f t="shared" si="3"/>
        <v>0x00000200</v>
      </c>
      <c r="G108" s="4" t="str">
        <f t="shared" si="1"/>
        <v>0x800E0114</v>
      </c>
      <c r="H108" t="str">
        <f t="shared" si="2"/>
        <v>0114</v>
      </c>
      <c r="I108" s="223">
        <f t="shared" si="4"/>
        <v>69</v>
      </c>
    </row>
    <row r="109" spans="1:9">
      <c r="A109" t="s">
        <v>113</v>
      </c>
      <c r="B109" t="s">
        <v>414</v>
      </c>
      <c r="C109" s="14" t="s">
        <v>467</v>
      </c>
      <c r="D109" s="5"/>
      <c r="E109" s="39" t="s">
        <v>70</v>
      </c>
      <c r="F109" s="41" t="str">
        <f t="shared" si="3"/>
        <v>0x00020007</v>
      </c>
      <c r="G109" s="4" t="str">
        <f t="shared" si="1"/>
        <v>0x800E0118</v>
      </c>
      <c r="H109" t="str">
        <f t="shared" si="2"/>
        <v>0118</v>
      </c>
      <c r="I109" s="223">
        <f t="shared" si="4"/>
        <v>70</v>
      </c>
    </row>
    <row r="110" spans="1:9">
      <c r="A110" t="s">
        <v>113</v>
      </c>
      <c r="B110" t="s">
        <v>415</v>
      </c>
      <c r="C110" s="14" t="s">
        <v>468</v>
      </c>
      <c r="E110" s="39" t="s">
        <v>85</v>
      </c>
      <c r="F110" s="41" t="str">
        <f t="shared" si="3"/>
        <v>0xf4004a27</v>
      </c>
      <c r="G110" s="4" t="str">
        <f t="shared" si="1"/>
        <v>0x800E011C</v>
      </c>
      <c r="H110" t="str">
        <f t="shared" si="2"/>
        <v>011C</v>
      </c>
      <c r="I110" s="223">
        <f t="shared" si="4"/>
        <v>71</v>
      </c>
    </row>
    <row r="111" spans="1:9">
      <c r="A111" t="s">
        <v>113</v>
      </c>
      <c r="B111" t="s">
        <v>416</v>
      </c>
      <c r="C111" s="14" t="s">
        <v>468</v>
      </c>
      <c r="E111" s="39" t="s">
        <v>70</v>
      </c>
      <c r="F111" s="41" t="str">
        <f t="shared" si="3"/>
        <v>0xf4004a27</v>
      </c>
      <c r="G111" s="4" t="str">
        <f t="shared" si="1"/>
        <v>0x800E0120</v>
      </c>
      <c r="H111" t="str">
        <f t="shared" si="2"/>
        <v>0120</v>
      </c>
      <c r="I111" s="223">
        <f t="shared" si="4"/>
        <v>72</v>
      </c>
    </row>
    <row r="112" spans="1:9">
      <c r="A112" t="s">
        <v>113</v>
      </c>
      <c r="B112" t="s">
        <v>417</v>
      </c>
      <c r="C112" s="14" t="s">
        <v>469</v>
      </c>
      <c r="E112" s="39" t="s">
        <v>94</v>
      </c>
      <c r="F112" s="41" t="str">
        <f t="shared" si="3"/>
        <v>0x07400300</v>
      </c>
      <c r="G112" s="4" t="str">
        <f t="shared" si="1"/>
        <v>0x800E012C</v>
      </c>
      <c r="H112" t="str">
        <f t="shared" si="2"/>
        <v>012C</v>
      </c>
      <c r="I112" s="223">
        <f t="shared" si="4"/>
        <v>75</v>
      </c>
    </row>
    <row r="113" spans="1:9">
      <c r="A113" t="s">
        <v>113</v>
      </c>
      <c r="B113" t="s">
        <v>418</v>
      </c>
      <c r="C113" s="14" t="s">
        <v>469</v>
      </c>
      <c r="E113" s="39"/>
      <c r="F113" s="41" t="str">
        <f t="shared" si="3"/>
        <v>0x07400300</v>
      </c>
      <c r="G113" s="4" t="str">
        <f t="shared" si="1"/>
        <v>0x800E0130</v>
      </c>
      <c r="H113" t="str">
        <f t="shared" si="2"/>
        <v>0130</v>
      </c>
      <c r="I113" s="223">
        <f t="shared" si="4"/>
        <v>76</v>
      </c>
    </row>
    <row r="114" spans="1:9">
      <c r="A114" t="s">
        <v>113</v>
      </c>
      <c r="B114" t="s">
        <v>419</v>
      </c>
      <c r="C114" s="14" t="s">
        <v>176</v>
      </c>
      <c r="E114" s="39" t="s">
        <v>95</v>
      </c>
      <c r="F114" s="41" t="str">
        <f t="shared" si="3"/>
        <v>0x00000005</v>
      </c>
      <c r="G114" s="4" t="str">
        <f t="shared" si="1"/>
        <v>0x800E013C</v>
      </c>
      <c r="H114" t="str">
        <f t="shared" si="2"/>
        <v>013C</v>
      </c>
      <c r="I114" s="223">
        <f t="shared" si="4"/>
        <v>79</v>
      </c>
    </row>
    <row r="115" spans="1:9">
      <c r="A115" t="s">
        <v>113</v>
      </c>
      <c r="B115" t="s">
        <v>420</v>
      </c>
      <c r="C115" s="14" t="s">
        <v>70</v>
      </c>
      <c r="E115" s="39" t="s">
        <v>70</v>
      </c>
      <c r="F115" s="41" t="str">
        <f t="shared" si="3"/>
        <v/>
      </c>
      <c r="G115" s="4" t="str">
        <f t="shared" si="1"/>
        <v>0x800E0140</v>
      </c>
      <c r="H115" t="str">
        <f t="shared" si="2"/>
        <v>0140</v>
      </c>
      <c r="I115" s="223">
        <f t="shared" si="4"/>
        <v>80</v>
      </c>
    </row>
    <row r="116" spans="1:9">
      <c r="A116" t="s">
        <v>113</v>
      </c>
      <c r="B116" t="s">
        <v>421</v>
      </c>
      <c r="C116" s="14" t="s">
        <v>70</v>
      </c>
      <c r="E116" s="39" t="s">
        <v>96</v>
      </c>
      <c r="F116" s="41" t="str">
        <f t="shared" si="3"/>
        <v>0x00000000</v>
      </c>
      <c r="G116" s="4" t="str">
        <f t="shared" si="1"/>
        <v>0x800E0144</v>
      </c>
      <c r="H116" t="str">
        <f t="shared" si="2"/>
        <v>0144</v>
      </c>
      <c r="I116" s="223">
        <f t="shared" si="4"/>
        <v>81</v>
      </c>
    </row>
    <row r="117" spans="1:9">
      <c r="A117" t="s">
        <v>113</v>
      </c>
      <c r="B117" t="s">
        <v>422</v>
      </c>
      <c r="C117" s="14" t="s">
        <v>89</v>
      </c>
      <c r="E117" s="39" t="s">
        <v>97</v>
      </c>
      <c r="F117" s="41" t="str">
        <f t="shared" si="3"/>
        <v>0x01000000</v>
      </c>
      <c r="G117" s="4" t="str">
        <f t="shared" si="1"/>
        <v>0x800E0148</v>
      </c>
      <c r="H117" t="str">
        <f t="shared" si="2"/>
        <v>0148</v>
      </c>
      <c r="I117" s="223">
        <f t="shared" si="4"/>
        <v>82</v>
      </c>
    </row>
    <row r="118" spans="1:9">
      <c r="A118" t="s">
        <v>113</v>
      </c>
      <c r="B118" t="s">
        <v>423</v>
      </c>
      <c r="C118" s="14" t="s">
        <v>470</v>
      </c>
      <c r="E118" s="39" t="s">
        <v>98</v>
      </c>
      <c r="F118" s="41" t="str">
        <f t="shared" si="3"/>
        <v>0x01020408</v>
      </c>
      <c r="G118" s="4" t="str">
        <f t="shared" si="1"/>
        <v>0x800E014C</v>
      </c>
      <c r="H118" t="str">
        <f t="shared" si="2"/>
        <v>014C</v>
      </c>
      <c r="I118" s="223">
        <f t="shared" si="4"/>
        <v>83</v>
      </c>
    </row>
    <row r="119" spans="1:9">
      <c r="A119" t="s">
        <v>113</v>
      </c>
      <c r="B119" t="s">
        <v>424</v>
      </c>
      <c r="C119" s="14" t="s">
        <v>471</v>
      </c>
      <c r="E119" s="39" t="s">
        <v>99</v>
      </c>
      <c r="F119" s="41" t="str">
        <f t="shared" si="3"/>
        <v>0x08040201</v>
      </c>
      <c r="G119" s="4" t="str">
        <f t="shared" si="1"/>
        <v>0x800E0150</v>
      </c>
      <c r="H119" t="str">
        <f t="shared" si="2"/>
        <v>0150</v>
      </c>
      <c r="I119" s="223">
        <f t="shared" si="4"/>
        <v>84</v>
      </c>
    </row>
    <row r="120" spans="1:9">
      <c r="A120" t="s">
        <v>113</v>
      </c>
      <c r="B120" t="s">
        <v>425</v>
      </c>
      <c r="C120" s="14" t="s">
        <v>472</v>
      </c>
      <c r="E120" s="39" t="s">
        <v>70</v>
      </c>
      <c r="F120" s="41" t="str">
        <f t="shared" si="3"/>
        <v>0x000f1133</v>
      </c>
      <c r="G120" s="4" t="str">
        <f t="shared" si="1"/>
        <v>0x800E0154</v>
      </c>
      <c r="H120" t="str">
        <f t="shared" si="2"/>
        <v>0154</v>
      </c>
      <c r="I120" s="223">
        <f t="shared" si="4"/>
        <v>85</v>
      </c>
    </row>
    <row r="121" spans="1:9">
      <c r="A121" t="s">
        <v>113</v>
      </c>
      <c r="B121" t="s">
        <v>426</v>
      </c>
      <c r="C121" s="14" t="s">
        <v>473</v>
      </c>
      <c r="E121" s="39" t="s">
        <v>100</v>
      </c>
      <c r="F121" s="41" t="str">
        <f t="shared" si="3"/>
        <v>0x00001f04</v>
      </c>
      <c r="G121" s="4" t="str">
        <f t="shared" si="1"/>
        <v>0x800E015C</v>
      </c>
      <c r="H121" t="str">
        <f t="shared" si="2"/>
        <v>015C</v>
      </c>
      <c r="I121" s="223">
        <f t="shared" si="4"/>
        <v>87</v>
      </c>
    </row>
    <row r="122" spans="1:9">
      <c r="A122" t="s">
        <v>113</v>
      </c>
      <c r="B122" t="s">
        <v>427</v>
      </c>
      <c r="C122" s="14" t="s">
        <v>473</v>
      </c>
      <c r="E122" s="39" t="s">
        <v>101</v>
      </c>
      <c r="F122" s="41" t="str">
        <f t="shared" si="3"/>
        <v>0x00001f04</v>
      </c>
      <c r="G122" s="4" t="str">
        <f t="shared" si="1"/>
        <v>0x800E0160</v>
      </c>
      <c r="H122" t="str">
        <f t="shared" si="2"/>
        <v>0160</v>
      </c>
      <c r="I122" s="223">
        <f t="shared" si="4"/>
        <v>88</v>
      </c>
    </row>
    <row r="123" spans="1:9">
      <c r="A123" t="s">
        <v>113</v>
      </c>
      <c r="B123" t="s">
        <v>428</v>
      </c>
      <c r="C123" s="14" t="s">
        <v>473</v>
      </c>
      <c r="E123" s="39" t="s">
        <v>102</v>
      </c>
      <c r="F123" s="41" t="str">
        <f t="shared" si="3"/>
        <v>0x00001f04</v>
      </c>
      <c r="G123" s="4" t="str">
        <f t="shared" si="1"/>
        <v>0x800E016C</v>
      </c>
      <c r="H123" t="str">
        <f t="shared" si="2"/>
        <v>016C</v>
      </c>
      <c r="I123" s="223">
        <f t="shared" si="4"/>
        <v>91</v>
      </c>
    </row>
    <row r="124" spans="1:9">
      <c r="A124" t="s">
        <v>113</v>
      </c>
      <c r="B124" t="s">
        <v>429</v>
      </c>
      <c r="C124" s="14" t="s">
        <v>473</v>
      </c>
      <c r="E124" s="39" t="s">
        <v>103</v>
      </c>
      <c r="F124" s="41" t="str">
        <f t="shared" si="3"/>
        <v>0x00001f04</v>
      </c>
      <c r="G124" s="4" t="str">
        <f t="shared" si="1"/>
        <v>0x800E0170</v>
      </c>
      <c r="H124" t="str">
        <f t="shared" si="2"/>
        <v>0170</v>
      </c>
      <c r="I124" s="223">
        <f t="shared" si="4"/>
        <v>92</v>
      </c>
    </row>
    <row r="125" spans="1:9">
      <c r="A125" t="s">
        <v>113</v>
      </c>
      <c r="B125" t="s">
        <v>430</v>
      </c>
      <c r="C125" s="14" t="s">
        <v>85</v>
      </c>
      <c r="E125" s="39" t="s">
        <v>92</v>
      </c>
      <c r="F125" s="41" t="str">
        <f t="shared" si="3"/>
        <v>0x00010000</v>
      </c>
      <c r="G125" s="4" t="str">
        <f t="shared" si="1"/>
        <v>0x800E0288</v>
      </c>
      <c r="H125" t="str">
        <f t="shared" si="2"/>
        <v>0288</v>
      </c>
      <c r="I125" s="223">
        <f t="shared" si="4"/>
        <v>162</v>
      </c>
    </row>
    <row r="126" spans="1:9">
      <c r="A126" t="s">
        <v>113</v>
      </c>
      <c r="B126" t="s">
        <v>431</v>
      </c>
      <c r="C126" s="14" t="s">
        <v>474</v>
      </c>
      <c r="E126" s="39" t="s">
        <v>104</v>
      </c>
      <c r="F126" s="41" t="str">
        <f t="shared" si="3"/>
        <v>0x00030404</v>
      </c>
      <c r="G126" s="4" t="str">
        <f t="shared" si="1"/>
        <v>0x800E028C</v>
      </c>
      <c r="H126" t="str">
        <f t="shared" si="2"/>
        <v>028C</v>
      </c>
      <c r="I126" s="223">
        <f t="shared" si="4"/>
        <v>163</v>
      </c>
    </row>
    <row r="127" spans="1:9">
      <c r="A127" t="s">
        <v>113</v>
      </c>
      <c r="B127" t="s">
        <v>432</v>
      </c>
      <c r="C127" s="13" t="str">
        <f ca="1">INDEX('Register Configuration'!I$45:I$131, MATCH(LEFT(B127,10),'Register Configuration'!H$45:H$131,0),1)</f>
        <v>0x00000005</v>
      </c>
      <c r="E127" s="39" t="s">
        <v>105</v>
      </c>
      <c r="F127" s="41" t="str">
        <f t="shared" si="3"/>
        <v>0x00000005</v>
      </c>
      <c r="G127" s="4" t="str">
        <f t="shared" si="1"/>
        <v>0x800E0290</v>
      </c>
      <c r="H127" t="str">
        <f t="shared" si="2"/>
        <v>0290</v>
      </c>
      <c r="I127" s="224">
        <f t="shared" si="4"/>
        <v>164</v>
      </c>
    </row>
    <row r="128" spans="1:9">
      <c r="A128" t="s">
        <v>113</v>
      </c>
      <c r="B128" t="s">
        <v>433</v>
      </c>
      <c r="C128" s="14" t="s">
        <v>461</v>
      </c>
      <c r="E128" s="39" t="s">
        <v>70</v>
      </c>
      <c r="F128" s="41" t="str">
        <f t="shared" si="3"/>
        <v>0x01010000</v>
      </c>
      <c r="G128" s="4" t="str">
        <f t="shared" si="1"/>
        <v>0x800E02AC</v>
      </c>
      <c r="H128" t="str">
        <f t="shared" si="2"/>
        <v>02AC</v>
      </c>
      <c r="I128" s="223">
        <f t="shared" si="4"/>
        <v>171</v>
      </c>
    </row>
    <row r="129" spans="1:9">
      <c r="A129" t="s">
        <v>113</v>
      </c>
      <c r="B129" t="s">
        <v>434</v>
      </c>
      <c r="C129" s="14" t="s">
        <v>89</v>
      </c>
      <c r="E129" s="39" t="s">
        <v>106</v>
      </c>
      <c r="F129" s="41" t="str">
        <f t="shared" si="3"/>
        <v>0x01000000</v>
      </c>
      <c r="G129" s="4" t="str">
        <f t="shared" si="1"/>
        <v>0x800E02B0</v>
      </c>
      <c r="H129" t="str">
        <f t="shared" si="2"/>
        <v>02B0</v>
      </c>
      <c r="I129" s="223">
        <f t="shared" si="4"/>
        <v>172</v>
      </c>
    </row>
    <row r="130" spans="1:9">
      <c r="A130" t="s">
        <v>113</v>
      </c>
      <c r="B130" t="s">
        <v>435</v>
      </c>
      <c r="C130" s="14" t="s">
        <v>475</v>
      </c>
      <c r="E130" s="39" t="s">
        <v>107</v>
      </c>
      <c r="F130" s="41" t="str">
        <f t="shared" si="3"/>
        <v>0x03030000</v>
      </c>
      <c r="G130" s="4" t="str">
        <f t="shared" si="1"/>
        <v>0x800E02B4</v>
      </c>
      <c r="H130" t="str">
        <f t="shared" si="2"/>
        <v>02B4</v>
      </c>
      <c r="I130" s="223">
        <f t="shared" si="4"/>
        <v>173</v>
      </c>
    </row>
    <row r="131" spans="1:9">
      <c r="A131" t="s">
        <v>113</v>
      </c>
      <c r="B131" t="s">
        <v>436</v>
      </c>
      <c r="C131" s="14" t="s">
        <v>476</v>
      </c>
      <c r="E131" s="39" t="s">
        <v>108</v>
      </c>
      <c r="F131" s="41" t="str">
        <f t="shared" si="3"/>
        <v>0x00010303</v>
      </c>
      <c r="G131" s="4" t="str">
        <f t="shared" si="1"/>
        <v>0x800E02B8</v>
      </c>
      <c r="H131" t="str">
        <f t="shared" si="2"/>
        <v>02B8</v>
      </c>
      <c r="I131" s="223">
        <f t="shared" si="4"/>
        <v>174</v>
      </c>
    </row>
    <row r="132" spans="1:9">
      <c r="A132" t="s">
        <v>113</v>
      </c>
      <c r="B132" t="s">
        <v>437</v>
      </c>
      <c r="C132" s="14" t="s">
        <v>477</v>
      </c>
      <c r="E132" s="39" t="s">
        <v>108</v>
      </c>
      <c r="F132" s="41" t="str">
        <f t="shared" si="3"/>
        <v>0x01020202</v>
      </c>
      <c r="G132" s="4" t="str">
        <f t="shared" si="1"/>
        <v>0x800E02BC</v>
      </c>
      <c r="H132" t="str">
        <f t="shared" si="2"/>
        <v>02BC</v>
      </c>
      <c r="I132" s="223">
        <f t="shared" si="4"/>
        <v>175</v>
      </c>
    </row>
    <row r="133" spans="1:9">
      <c r="A133" t="s">
        <v>113</v>
      </c>
      <c r="B133" t="s">
        <v>438</v>
      </c>
      <c r="C133" s="14" t="s">
        <v>70</v>
      </c>
      <c r="E133" s="39" t="s">
        <v>109</v>
      </c>
      <c r="F133" s="41" t="str">
        <f t="shared" si="3"/>
        <v>0x00000000</v>
      </c>
      <c r="G133" s="4" t="str">
        <f t="shared" si="1"/>
        <v>0x800E02C0</v>
      </c>
      <c r="H133" t="str">
        <f t="shared" si="2"/>
        <v>02C0</v>
      </c>
      <c r="I133" s="223">
        <f t="shared" si="4"/>
        <v>176</v>
      </c>
    </row>
    <row r="134" spans="1:9">
      <c r="A134" t="s">
        <v>113</v>
      </c>
      <c r="B134" t="s">
        <v>439</v>
      </c>
      <c r="C134" s="13" t="str">
        <f ca="1">INDEX('Register Configuration'!I$45:I$131, MATCH(LEFT(B134,10),'Register Configuration'!H$45:H$131,0),1)</f>
        <v>0x02060303</v>
      </c>
      <c r="E134" s="39" t="s">
        <v>110</v>
      </c>
      <c r="F134" s="41" t="str">
        <f t="shared" si="3"/>
        <v>0x02060303</v>
      </c>
      <c r="G134" s="4" t="str">
        <f t="shared" si="1"/>
        <v>0x800E02C4</v>
      </c>
      <c r="H134" t="str">
        <f t="shared" si="2"/>
        <v>02C4</v>
      </c>
      <c r="I134" s="224">
        <f t="shared" ref="I134:I146" si="5">HEX2DEC(H134)/4</f>
        <v>177</v>
      </c>
    </row>
    <row r="135" spans="1:9">
      <c r="A135" t="s">
        <v>113</v>
      </c>
      <c r="B135" t="s">
        <v>440</v>
      </c>
      <c r="C135" s="13" t="str">
        <f ca="1">INDEX('Register Configuration'!I$45:I$131, MATCH(LEFT(B135,10),'Register Configuration'!H$45:H$131,0),1)</f>
        <v>0x21002103</v>
      </c>
      <c r="E135" s="39" t="s">
        <v>111</v>
      </c>
      <c r="F135" s="41" t="str">
        <f t="shared" si="3"/>
        <v>0x21002103</v>
      </c>
      <c r="G135" s="4" t="str">
        <f t="shared" ref="G135:G146" si="6">LEFT(B135,10)</f>
        <v>0x800E02C8</v>
      </c>
      <c r="H135" t="str">
        <f t="shared" ref="H135:H146" si="7">RIGHT(G135,4)</f>
        <v>02C8</v>
      </c>
      <c r="I135" s="224">
        <f t="shared" si="5"/>
        <v>178</v>
      </c>
    </row>
    <row r="136" spans="1:9">
      <c r="A136" t="s">
        <v>113</v>
      </c>
      <c r="B136" t="s">
        <v>441</v>
      </c>
      <c r="C136" s="14" t="s">
        <v>478</v>
      </c>
      <c r="G136" s="4" t="str">
        <f t="shared" si="6"/>
        <v>0x800E02CC</v>
      </c>
      <c r="H136" t="str">
        <f t="shared" si="7"/>
        <v>02CC</v>
      </c>
      <c r="I136" s="223">
        <f t="shared" si="5"/>
        <v>179</v>
      </c>
    </row>
    <row r="137" spans="1:9">
      <c r="A137" t="s">
        <v>113</v>
      </c>
      <c r="B137" t="s">
        <v>442</v>
      </c>
      <c r="C137" s="14" t="s">
        <v>108</v>
      </c>
      <c r="G137" s="4" t="str">
        <f t="shared" si="6"/>
        <v>0x800E02D0</v>
      </c>
      <c r="H137" t="str">
        <f t="shared" si="7"/>
        <v>02D0</v>
      </c>
      <c r="I137" s="223">
        <f t="shared" si="5"/>
        <v>180</v>
      </c>
    </row>
    <row r="138" spans="1:9">
      <c r="A138" t="s">
        <v>113</v>
      </c>
      <c r="B138" t="s">
        <v>443</v>
      </c>
      <c r="C138" s="13" t="str">
        <f ca="1">INDEX('Register Configuration'!I$45:I$131, MATCH(LEFT(B138,10),'Register Configuration'!H$45:H$131,0),1)</f>
        <v>0x04420442</v>
      </c>
      <c r="D138" t="s">
        <v>454</v>
      </c>
      <c r="G138" s="4" t="str">
        <f t="shared" si="6"/>
        <v>0x800E02D4</v>
      </c>
      <c r="H138" t="str">
        <f t="shared" si="7"/>
        <v>02D4</v>
      </c>
      <c r="I138" s="224">
        <f t="shared" si="5"/>
        <v>181</v>
      </c>
    </row>
    <row r="139" spans="1:9">
      <c r="A139" t="s">
        <v>113</v>
      </c>
      <c r="B139" t="s">
        <v>444</v>
      </c>
      <c r="C139" s="14" t="s">
        <v>70</v>
      </c>
      <c r="D139" t="s">
        <v>452</v>
      </c>
      <c r="G139" s="4" t="str">
        <f t="shared" si="6"/>
        <v>0x800E02D8</v>
      </c>
      <c r="H139" t="str">
        <f t="shared" si="7"/>
        <v>02D8</v>
      </c>
      <c r="I139" s="223">
        <f t="shared" si="5"/>
        <v>182</v>
      </c>
    </row>
    <row r="140" spans="1:9">
      <c r="A140" t="s">
        <v>113</v>
      </c>
      <c r="B140" t="s">
        <v>445</v>
      </c>
      <c r="C140" s="13" t="str">
        <f ca="1">INDEX('Register Configuration'!I$45:I$131, MATCH(LEFT(B140,10),'Register Configuration'!H$45:H$131,0),1)</f>
        <v>0x00040004</v>
      </c>
      <c r="D140" t="s">
        <v>455</v>
      </c>
      <c r="G140" s="4" t="str">
        <f t="shared" si="6"/>
        <v>0x800E02DC</v>
      </c>
      <c r="H140" t="str">
        <f t="shared" si="7"/>
        <v>02DC</v>
      </c>
      <c r="I140" s="224">
        <f t="shared" si="5"/>
        <v>183</v>
      </c>
    </row>
    <row r="141" spans="1:9">
      <c r="A141" t="s">
        <v>113</v>
      </c>
      <c r="B141" t="s">
        <v>446</v>
      </c>
      <c r="C141" s="14" t="s">
        <v>70</v>
      </c>
      <c r="D141" t="s">
        <v>453</v>
      </c>
      <c r="G141" s="4" t="str">
        <f t="shared" si="6"/>
        <v>0x800E02E0</v>
      </c>
      <c r="H141" t="str">
        <f t="shared" si="7"/>
        <v>02E0</v>
      </c>
      <c r="I141" s="223">
        <f t="shared" si="5"/>
        <v>184</v>
      </c>
    </row>
    <row r="142" spans="1:9">
      <c r="A142" t="s">
        <v>113</v>
      </c>
      <c r="B142" t="s">
        <v>447</v>
      </c>
      <c r="C142" s="13" t="str">
        <f ca="1">INDEX('Register Configuration'!I$45:I$131, MATCH(LEFT(B142,10),'Register Configuration'!H$45:H$131,0),1)</f>
        <v>0x00000000</v>
      </c>
      <c r="D142" t="s">
        <v>456</v>
      </c>
      <c r="G142" s="4" t="str">
        <f t="shared" si="6"/>
        <v>0x800E02E4</v>
      </c>
      <c r="H142" t="str">
        <f t="shared" si="7"/>
        <v>02E4</v>
      </c>
      <c r="I142" s="224">
        <f t="shared" si="5"/>
        <v>185</v>
      </c>
    </row>
    <row r="143" spans="1:9">
      <c r="A143" t="s">
        <v>113</v>
      </c>
      <c r="B143" t="s">
        <v>448</v>
      </c>
      <c r="C143" s="14" t="s">
        <v>70</v>
      </c>
      <c r="D143" t="s">
        <v>499</v>
      </c>
      <c r="G143" s="4" t="str">
        <f t="shared" si="6"/>
        <v>0x800E02E8</v>
      </c>
      <c r="H143" t="str">
        <f t="shared" si="7"/>
        <v>02E8</v>
      </c>
      <c r="I143" s="223">
        <f t="shared" si="5"/>
        <v>186</v>
      </c>
    </row>
    <row r="144" spans="1:9">
      <c r="A144" t="s">
        <v>113</v>
      </c>
      <c r="B144" t="s">
        <v>449</v>
      </c>
      <c r="C144" s="13" t="str">
        <f ca="1">INDEX('Register Configuration'!I$45:I$131, MATCH(LEFT(B144,10),'Register Configuration'!H$45:H$131,0),1)</f>
        <v>0x00000000</v>
      </c>
      <c r="D144" t="s">
        <v>498</v>
      </c>
      <c r="G144" s="4" t="str">
        <f t="shared" si="6"/>
        <v>0x800E02EC</v>
      </c>
      <c r="H144" t="str">
        <f t="shared" si="7"/>
        <v>02EC</v>
      </c>
      <c r="I144" s="224">
        <f t="shared" si="5"/>
        <v>187</v>
      </c>
    </row>
    <row r="145" spans="1:9">
      <c r="A145" t="s">
        <v>113</v>
      </c>
      <c r="B145" t="s">
        <v>450</v>
      </c>
      <c r="C145" s="14" t="s">
        <v>70</v>
      </c>
      <c r="D145" t="s">
        <v>497</v>
      </c>
      <c r="G145" s="4" t="str">
        <f t="shared" si="6"/>
        <v>0x800E02F0</v>
      </c>
      <c r="H145" t="str">
        <f t="shared" si="7"/>
        <v>02F0</v>
      </c>
      <c r="I145" s="223">
        <f t="shared" si="5"/>
        <v>188</v>
      </c>
    </row>
    <row r="146" spans="1:9">
      <c r="A146" t="s">
        <v>113</v>
      </c>
      <c r="B146" t="s">
        <v>451</v>
      </c>
      <c r="C146" s="14" t="s">
        <v>69</v>
      </c>
      <c r="G146" s="4" t="str">
        <f t="shared" si="6"/>
        <v>0x800E02F4</v>
      </c>
      <c r="H146" t="str">
        <f t="shared" si="7"/>
        <v>02F4</v>
      </c>
      <c r="I146" s="223">
        <f t="shared" si="5"/>
        <v>189</v>
      </c>
    </row>
    <row r="148" spans="1:9">
      <c r="A148" s="5" t="s">
        <v>457</v>
      </c>
    </row>
    <row r="149" spans="1:9">
      <c r="A149" t="s">
        <v>113</v>
      </c>
      <c r="B149" t="s">
        <v>376</v>
      </c>
      <c r="C149" s="13" t="str">
        <f ca="1">'Register Configuration'!J$45</f>
        <v>0x00000001</v>
      </c>
      <c r="D149" t="s">
        <v>114</v>
      </c>
    </row>
  </sheetData>
  <phoneticPr fontId="1" type="noConversion"/>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How To Use</vt:lpstr>
      <vt:lpstr>Register Configuration</vt:lpstr>
      <vt:lpstr>RealView .inc file</vt:lpstr>
      <vt:lpstr>_00</vt:lpstr>
      <vt:lpstr>_11</vt:lpstr>
      <vt:lpstr>'RealView .inc file'!Codex_LPDDR1_200MHz.inc</vt:lpstr>
      <vt:lpstr>'Register Configuration'!Print_Area</vt:lpstr>
    </vt:vector>
  </TitlesOfParts>
  <Company>Freescale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ra7694</dc:creator>
  <cp:lastModifiedBy>钱建文</cp:lastModifiedBy>
  <cp:lastPrinted>2009-11-19T19:37:47Z</cp:lastPrinted>
  <dcterms:created xsi:type="dcterms:W3CDTF">2008-07-23T13:35:02Z</dcterms:created>
  <dcterms:modified xsi:type="dcterms:W3CDTF">2014-04-10T03:15:35Z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