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delong2\Box Sync\Projects in progress\Didinium temperature dynamics\"/>
    </mc:Choice>
  </mc:AlternateContent>
  <bookViews>
    <workbookView xWindow="1200" yWindow="60" windowWidth="22800" windowHeight="10056" tabRatio="500"/>
  </bookViews>
  <sheets>
    <sheet name="Population size data" sheetId="1" r:id="rId1"/>
    <sheet name="Population densities per mL" sheetId="5" r:id="rId2"/>
    <sheet name="Cell volumes across peaks" sheetId="2" r:id="rId3"/>
    <sheet name="Combined for plotting" sheetId="12" r:id="rId4"/>
    <sheet name="17 C" sheetId="4" r:id="rId5"/>
    <sheet name="20 C" sheetId="6" r:id="rId6"/>
    <sheet name="23 C" sheetId="7" r:id="rId7"/>
    <sheet name="25 C" sheetId="8" r:id="rId8"/>
    <sheet name="27 C" sheetId="9" r:id="rId9"/>
    <sheet name="31 C" sheetId="11" r:id="rId10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4" l="1"/>
  <c r="P5" i="4"/>
  <c r="R5" i="6"/>
  <c r="Q7" i="6"/>
  <c r="O10" i="6"/>
  <c r="P8" i="7"/>
  <c r="M4" i="7"/>
  <c r="N8" i="8"/>
  <c r="O7" i="8"/>
  <c r="P9" i="9"/>
  <c r="Q6" i="9"/>
  <c r="L5" i="11"/>
  <c r="K7" i="11"/>
  <c r="I5" i="11"/>
  <c r="P3" i="7" l="1"/>
  <c r="O3" i="7"/>
  <c r="P4" i="7"/>
  <c r="P5" i="7"/>
  <c r="P7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O4" i="7"/>
  <c r="O5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N3" i="7"/>
  <c r="N4" i="7"/>
  <c r="N5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M5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3" i="7"/>
  <c r="L3" i="11"/>
  <c r="L4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K4" i="11"/>
  <c r="K5" i="11"/>
  <c r="K6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3" i="11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Q4" i="9"/>
  <c r="Q5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3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O4" i="8"/>
  <c r="O5" i="8"/>
  <c r="O6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3" i="8"/>
  <c r="R3" i="6"/>
  <c r="R7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Q5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3" i="6"/>
  <c r="P3" i="4"/>
  <c r="P7" i="4"/>
  <c r="P9" i="4"/>
  <c r="P10" i="4"/>
  <c r="P11" i="4"/>
  <c r="P12" i="4"/>
  <c r="P13" i="4"/>
  <c r="P14" i="4"/>
  <c r="P15" i="4"/>
  <c r="P16" i="4"/>
  <c r="P17" i="4"/>
  <c r="P18" i="4"/>
  <c r="P19" i="4"/>
  <c r="P21" i="4"/>
  <c r="O5" i="4"/>
  <c r="O7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3" i="4"/>
  <c r="B2" i="2" l="1"/>
  <c r="F2" i="2"/>
  <c r="G2" i="2"/>
  <c r="H2" i="2"/>
  <c r="B3" i="2"/>
  <c r="F3" i="2"/>
  <c r="G3" i="2"/>
  <c r="H3" i="2"/>
  <c r="B4" i="2"/>
  <c r="F4" i="2"/>
  <c r="G4" i="2"/>
  <c r="H4" i="2"/>
  <c r="B5" i="2"/>
  <c r="F5" i="2"/>
  <c r="G5" i="2"/>
  <c r="H5" i="2"/>
  <c r="B6" i="2"/>
  <c r="F6" i="2"/>
  <c r="G6" i="2"/>
  <c r="H6" i="2"/>
  <c r="B7" i="2"/>
  <c r="F7" i="2"/>
  <c r="G7" i="2"/>
  <c r="H7" i="2"/>
  <c r="B8" i="2"/>
  <c r="F8" i="2"/>
  <c r="G8" i="2"/>
  <c r="H8" i="2"/>
  <c r="B9" i="2"/>
  <c r="F9" i="2"/>
  <c r="G9" i="2"/>
  <c r="H9" i="2"/>
  <c r="B10" i="2"/>
  <c r="F10" i="2"/>
  <c r="G10" i="2"/>
  <c r="H10" i="2"/>
  <c r="B11" i="2"/>
  <c r="F11" i="2"/>
  <c r="G11" i="2"/>
  <c r="H11" i="2"/>
  <c r="B12" i="2"/>
  <c r="F12" i="2"/>
  <c r="G12" i="2"/>
  <c r="H12" i="2"/>
  <c r="B13" i="2"/>
  <c r="F13" i="2"/>
  <c r="G13" i="2"/>
  <c r="H13" i="2"/>
  <c r="B14" i="2"/>
  <c r="F14" i="2"/>
  <c r="G14" i="2"/>
  <c r="H14" i="2"/>
  <c r="B15" i="2"/>
  <c r="F15" i="2"/>
  <c r="G15" i="2"/>
  <c r="H15" i="2"/>
  <c r="B16" i="2"/>
  <c r="F16" i="2"/>
  <c r="G16" i="2"/>
  <c r="H16" i="2"/>
  <c r="B17" i="2"/>
  <c r="F17" i="2"/>
  <c r="G17" i="2"/>
  <c r="H17" i="2"/>
  <c r="B18" i="2"/>
  <c r="F18" i="2"/>
  <c r="G18" i="2"/>
  <c r="H18" i="2"/>
  <c r="B19" i="2"/>
  <c r="F19" i="2"/>
  <c r="G19" i="2"/>
  <c r="H19" i="2"/>
  <c r="B20" i="2"/>
  <c r="F20" i="2"/>
  <c r="G20" i="2"/>
  <c r="H20" i="2"/>
  <c r="B21" i="2"/>
  <c r="F21" i="2"/>
  <c r="G21" i="2"/>
  <c r="H21" i="2"/>
  <c r="B22" i="2"/>
  <c r="F22" i="2"/>
  <c r="G22" i="2"/>
  <c r="H22" i="2"/>
  <c r="B23" i="2"/>
  <c r="F23" i="2"/>
  <c r="G23" i="2"/>
  <c r="H23" i="2"/>
  <c r="B24" i="2"/>
  <c r="F24" i="2"/>
  <c r="G24" i="2"/>
  <c r="H24" i="2"/>
  <c r="B25" i="2"/>
  <c r="F25" i="2"/>
  <c r="G25" i="2"/>
  <c r="H25" i="2"/>
  <c r="B26" i="2"/>
  <c r="F26" i="2"/>
  <c r="G26" i="2"/>
  <c r="H26" i="2"/>
  <c r="B27" i="2"/>
  <c r="F27" i="2"/>
  <c r="G27" i="2"/>
  <c r="H27" i="2"/>
  <c r="B28" i="2"/>
  <c r="F28" i="2"/>
  <c r="G28" i="2"/>
  <c r="H28" i="2"/>
  <c r="B29" i="2"/>
  <c r="F29" i="2"/>
  <c r="G29" i="2"/>
  <c r="H29" i="2"/>
  <c r="B30" i="2"/>
  <c r="F30" i="2"/>
  <c r="G30" i="2"/>
  <c r="B31" i="2"/>
  <c r="F31" i="2"/>
  <c r="G31" i="2"/>
  <c r="H31" i="2" s="1"/>
  <c r="B32" i="2"/>
  <c r="F32" i="2"/>
  <c r="H32" i="2" s="1"/>
  <c r="G32" i="2"/>
  <c r="B33" i="2"/>
  <c r="F33" i="2"/>
  <c r="H33" i="2" s="1"/>
  <c r="G33" i="2"/>
  <c r="B34" i="2"/>
  <c r="F34" i="2"/>
  <c r="H34" i="2" s="1"/>
  <c r="G34" i="2"/>
  <c r="B35" i="2"/>
  <c r="F35" i="2"/>
  <c r="H35" i="2" s="1"/>
  <c r="G35" i="2"/>
  <c r="B36" i="2"/>
  <c r="F36" i="2"/>
  <c r="H36" i="2" s="1"/>
  <c r="G36" i="2"/>
  <c r="B37" i="2"/>
  <c r="F37" i="2"/>
  <c r="H37" i="2" s="1"/>
  <c r="G37" i="2"/>
  <c r="B38" i="2"/>
  <c r="F38" i="2"/>
  <c r="H38" i="2" s="1"/>
  <c r="G38" i="2"/>
  <c r="B39" i="2"/>
  <c r="F39" i="2"/>
  <c r="H39" i="2" s="1"/>
  <c r="G39" i="2"/>
  <c r="B40" i="2"/>
  <c r="F40" i="2"/>
  <c r="H40" i="2" s="1"/>
  <c r="G40" i="2"/>
  <c r="B41" i="2"/>
  <c r="F41" i="2"/>
  <c r="H41" i="2" s="1"/>
  <c r="G41" i="2"/>
  <c r="B42" i="2"/>
  <c r="F42" i="2"/>
  <c r="H42" i="2" s="1"/>
  <c r="G42" i="2"/>
  <c r="B43" i="2"/>
  <c r="F43" i="2"/>
  <c r="H43" i="2" s="1"/>
  <c r="G43" i="2"/>
  <c r="B44" i="2"/>
  <c r="F44" i="2"/>
  <c r="H44" i="2" s="1"/>
  <c r="G44" i="2"/>
  <c r="B45" i="2"/>
  <c r="F45" i="2"/>
  <c r="H45" i="2" s="1"/>
  <c r="G45" i="2"/>
  <c r="B46" i="2"/>
  <c r="F46" i="2"/>
  <c r="H46" i="2" s="1"/>
  <c r="G46" i="2"/>
  <c r="B47" i="2"/>
  <c r="F47" i="2"/>
  <c r="H47" i="2" s="1"/>
  <c r="G47" i="2"/>
  <c r="B48" i="2"/>
  <c r="F48" i="2"/>
  <c r="H48" i="2" s="1"/>
  <c r="G48" i="2"/>
  <c r="B49" i="2"/>
  <c r="F49" i="2"/>
  <c r="H49" i="2" s="1"/>
  <c r="G49" i="2"/>
  <c r="B50" i="2"/>
  <c r="F50" i="2"/>
  <c r="H50" i="2" s="1"/>
  <c r="G50" i="2"/>
  <c r="B51" i="2"/>
  <c r="F51" i="2"/>
  <c r="H51" i="2" s="1"/>
  <c r="G51" i="2"/>
  <c r="B52" i="2"/>
  <c r="F52" i="2"/>
  <c r="H52" i="2" s="1"/>
  <c r="G52" i="2"/>
  <c r="B53" i="2"/>
  <c r="F53" i="2"/>
  <c r="H53" i="2" s="1"/>
  <c r="G53" i="2"/>
  <c r="B54" i="2"/>
  <c r="F54" i="2"/>
  <c r="H54" i="2" s="1"/>
  <c r="G54" i="2"/>
  <c r="B55" i="2"/>
  <c r="F55" i="2"/>
  <c r="H55" i="2" s="1"/>
  <c r="G55" i="2"/>
  <c r="B56" i="2"/>
  <c r="F56" i="2"/>
  <c r="H56" i="2" s="1"/>
  <c r="G56" i="2"/>
  <c r="B57" i="2"/>
  <c r="F57" i="2"/>
  <c r="H57" i="2" s="1"/>
  <c r="G57" i="2"/>
  <c r="B58" i="2"/>
  <c r="F58" i="2"/>
  <c r="H58" i="2" s="1"/>
  <c r="G58" i="2"/>
  <c r="B59" i="2"/>
  <c r="F59" i="2"/>
  <c r="H59" i="2" s="1"/>
  <c r="G59" i="2"/>
  <c r="B60" i="2"/>
  <c r="F60" i="2"/>
  <c r="H60" i="2" s="1"/>
  <c r="G60" i="2"/>
  <c r="B61" i="2"/>
  <c r="F61" i="2"/>
  <c r="H61" i="2" s="1"/>
  <c r="G61" i="2"/>
  <c r="B62" i="2"/>
  <c r="F62" i="2"/>
  <c r="H62" i="2" s="1"/>
  <c r="G62" i="2"/>
  <c r="B63" i="2"/>
  <c r="F63" i="2"/>
  <c r="H63" i="2" s="1"/>
  <c r="G63" i="2"/>
  <c r="B64" i="2"/>
  <c r="F64" i="2"/>
  <c r="H64" i="2" s="1"/>
  <c r="G64" i="2"/>
  <c r="B65" i="2"/>
  <c r="F65" i="2"/>
  <c r="H65" i="2" s="1"/>
  <c r="G65" i="2"/>
  <c r="B66" i="2"/>
  <c r="F66" i="2"/>
  <c r="H66" i="2" s="1"/>
  <c r="G66" i="2"/>
  <c r="B67" i="2"/>
  <c r="F67" i="2"/>
  <c r="H67" i="2" s="1"/>
  <c r="G67" i="2"/>
  <c r="B68" i="2"/>
  <c r="F68" i="2"/>
  <c r="H68" i="2" s="1"/>
  <c r="G68" i="2"/>
  <c r="B69" i="2"/>
  <c r="F69" i="2"/>
  <c r="H69" i="2" s="1"/>
  <c r="G69" i="2"/>
  <c r="B70" i="2"/>
  <c r="F70" i="2"/>
  <c r="H70" i="2" s="1"/>
  <c r="G70" i="2"/>
  <c r="B71" i="2"/>
  <c r="F71" i="2"/>
  <c r="H71" i="2" s="1"/>
  <c r="G71" i="2"/>
  <c r="B72" i="2"/>
  <c r="F72" i="2"/>
  <c r="H72" i="2" s="1"/>
  <c r="G72" i="2"/>
  <c r="B73" i="2"/>
  <c r="F73" i="2"/>
  <c r="H73" i="2" s="1"/>
  <c r="G73" i="2"/>
  <c r="B74" i="2"/>
  <c r="F74" i="2"/>
  <c r="H74" i="2" s="1"/>
  <c r="G74" i="2"/>
  <c r="B75" i="2"/>
  <c r="F75" i="2"/>
  <c r="H75" i="2" s="1"/>
  <c r="G75" i="2"/>
  <c r="B76" i="2"/>
  <c r="F76" i="2"/>
  <c r="H76" i="2" s="1"/>
  <c r="G76" i="2"/>
  <c r="B77" i="2"/>
  <c r="F77" i="2"/>
  <c r="H77" i="2" s="1"/>
  <c r="G77" i="2"/>
  <c r="B78" i="2"/>
  <c r="F78" i="2"/>
  <c r="H78" i="2" s="1"/>
  <c r="G78" i="2"/>
  <c r="B79" i="2"/>
  <c r="F79" i="2"/>
  <c r="H79" i="2" s="1"/>
  <c r="G79" i="2"/>
  <c r="B80" i="2"/>
  <c r="F80" i="2"/>
  <c r="H80" i="2" s="1"/>
  <c r="G80" i="2"/>
  <c r="B81" i="2"/>
  <c r="F81" i="2"/>
  <c r="H81" i="2" s="1"/>
  <c r="G81" i="2"/>
  <c r="B82" i="2"/>
  <c r="F82" i="2"/>
  <c r="H82" i="2" s="1"/>
  <c r="G82" i="2"/>
  <c r="B83" i="2"/>
  <c r="F83" i="2"/>
  <c r="H83" i="2" s="1"/>
  <c r="G83" i="2"/>
  <c r="B84" i="2"/>
  <c r="F84" i="2"/>
  <c r="H84" i="2" s="1"/>
  <c r="G84" i="2"/>
  <c r="B85" i="2"/>
  <c r="F85" i="2"/>
  <c r="H85" i="2" s="1"/>
  <c r="G85" i="2"/>
  <c r="B86" i="2"/>
  <c r="F86" i="2"/>
  <c r="H86" i="2" s="1"/>
  <c r="G86" i="2"/>
  <c r="B87" i="2"/>
  <c r="F87" i="2"/>
  <c r="H87" i="2" s="1"/>
  <c r="G87" i="2"/>
  <c r="B88" i="2"/>
  <c r="F88" i="2"/>
  <c r="H88" i="2" s="1"/>
  <c r="G88" i="2"/>
  <c r="B89" i="2"/>
  <c r="F89" i="2"/>
  <c r="H89" i="2" s="1"/>
  <c r="G89" i="2"/>
  <c r="B90" i="2"/>
  <c r="F90" i="2"/>
  <c r="H90" i="2" s="1"/>
  <c r="G90" i="2"/>
  <c r="B91" i="2"/>
  <c r="F91" i="2"/>
  <c r="H91" i="2" s="1"/>
  <c r="G91" i="2"/>
  <c r="B92" i="2"/>
  <c r="F92" i="2"/>
  <c r="H92" i="2" s="1"/>
  <c r="G92" i="2"/>
  <c r="B93" i="2"/>
  <c r="F93" i="2"/>
  <c r="H93" i="2" s="1"/>
  <c r="G93" i="2"/>
  <c r="B94" i="2"/>
  <c r="F94" i="2"/>
  <c r="H94" i="2" s="1"/>
  <c r="G94" i="2"/>
  <c r="B95" i="2"/>
  <c r="F95" i="2"/>
  <c r="H95" i="2" s="1"/>
  <c r="G95" i="2"/>
  <c r="B96" i="2"/>
  <c r="F96" i="2"/>
  <c r="H96" i="2" s="1"/>
  <c r="G96" i="2"/>
  <c r="B97" i="2"/>
  <c r="F97" i="2"/>
  <c r="H97" i="2" s="1"/>
  <c r="G97" i="2"/>
  <c r="B98" i="2"/>
  <c r="F98" i="2"/>
  <c r="H98" i="2" s="1"/>
  <c r="G98" i="2"/>
  <c r="B99" i="2"/>
  <c r="F99" i="2"/>
  <c r="H99" i="2" s="1"/>
  <c r="G99" i="2"/>
  <c r="B100" i="2"/>
  <c r="F100" i="2"/>
  <c r="H100" i="2" s="1"/>
  <c r="G100" i="2"/>
  <c r="B101" i="2"/>
  <c r="F101" i="2"/>
  <c r="H101" i="2" s="1"/>
  <c r="G101" i="2"/>
  <c r="B102" i="2"/>
  <c r="F102" i="2"/>
  <c r="H102" i="2" s="1"/>
  <c r="G102" i="2"/>
  <c r="B103" i="2"/>
  <c r="F103" i="2"/>
  <c r="H103" i="2" s="1"/>
  <c r="G103" i="2"/>
  <c r="B104" i="2"/>
  <c r="F104" i="2"/>
  <c r="H104" i="2" s="1"/>
  <c r="G104" i="2"/>
  <c r="B105" i="2"/>
  <c r="F105" i="2"/>
  <c r="H105" i="2" s="1"/>
  <c r="G105" i="2"/>
  <c r="B106" i="2"/>
  <c r="F106" i="2"/>
  <c r="H106" i="2" s="1"/>
  <c r="G106" i="2"/>
  <c r="B107" i="2"/>
  <c r="F107" i="2"/>
  <c r="H107" i="2" s="1"/>
  <c r="G107" i="2"/>
  <c r="B108" i="2"/>
  <c r="F108" i="2"/>
  <c r="H108" i="2" s="1"/>
  <c r="G108" i="2"/>
  <c r="B109" i="2"/>
  <c r="F109" i="2"/>
  <c r="H109" i="2" s="1"/>
  <c r="G109" i="2"/>
  <c r="B110" i="2"/>
  <c r="F110" i="2"/>
  <c r="H110" i="2" s="1"/>
  <c r="G110" i="2"/>
  <c r="B111" i="2"/>
  <c r="F111" i="2"/>
  <c r="H111" i="2" s="1"/>
  <c r="G111" i="2"/>
  <c r="B112" i="2"/>
  <c r="F112" i="2"/>
  <c r="H112" i="2" s="1"/>
  <c r="G112" i="2"/>
  <c r="B113" i="2"/>
  <c r="F113" i="2"/>
  <c r="H113" i="2" s="1"/>
  <c r="G113" i="2"/>
  <c r="B114" i="2"/>
  <c r="F114" i="2"/>
  <c r="H114" i="2" s="1"/>
  <c r="G114" i="2"/>
  <c r="B115" i="2"/>
  <c r="F115" i="2"/>
  <c r="H115" i="2" s="1"/>
  <c r="G115" i="2"/>
  <c r="B116" i="2"/>
  <c r="F116" i="2"/>
  <c r="H116" i="2" s="1"/>
  <c r="G116" i="2"/>
  <c r="B117" i="2"/>
  <c r="F117" i="2"/>
  <c r="H117" i="2" s="1"/>
  <c r="G117" i="2"/>
  <c r="B118" i="2"/>
  <c r="F118" i="2"/>
  <c r="H118" i="2" s="1"/>
  <c r="G118" i="2"/>
  <c r="B119" i="2"/>
  <c r="F119" i="2"/>
  <c r="H119" i="2" s="1"/>
  <c r="G119" i="2"/>
  <c r="B120" i="2"/>
  <c r="F120" i="2"/>
  <c r="H120" i="2" s="1"/>
  <c r="G120" i="2"/>
  <c r="B121" i="2"/>
  <c r="F121" i="2"/>
  <c r="H121" i="2" s="1"/>
  <c r="G121" i="2"/>
  <c r="B122" i="2"/>
  <c r="F122" i="2"/>
  <c r="H122" i="2" s="1"/>
  <c r="G122" i="2"/>
  <c r="B123" i="2"/>
  <c r="F123" i="2"/>
  <c r="H123" i="2" s="1"/>
  <c r="G123" i="2"/>
  <c r="B124" i="2"/>
  <c r="F124" i="2"/>
  <c r="H124" i="2" s="1"/>
  <c r="G124" i="2"/>
  <c r="B125" i="2"/>
  <c r="F125" i="2"/>
  <c r="H125" i="2" s="1"/>
  <c r="G125" i="2"/>
  <c r="B126" i="2"/>
  <c r="F126" i="2"/>
  <c r="H126" i="2" s="1"/>
  <c r="G126" i="2"/>
  <c r="B127" i="2"/>
  <c r="F127" i="2"/>
  <c r="H127" i="2" s="1"/>
  <c r="G127" i="2"/>
  <c r="B128" i="2"/>
  <c r="F128" i="2"/>
  <c r="H128" i="2" s="1"/>
  <c r="G128" i="2"/>
  <c r="B129" i="2"/>
  <c r="F129" i="2"/>
  <c r="H129" i="2" s="1"/>
  <c r="G129" i="2"/>
  <c r="B130" i="2"/>
  <c r="F130" i="2"/>
  <c r="H130" i="2" s="1"/>
  <c r="G130" i="2"/>
  <c r="B131" i="2"/>
  <c r="F131" i="2"/>
  <c r="H131" i="2" s="1"/>
  <c r="G131" i="2"/>
  <c r="B132" i="2"/>
  <c r="F132" i="2"/>
  <c r="H132" i="2" s="1"/>
  <c r="G132" i="2"/>
  <c r="B133" i="2"/>
  <c r="F133" i="2"/>
  <c r="H133" i="2" s="1"/>
  <c r="G133" i="2"/>
  <c r="B134" i="2"/>
  <c r="F134" i="2"/>
  <c r="H134" i="2" s="1"/>
  <c r="G134" i="2"/>
  <c r="B135" i="2"/>
  <c r="F135" i="2"/>
  <c r="H135" i="2" s="1"/>
  <c r="G135" i="2"/>
  <c r="B136" i="2"/>
  <c r="F136" i="2"/>
  <c r="H136" i="2" s="1"/>
  <c r="G136" i="2"/>
  <c r="B137" i="2"/>
  <c r="F137" i="2"/>
  <c r="H137" i="2" s="1"/>
  <c r="G137" i="2"/>
  <c r="B138" i="2"/>
  <c r="F138" i="2"/>
  <c r="H138" i="2" s="1"/>
  <c r="G138" i="2"/>
  <c r="B139" i="2"/>
  <c r="F139" i="2"/>
  <c r="H139" i="2" s="1"/>
  <c r="G139" i="2"/>
  <c r="B140" i="2"/>
  <c r="F140" i="2"/>
  <c r="H140" i="2" s="1"/>
  <c r="G140" i="2"/>
  <c r="B141" i="2"/>
  <c r="F141" i="2"/>
  <c r="H141" i="2" s="1"/>
  <c r="G141" i="2"/>
  <c r="B142" i="2"/>
  <c r="F142" i="2"/>
  <c r="H142" i="2" s="1"/>
  <c r="G142" i="2"/>
  <c r="B143" i="2"/>
  <c r="F143" i="2"/>
  <c r="H143" i="2" s="1"/>
  <c r="G143" i="2"/>
  <c r="B144" i="2"/>
  <c r="F144" i="2"/>
  <c r="H144" i="2" s="1"/>
  <c r="G144" i="2"/>
  <c r="B145" i="2"/>
  <c r="F145" i="2"/>
  <c r="H145" i="2" s="1"/>
  <c r="G145" i="2"/>
  <c r="B146" i="2"/>
  <c r="F146" i="2"/>
  <c r="H146" i="2" s="1"/>
  <c r="G146" i="2"/>
  <c r="B147" i="2"/>
  <c r="F147" i="2"/>
  <c r="H147" i="2" s="1"/>
  <c r="G147" i="2"/>
  <c r="B148" i="2"/>
  <c r="F148" i="2"/>
  <c r="H148" i="2" s="1"/>
  <c r="G148" i="2"/>
  <c r="B149" i="2"/>
  <c r="F149" i="2"/>
  <c r="H149" i="2" s="1"/>
  <c r="G149" i="2"/>
  <c r="B150" i="2"/>
  <c r="F150" i="2"/>
  <c r="H150" i="2" s="1"/>
  <c r="G150" i="2"/>
  <c r="B151" i="2"/>
  <c r="F151" i="2"/>
  <c r="H151" i="2" s="1"/>
  <c r="G151" i="2"/>
  <c r="B152" i="2"/>
  <c r="F152" i="2"/>
  <c r="H152" i="2" s="1"/>
  <c r="G152" i="2"/>
  <c r="B153" i="2"/>
  <c r="F153" i="2"/>
  <c r="H153" i="2" s="1"/>
  <c r="G153" i="2"/>
  <c r="B154" i="2"/>
  <c r="F154" i="2"/>
  <c r="H154" i="2" s="1"/>
  <c r="G154" i="2"/>
  <c r="B155" i="2"/>
  <c r="F155" i="2"/>
  <c r="H155" i="2" s="1"/>
  <c r="G155" i="2"/>
  <c r="B156" i="2"/>
  <c r="F156" i="2"/>
  <c r="H156" i="2" s="1"/>
  <c r="G156" i="2"/>
  <c r="B157" i="2"/>
  <c r="F157" i="2"/>
  <c r="H157" i="2" s="1"/>
  <c r="G157" i="2"/>
  <c r="B158" i="2"/>
  <c r="F158" i="2"/>
  <c r="H158" i="2" s="1"/>
  <c r="G158" i="2"/>
  <c r="B159" i="2"/>
  <c r="F159" i="2"/>
  <c r="H159" i="2" s="1"/>
  <c r="G159" i="2"/>
  <c r="B160" i="2"/>
  <c r="F160" i="2"/>
  <c r="H160" i="2" s="1"/>
  <c r="G160" i="2"/>
  <c r="B161" i="2"/>
  <c r="F161" i="2"/>
  <c r="H161" i="2" s="1"/>
  <c r="G161" i="2"/>
  <c r="B162" i="2"/>
  <c r="F162" i="2"/>
  <c r="H162" i="2" s="1"/>
  <c r="G162" i="2"/>
  <c r="B163" i="2"/>
  <c r="F163" i="2"/>
  <c r="H163" i="2" s="1"/>
  <c r="G163" i="2"/>
  <c r="B164" i="2"/>
  <c r="F164" i="2"/>
  <c r="H164" i="2" s="1"/>
  <c r="G164" i="2"/>
  <c r="B165" i="2"/>
  <c r="F165" i="2"/>
  <c r="H165" i="2" s="1"/>
  <c r="G165" i="2"/>
  <c r="B166" i="2"/>
  <c r="F166" i="2"/>
  <c r="H166" i="2" s="1"/>
  <c r="G166" i="2"/>
  <c r="B167" i="2"/>
  <c r="F167" i="2"/>
  <c r="H167" i="2" s="1"/>
  <c r="G167" i="2"/>
  <c r="B168" i="2"/>
  <c r="F168" i="2"/>
  <c r="H168" i="2" s="1"/>
  <c r="G168" i="2"/>
  <c r="B169" i="2"/>
  <c r="F169" i="2"/>
  <c r="H169" i="2" s="1"/>
  <c r="G169" i="2"/>
  <c r="B170" i="2"/>
  <c r="F170" i="2"/>
  <c r="H170" i="2" s="1"/>
  <c r="G170" i="2"/>
  <c r="B171" i="2"/>
  <c r="F171" i="2"/>
  <c r="H171" i="2" s="1"/>
  <c r="G171" i="2"/>
  <c r="B172" i="2"/>
  <c r="F172" i="2"/>
  <c r="H172" i="2" s="1"/>
  <c r="G172" i="2"/>
  <c r="B173" i="2"/>
  <c r="F173" i="2"/>
  <c r="H173" i="2" s="1"/>
  <c r="G173" i="2"/>
  <c r="B174" i="2"/>
  <c r="F174" i="2"/>
  <c r="H174" i="2" s="1"/>
  <c r="G174" i="2"/>
  <c r="B175" i="2"/>
  <c r="F175" i="2"/>
  <c r="H175" i="2" s="1"/>
  <c r="G175" i="2"/>
  <c r="B176" i="2"/>
  <c r="F176" i="2"/>
  <c r="H176" i="2" s="1"/>
  <c r="G176" i="2"/>
  <c r="B177" i="2"/>
  <c r="F177" i="2"/>
  <c r="H177" i="2" s="1"/>
  <c r="G177" i="2"/>
  <c r="B178" i="2"/>
  <c r="F178" i="2"/>
  <c r="H178" i="2" s="1"/>
  <c r="G178" i="2"/>
  <c r="B179" i="2"/>
  <c r="F179" i="2"/>
  <c r="H179" i="2" s="1"/>
  <c r="G179" i="2"/>
  <c r="B180" i="2"/>
  <c r="F180" i="2"/>
  <c r="H180" i="2" s="1"/>
  <c r="G180" i="2"/>
  <c r="B181" i="2"/>
  <c r="F181" i="2"/>
  <c r="H181" i="2" s="1"/>
  <c r="G181" i="2"/>
  <c r="B182" i="2"/>
  <c r="F182" i="2"/>
  <c r="H182" i="2" s="1"/>
  <c r="G182" i="2"/>
  <c r="B183" i="2"/>
  <c r="F183" i="2"/>
  <c r="H183" i="2" s="1"/>
  <c r="G183" i="2"/>
  <c r="B184" i="2"/>
  <c r="F184" i="2"/>
  <c r="H184" i="2" s="1"/>
  <c r="G184" i="2"/>
  <c r="B185" i="2"/>
  <c r="F185" i="2"/>
  <c r="H185" i="2" s="1"/>
  <c r="G185" i="2"/>
  <c r="B186" i="2"/>
  <c r="F186" i="2"/>
  <c r="H186" i="2" s="1"/>
  <c r="G186" i="2"/>
  <c r="B187" i="2"/>
  <c r="F187" i="2"/>
  <c r="H187" i="2" s="1"/>
  <c r="G187" i="2"/>
  <c r="B188" i="2"/>
  <c r="F188" i="2"/>
  <c r="H188" i="2" s="1"/>
  <c r="G188" i="2"/>
  <c r="B189" i="2"/>
  <c r="F189" i="2"/>
  <c r="H189" i="2" s="1"/>
  <c r="G189" i="2"/>
  <c r="B190" i="2"/>
  <c r="F190" i="2"/>
  <c r="H190" i="2" s="1"/>
  <c r="G190" i="2"/>
  <c r="B191" i="2"/>
  <c r="F191" i="2"/>
  <c r="H191" i="2" s="1"/>
  <c r="G191" i="2"/>
  <c r="B192" i="2"/>
  <c r="F192" i="2"/>
  <c r="H192" i="2" s="1"/>
  <c r="G192" i="2"/>
  <c r="B193" i="2"/>
  <c r="F193" i="2"/>
  <c r="H193" i="2" s="1"/>
  <c r="G193" i="2"/>
  <c r="B194" i="2"/>
  <c r="F194" i="2"/>
  <c r="H194" i="2" s="1"/>
  <c r="G194" i="2"/>
  <c r="B195" i="2"/>
  <c r="F195" i="2"/>
  <c r="H195" i="2" s="1"/>
  <c r="G195" i="2"/>
  <c r="B196" i="2"/>
  <c r="F196" i="2"/>
  <c r="H196" i="2" s="1"/>
  <c r="G196" i="2"/>
  <c r="B197" i="2"/>
  <c r="F197" i="2"/>
  <c r="H197" i="2" s="1"/>
  <c r="G197" i="2"/>
  <c r="B198" i="2"/>
  <c r="F198" i="2"/>
  <c r="H198" i="2" s="1"/>
  <c r="G198" i="2"/>
  <c r="B199" i="2"/>
  <c r="F199" i="2"/>
  <c r="H199" i="2" s="1"/>
  <c r="G199" i="2"/>
  <c r="B200" i="2"/>
  <c r="F200" i="2"/>
  <c r="H200" i="2" s="1"/>
  <c r="G200" i="2"/>
  <c r="B201" i="2"/>
  <c r="F201" i="2"/>
  <c r="H201" i="2" s="1"/>
  <c r="G201" i="2"/>
  <c r="B202" i="2"/>
  <c r="F202" i="2"/>
  <c r="H202" i="2" s="1"/>
  <c r="G202" i="2"/>
  <c r="B203" i="2"/>
  <c r="F203" i="2"/>
  <c r="H203" i="2" s="1"/>
  <c r="G203" i="2"/>
  <c r="M5" i="4" l="1"/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I4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3" i="11"/>
  <c r="P3" i="9"/>
  <c r="P4" i="9"/>
  <c r="P5" i="9"/>
  <c r="P6" i="9"/>
  <c r="P7" i="9"/>
  <c r="P8" i="9"/>
  <c r="P10" i="9"/>
  <c r="P11" i="9"/>
  <c r="P12" i="9"/>
  <c r="P13" i="9"/>
  <c r="P14" i="9"/>
  <c r="P15" i="9"/>
  <c r="P16" i="9"/>
  <c r="P17" i="9"/>
  <c r="P18" i="9"/>
  <c r="P19" i="9"/>
  <c r="P20" i="9"/>
  <c r="P21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3" i="9"/>
  <c r="N3" i="8"/>
  <c r="N4" i="8"/>
  <c r="N5" i="8"/>
  <c r="N6" i="8"/>
  <c r="N7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3" i="8"/>
  <c r="P3" i="6"/>
  <c r="P5" i="6"/>
  <c r="P7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O5" i="6"/>
  <c r="O7" i="6"/>
  <c r="O9" i="6"/>
  <c r="O11" i="6"/>
  <c r="O12" i="6"/>
  <c r="O13" i="6"/>
  <c r="O14" i="6"/>
  <c r="O15" i="6"/>
  <c r="O16" i="6"/>
  <c r="O17" i="6"/>
  <c r="O18" i="6"/>
  <c r="O19" i="6"/>
  <c r="O20" i="6"/>
  <c r="O21" i="6"/>
  <c r="O3" i="6"/>
  <c r="N3" i="4"/>
  <c r="N5" i="4"/>
  <c r="N7" i="4"/>
  <c r="N9" i="4"/>
  <c r="N10" i="4"/>
  <c r="N11" i="4"/>
  <c r="N12" i="4"/>
  <c r="N13" i="4"/>
  <c r="N14" i="4"/>
  <c r="N15" i="4"/>
  <c r="N16" i="4"/>
  <c r="N17" i="4"/>
  <c r="N18" i="4"/>
  <c r="N19" i="4"/>
  <c r="N21" i="4"/>
  <c r="M7" i="4"/>
  <c r="M9" i="4"/>
  <c r="M11" i="4"/>
  <c r="M12" i="4"/>
  <c r="M13" i="4"/>
  <c r="M14" i="4"/>
  <c r="M15" i="4"/>
  <c r="M16" i="4"/>
  <c r="M17" i="4"/>
  <c r="M18" i="4"/>
  <c r="M19" i="4"/>
  <c r="M20" i="4"/>
  <c r="M21" i="4"/>
  <c r="M3" i="4"/>
  <c r="V104" i="5" l="1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V64" i="1"/>
  <c r="V63" i="5" s="1"/>
  <c r="U63" i="5"/>
  <c r="T63" i="5"/>
  <c r="S63" i="5"/>
  <c r="R63" i="5"/>
  <c r="V63" i="1"/>
  <c r="V62" i="5"/>
  <c r="U62" i="5"/>
  <c r="T62" i="5"/>
  <c r="S62" i="5"/>
  <c r="R62" i="5"/>
  <c r="V62" i="1"/>
  <c r="V61" i="5" s="1"/>
  <c r="U61" i="5"/>
  <c r="T62" i="1"/>
  <c r="T61" i="5" s="1"/>
  <c r="S62" i="1"/>
  <c r="S61" i="5" s="1"/>
  <c r="R62" i="1"/>
  <c r="R61" i="5" s="1"/>
  <c r="V61" i="1"/>
  <c r="V60" i="5" s="1"/>
  <c r="U60" i="5"/>
  <c r="T61" i="1"/>
  <c r="T60" i="5" s="1"/>
  <c r="S61" i="1"/>
  <c r="S60" i="5"/>
  <c r="R61" i="1"/>
  <c r="R60" i="5"/>
  <c r="V60" i="1"/>
  <c r="V59" i="5" s="1"/>
  <c r="U59" i="5"/>
  <c r="T60" i="1"/>
  <c r="T59" i="5" s="1"/>
  <c r="S60" i="1"/>
  <c r="S59" i="5" s="1"/>
  <c r="R60" i="1"/>
  <c r="R59" i="5" s="1"/>
  <c r="V59" i="1"/>
  <c r="V58" i="5"/>
  <c r="U58" i="5"/>
  <c r="T59" i="1"/>
  <c r="T58" i="5" s="1"/>
  <c r="S59" i="1"/>
  <c r="S58" i="5" s="1"/>
  <c r="R59" i="1"/>
  <c r="R58" i="5" s="1"/>
  <c r="V58" i="1"/>
  <c r="V57" i="5" s="1"/>
  <c r="U57" i="5"/>
  <c r="T58" i="1"/>
  <c r="T57" i="5" s="1"/>
  <c r="S58" i="1"/>
  <c r="S57" i="5" s="1"/>
  <c r="R58" i="1"/>
  <c r="R57" i="5"/>
  <c r="V57" i="1"/>
  <c r="V56" i="5" s="1"/>
  <c r="U56" i="5"/>
  <c r="T57" i="1"/>
  <c r="T56" i="5" s="1"/>
  <c r="S57" i="1"/>
  <c r="S56" i="5" s="1"/>
  <c r="R57" i="1"/>
  <c r="R56" i="5" s="1"/>
  <c r="V56" i="1"/>
  <c r="V55" i="5" s="1"/>
  <c r="U55" i="5"/>
  <c r="T56" i="1"/>
  <c r="T55" i="5" s="1"/>
  <c r="S56" i="1"/>
  <c r="S55" i="5"/>
  <c r="R56" i="1"/>
  <c r="R55" i="5" s="1"/>
  <c r="V55" i="1"/>
  <c r="V54" i="5" s="1"/>
  <c r="U54" i="5"/>
  <c r="T55" i="1"/>
  <c r="T54" i="5" s="1"/>
  <c r="S55" i="1"/>
  <c r="S54" i="5" s="1"/>
  <c r="R55" i="1"/>
  <c r="R54" i="5" s="1"/>
  <c r="V54" i="1"/>
  <c r="V53" i="5" s="1"/>
  <c r="U53" i="5"/>
  <c r="T54" i="1"/>
  <c r="T53" i="5" s="1"/>
  <c r="S54" i="1"/>
  <c r="S53" i="5" s="1"/>
  <c r="R54" i="1"/>
  <c r="R53" i="5" s="1"/>
  <c r="V53" i="1"/>
  <c r="V52" i="5" s="1"/>
  <c r="U52" i="5"/>
  <c r="T53" i="1"/>
  <c r="T52" i="5" s="1"/>
  <c r="S53" i="1"/>
  <c r="S52" i="5"/>
  <c r="R53" i="1"/>
  <c r="R52" i="5" s="1"/>
  <c r="V52" i="1"/>
  <c r="V51" i="5"/>
  <c r="U51" i="5"/>
  <c r="T52" i="1"/>
  <c r="T51" i="5" s="1"/>
  <c r="S52" i="1"/>
  <c r="S51" i="5" s="1"/>
  <c r="R52" i="1"/>
  <c r="R51" i="5" s="1"/>
  <c r="V51" i="1"/>
  <c r="V50" i="5" s="1"/>
  <c r="U50" i="5"/>
  <c r="T51" i="1"/>
  <c r="T50" i="5" s="1"/>
  <c r="S51" i="1"/>
  <c r="S50" i="5"/>
  <c r="R51" i="1"/>
  <c r="R50" i="5" s="1"/>
  <c r="V50" i="1"/>
  <c r="V49" i="5" s="1"/>
  <c r="U49" i="5"/>
  <c r="T50" i="1"/>
  <c r="T49" i="5" s="1"/>
  <c r="S50" i="1"/>
  <c r="S49" i="5" s="1"/>
  <c r="R50" i="1"/>
  <c r="R49" i="5" s="1"/>
  <c r="V49" i="1"/>
  <c r="V48" i="5" s="1"/>
  <c r="U48" i="5"/>
  <c r="T49" i="1"/>
  <c r="T48" i="5" s="1"/>
  <c r="S49" i="1"/>
  <c r="S48" i="5" s="1"/>
  <c r="R49" i="1"/>
  <c r="R48" i="5" s="1"/>
  <c r="V48" i="1"/>
  <c r="V47" i="5" s="1"/>
  <c r="U47" i="5"/>
  <c r="T48" i="1"/>
  <c r="T47" i="5" s="1"/>
  <c r="S48" i="1"/>
  <c r="S47" i="5"/>
  <c r="R48" i="1"/>
  <c r="R47" i="5" s="1"/>
  <c r="V47" i="1"/>
  <c r="V46" i="5" s="1"/>
  <c r="U46" i="5"/>
  <c r="T47" i="1"/>
  <c r="T46" i="5" s="1"/>
  <c r="S47" i="1"/>
  <c r="S46" i="5" s="1"/>
  <c r="R47" i="1"/>
  <c r="R46" i="5" s="1"/>
  <c r="V46" i="1"/>
  <c r="V45" i="5" s="1"/>
  <c r="U45" i="5"/>
  <c r="T46" i="1"/>
  <c r="T45" i="5" s="1"/>
  <c r="S46" i="1"/>
  <c r="S45" i="5" s="1"/>
  <c r="R46" i="1"/>
  <c r="R45" i="5" s="1"/>
  <c r="V45" i="1"/>
  <c r="V44" i="5" s="1"/>
  <c r="U44" i="5"/>
  <c r="T45" i="1"/>
  <c r="T44" i="5" s="1"/>
  <c r="S45" i="1"/>
  <c r="S44" i="5" s="1"/>
  <c r="R45" i="1"/>
  <c r="R44" i="5" s="1"/>
  <c r="V44" i="1"/>
  <c r="V43" i="5"/>
  <c r="U43" i="5"/>
  <c r="T44" i="1"/>
  <c r="T43" i="5" s="1"/>
  <c r="S44" i="1"/>
  <c r="S43" i="5" s="1"/>
  <c r="R44" i="1"/>
  <c r="R43" i="5" s="1"/>
  <c r="V43" i="1"/>
  <c r="V42" i="5" s="1"/>
  <c r="U42" i="5"/>
  <c r="T43" i="1"/>
  <c r="T42" i="5" s="1"/>
  <c r="S43" i="1"/>
  <c r="S42" i="5"/>
  <c r="R43" i="1"/>
  <c r="R42" i="5" s="1"/>
  <c r="V42" i="1"/>
  <c r="V41" i="5" s="1"/>
  <c r="U41" i="5"/>
  <c r="T42" i="1"/>
  <c r="T41" i="5" s="1"/>
  <c r="S42" i="1"/>
  <c r="S41" i="5" s="1"/>
  <c r="R42" i="1"/>
  <c r="R41" i="5" s="1"/>
  <c r="V41" i="1"/>
  <c r="V40" i="5" s="1"/>
  <c r="U40" i="5"/>
  <c r="T41" i="1"/>
  <c r="T40" i="5" s="1"/>
  <c r="S41" i="1"/>
  <c r="S40" i="5" s="1"/>
  <c r="R41" i="1"/>
  <c r="R40" i="5" s="1"/>
  <c r="V39" i="5"/>
  <c r="U39" i="5"/>
  <c r="T40" i="1"/>
  <c r="T39" i="5"/>
  <c r="S40" i="1"/>
  <c r="S39" i="5" s="1"/>
  <c r="R40" i="1"/>
  <c r="R39" i="5" s="1"/>
  <c r="V38" i="5"/>
  <c r="U38" i="5"/>
  <c r="T38" i="5"/>
  <c r="S38" i="5"/>
  <c r="R38" i="5"/>
  <c r="V37" i="5"/>
  <c r="U37" i="5"/>
  <c r="T37" i="5"/>
  <c r="S37" i="5"/>
  <c r="R37" i="5"/>
  <c r="V36" i="5"/>
  <c r="U36" i="5"/>
  <c r="T37" i="1"/>
  <c r="T36" i="5" s="1"/>
  <c r="S37" i="1"/>
  <c r="S36" i="5" s="1"/>
  <c r="R37" i="1"/>
  <c r="R36" i="5"/>
  <c r="V35" i="5"/>
  <c r="U35" i="5"/>
  <c r="T36" i="1"/>
  <c r="T35" i="5" s="1"/>
  <c r="S36" i="1"/>
  <c r="S35" i="5" s="1"/>
  <c r="R36" i="1"/>
  <c r="R35" i="5" s="1"/>
  <c r="V34" i="5"/>
  <c r="U34" i="5"/>
  <c r="T34" i="5"/>
  <c r="S34" i="5"/>
  <c r="R34" i="5"/>
  <c r="V33" i="5"/>
  <c r="U33" i="5"/>
  <c r="T33" i="5"/>
  <c r="S33" i="5"/>
  <c r="R33" i="5"/>
  <c r="V32" i="5"/>
  <c r="U32" i="5"/>
  <c r="T32" i="5"/>
  <c r="S32" i="5"/>
  <c r="R32" i="5"/>
  <c r="V31" i="5"/>
  <c r="U31" i="5"/>
  <c r="T31" i="5"/>
  <c r="S31" i="5"/>
  <c r="R31" i="5"/>
  <c r="V30" i="5"/>
  <c r="U30" i="5"/>
  <c r="T30" i="5"/>
  <c r="S30" i="5"/>
  <c r="R30" i="5"/>
  <c r="V29" i="5"/>
  <c r="U29" i="5"/>
  <c r="T29" i="5"/>
  <c r="S29" i="5"/>
  <c r="R29" i="5"/>
  <c r="V28" i="5"/>
  <c r="U28" i="5"/>
  <c r="T28" i="5"/>
  <c r="S28" i="5"/>
  <c r="R28" i="5"/>
  <c r="V27" i="5"/>
  <c r="U27" i="5"/>
  <c r="T27" i="5"/>
  <c r="S27" i="5"/>
  <c r="R27" i="5"/>
  <c r="V26" i="5"/>
  <c r="U26" i="5"/>
  <c r="T26" i="5"/>
  <c r="S26" i="5"/>
  <c r="R26" i="5"/>
  <c r="V25" i="5"/>
  <c r="U25" i="5"/>
  <c r="T25" i="5"/>
  <c r="S25" i="5"/>
  <c r="R25" i="5"/>
  <c r="V24" i="5"/>
  <c r="U24" i="5"/>
  <c r="T25" i="1"/>
  <c r="T24" i="5" s="1"/>
  <c r="S25" i="1"/>
  <c r="S24" i="5"/>
  <c r="R25" i="1"/>
  <c r="R24" i="5" s="1"/>
  <c r="V23" i="5"/>
  <c r="U23" i="5"/>
  <c r="T23" i="5"/>
  <c r="S23" i="5"/>
  <c r="R23" i="5"/>
  <c r="V22" i="5"/>
  <c r="U22" i="5"/>
  <c r="T22" i="5"/>
  <c r="S22" i="5"/>
  <c r="R22" i="5"/>
  <c r="V21" i="5"/>
  <c r="U21" i="5"/>
  <c r="T21" i="5"/>
  <c r="S21" i="5"/>
  <c r="R21" i="5"/>
  <c r="V20" i="5"/>
  <c r="U20" i="5"/>
  <c r="T20" i="5"/>
  <c r="S20" i="5"/>
  <c r="R20" i="5"/>
  <c r="V19" i="5"/>
  <c r="U19" i="5"/>
  <c r="T19" i="5"/>
  <c r="S19" i="5"/>
  <c r="R19" i="5"/>
  <c r="V18" i="5"/>
  <c r="U18" i="5"/>
  <c r="T19" i="1"/>
  <c r="T18" i="5" s="1"/>
  <c r="S19" i="1"/>
  <c r="S18" i="5" s="1"/>
  <c r="R19" i="1"/>
  <c r="R18" i="5" s="1"/>
  <c r="V17" i="5"/>
  <c r="U17" i="5"/>
  <c r="T17" i="5"/>
  <c r="S17" i="5"/>
  <c r="R17" i="5"/>
  <c r="V16" i="5"/>
  <c r="U16" i="5"/>
  <c r="T16" i="5"/>
  <c r="S16" i="5"/>
  <c r="R16" i="5"/>
  <c r="V15" i="5"/>
  <c r="U15" i="5"/>
  <c r="T15" i="5"/>
  <c r="S15" i="5"/>
  <c r="R15" i="5"/>
  <c r="V14" i="5"/>
  <c r="U14" i="5"/>
  <c r="T14" i="5"/>
  <c r="S14" i="5"/>
  <c r="R14" i="5"/>
  <c r="V13" i="5"/>
  <c r="U13" i="5"/>
  <c r="T13" i="5"/>
  <c r="S13" i="5"/>
  <c r="R13" i="5"/>
  <c r="V12" i="5"/>
  <c r="U12" i="5"/>
  <c r="T12" i="5"/>
  <c r="S12" i="5"/>
  <c r="R12" i="5"/>
  <c r="V11" i="5"/>
  <c r="U11" i="5"/>
  <c r="T11" i="5"/>
  <c r="S11" i="5"/>
  <c r="R11" i="5"/>
  <c r="V10" i="5"/>
  <c r="U10" i="5"/>
  <c r="T10" i="5"/>
  <c r="S10" i="5"/>
  <c r="R10" i="5"/>
  <c r="V9" i="5"/>
  <c r="U9" i="5"/>
  <c r="T9" i="5"/>
  <c r="S9" i="5"/>
  <c r="R9" i="5"/>
  <c r="V8" i="5"/>
  <c r="U8" i="5"/>
  <c r="T8" i="5"/>
  <c r="S8" i="5"/>
  <c r="R8" i="5"/>
  <c r="V7" i="5"/>
  <c r="U7" i="5"/>
  <c r="T7" i="5"/>
  <c r="S7" i="5"/>
  <c r="R7" i="5"/>
  <c r="V6" i="5"/>
  <c r="U6" i="5"/>
  <c r="T7" i="1"/>
  <c r="T6" i="5" s="1"/>
  <c r="S7" i="1"/>
  <c r="S6" i="5"/>
  <c r="R7" i="1"/>
  <c r="R6" i="5"/>
  <c r="V5" i="5"/>
  <c r="U5" i="5"/>
  <c r="T5" i="5"/>
  <c r="S5" i="5"/>
  <c r="R5" i="5"/>
  <c r="V4" i="5"/>
  <c r="U4" i="5"/>
  <c r="T4" i="5"/>
  <c r="S4" i="5"/>
  <c r="R4" i="5"/>
  <c r="D5" i="5"/>
  <c r="E5" i="5"/>
  <c r="F6" i="1"/>
  <c r="F5" i="5"/>
  <c r="G5" i="5"/>
  <c r="H6" i="1"/>
  <c r="H5" i="5" s="1"/>
  <c r="I5" i="5"/>
  <c r="J6" i="1"/>
  <c r="J5" i="5" s="1"/>
  <c r="K6" i="1"/>
  <c r="K5" i="5" s="1"/>
  <c r="L6" i="1"/>
  <c r="L5" i="5"/>
  <c r="M5" i="5"/>
  <c r="N5" i="5"/>
  <c r="O5" i="5"/>
  <c r="D6" i="5"/>
  <c r="E6" i="5"/>
  <c r="F7" i="1"/>
  <c r="F6" i="5" s="1"/>
  <c r="G6" i="5"/>
  <c r="H7" i="1"/>
  <c r="H6" i="5" s="1"/>
  <c r="I6" i="5"/>
  <c r="J7" i="1"/>
  <c r="J6" i="5" s="1"/>
  <c r="K7" i="1"/>
  <c r="K6" i="5" s="1"/>
  <c r="L7" i="1"/>
  <c r="L6" i="5" s="1"/>
  <c r="M7" i="1"/>
  <c r="M6" i="5" s="1"/>
  <c r="N7" i="1"/>
  <c r="N6" i="5" s="1"/>
  <c r="O7" i="1"/>
  <c r="O6" i="5" s="1"/>
  <c r="D7" i="5"/>
  <c r="E7" i="5"/>
  <c r="F8" i="1"/>
  <c r="F7" i="5" s="1"/>
  <c r="G7" i="5"/>
  <c r="H8" i="1"/>
  <c r="H7" i="5" s="1"/>
  <c r="I7" i="5"/>
  <c r="J8" i="1"/>
  <c r="J7" i="5" s="1"/>
  <c r="K7" i="5"/>
  <c r="L7" i="5"/>
  <c r="M7" i="5"/>
  <c r="N7" i="5"/>
  <c r="O7" i="5"/>
  <c r="D8" i="5"/>
  <c r="E8" i="5"/>
  <c r="F9" i="1"/>
  <c r="F8" i="5" s="1"/>
  <c r="G8" i="5"/>
  <c r="H9" i="1"/>
  <c r="H8" i="5" s="1"/>
  <c r="I8" i="5"/>
  <c r="J9" i="1"/>
  <c r="J8" i="5" s="1"/>
  <c r="K9" i="1"/>
  <c r="K8" i="5"/>
  <c r="L8" i="5"/>
  <c r="M8" i="5"/>
  <c r="N8" i="5"/>
  <c r="O8" i="5"/>
  <c r="D9" i="5"/>
  <c r="E9" i="5"/>
  <c r="F10" i="1"/>
  <c r="F9" i="5"/>
  <c r="G9" i="5"/>
  <c r="H10" i="1"/>
  <c r="H9" i="5" s="1"/>
  <c r="I9" i="5"/>
  <c r="J10" i="1"/>
  <c r="J9" i="5"/>
  <c r="K10" i="1"/>
  <c r="K9" i="5" s="1"/>
  <c r="L10" i="1"/>
  <c r="L9" i="5" s="1"/>
  <c r="M10" i="1"/>
  <c r="M9" i="5"/>
  <c r="N9" i="5"/>
  <c r="O9" i="5"/>
  <c r="D10" i="5"/>
  <c r="E10" i="5"/>
  <c r="F11" i="1"/>
  <c r="F10" i="5" s="1"/>
  <c r="G10" i="5"/>
  <c r="H11" i="1"/>
  <c r="H10" i="5" s="1"/>
  <c r="I10" i="5"/>
  <c r="J11" i="1"/>
  <c r="J10" i="5"/>
  <c r="K11" i="1"/>
  <c r="K10" i="5" s="1"/>
  <c r="L11" i="1"/>
  <c r="L10" i="5" s="1"/>
  <c r="M11" i="1"/>
  <c r="M10" i="5" s="1"/>
  <c r="N10" i="5"/>
  <c r="O10" i="5"/>
  <c r="D11" i="5"/>
  <c r="E11" i="5"/>
  <c r="F12" i="1"/>
  <c r="F11" i="5" s="1"/>
  <c r="G11" i="5"/>
  <c r="H12" i="1"/>
  <c r="H11" i="5" s="1"/>
  <c r="I11" i="5"/>
  <c r="J12" i="1"/>
  <c r="J11" i="5" s="1"/>
  <c r="K12" i="1"/>
  <c r="K11" i="5"/>
  <c r="L11" i="5"/>
  <c r="M11" i="5"/>
  <c r="N11" i="5"/>
  <c r="O11" i="5"/>
  <c r="D12" i="5"/>
  <c r="E12" i="5"/>
  <c r="F13" i="1"/>
  <c r="F12" i="5"/>
  <c r="G12" i="5"/>
  <c r="H13" i="1"/>
  <c r="H12" i="5" s="1"/>
  <c r="I12" i="5"/>
  <c r="J12" i="5"/>
  <c r="K12" i="5"/>
  <c r="L12" i="5"/>
  <c r="M12" i="5"/>
  <c r="N12" i="5"/>
  <c r="O12" i="5"/>
  <c r="D13" i="5"/>
  <c r="E13" i="5"/>
  <c r="F14" i="1"/>
  <c r="F13" i="5" s="1"/>
  <c r="G13" i="5"/>
  <c r="H14" i="1"/>
  <c r="H13" i="5" s="1"/>
  <c r="I13" i="5"/>
  <c r="J14" i="1"/>
  <c r="J13" i="5" s="1"/>
  <c r="K14" i="1"/>
  <c r="K13" i="5" s="1"/>
  <c r="L14" i="1"/>
  <c r="L13" i="5" s="1"/>
  <c r="M14" i="1"/>
  <c r="M13" i="5" s="1"/>
  <c r="N13" i="5"/>
  <c r="O13" i="5"/>
  <c r="D14" i="5"/>
  <c r="E14" i="5"/>
  <c r="F15" i="1"/>
  <c r="F14" i="5" s="1"/>
  <c r="G14" i="5"/>
  <c r="H15" i="1"/>
  <c r="H14" i="5" s="1"/>
  <c r="I14" i="5"/>
  <c r="J14" i="5"/>
  <c r="K14" i="5"/>
  <c r="L14" i="5"/>
  <c r="M14" i="5"/>
  <c r="N14" i="5"/>
  <c r="O14" i="5"/>
  <c r="D15" i="5"/>
  <c r="E15" i="5"/>
  <c r="F16" i="1"/>
  <c r="F15" i="5" s="1"/>
  <c r="G15" i="5"/>
  <c r="H16" i="1"/>
  <c r="H15" i="5" s="1"/>
  <c r="I15" i="5"/>
  <c r="J15" i="5"/>
  <c r="K15" i="5"/>
  <c r="L15" i="5"/>
  <c r="M15" i="5"/>
  <c r="N15" i="5"/>
  <c r="O15" i="5"/>
  <c r="D16" i="5"/>
  <c r="E17" i="1"/>
  <c r="E16" i="5" s="1"/>
  <c r="F17" i="1"/>
  <c r="F16" i="5"/>
  <c r="G16" i="5"/>
  <c r="H17" i="1"/>
  <c r="H16" i="5" s="1"/>
  <c r="I17" i="1"/>
  <c r="I16" i="5" s="1"/>
  <c r="J16" i="5"/>
  <c r="K16" i="5"/>
  <c r="L16" i="5"/>
  <c r="M16" i="5"/>
  <c r="N16" i="5"/>
  <c r="O16" i="5"/>
  <c r="D17" i="5"/>
  <c r="E18" i="1"/>
  <c r="E17" i="5" s="1"/>
  <c r="F18" i="1"/>
  <c r="F17" i="5" s="1"/>
  <c r="G17" i="5"/>
  <c r="H17" i="5"/>
  <c r="I17" i="5"/>
  <c r="J17" i="5"/>
  <c r="K17" i="5"/>
  <c r="L17" i="5"/>
  <c r="M17" i="5"/>
  <c r="N17" i="5"/>
  <c r="O17" i="5"/>
  <c r="D18" i="5"/>
  <c r="E19" i="1"/>
  <c r="E18" i="5" s="1"/>
  <c r="F19" i="1"/>
  <c r="F18" i="5" s="1"/>
  <c r="G18" i="5"/>
  <c r="H19" i="1"/>
  <c r="H18" i="5" s="1"/>
  <c r="I19" i="1"/>
  <c r="I18" i="5" s="1"/>
  <c r="J19" i="1"/>
  <c r="J18" i="5" s="1"/>
  <c r="K19" i="1"/>
  <c r="K18" i="5" s="1"/>
  <c r="L19" i="1"/>
  <c r="L18" i="5" s="1"/>
  <c r="M19" i="1"/>
  <c r="M18" i="5"/>
  <c r="N19" i="1"/>
  <c r="N18" i="5" s="1"/>
  <c r="O19" i="1"/>
  <c r="O18" i="5"/>
  <c r="D19" i="5"/>
  <c r="E20" i="1"/>
  <c r="E19" i="5" s="1"/>
  <c r="F20" i="1"/>
  <c r="F19" i="5" s="1"/>
  <c r="G19" i="5"/>
  <c r="H19" i="5"/>
  <c r="I19" i="5"/>
  <c r="J19" i="5"/>
  <c r="K19" i="5"/>
  <c r="L19" i="5"/>
  <c r="M19" i="5"/>
  <c r="N19" i="5"/>
  <c r="O19" i="5"/>
  <c r="D20" i="5"/>
  <c r="E21" i="1"/>
  <c r="E20" i="5" s="1"/>
  <c r="F21" i="1"/>
  <c r="F20" i="5" s="1"/>
  <c r="G20" i="5"/>
  <c r="H21" i="1"/>
  <c r="H20" i="5" s="1"/>
  <c r="I21" i="1"/>
  <c r="I20" i="5" s="1"/>
  <c r="J21" i="1"/>
  <c r="J20" i="5" s="1"/>
  <c r="K21" i="1"/>
  <c r="K20" i="5" s="1"/>
  <c r="L21" i="1"/>
  <c r="L20" i="5"/>
  <c r="M20" i="5"/>
  <c r="N20" i="5"/>
  <c r="O20" i="5"/>
  <c r="D21" i="5"/>
  <c r="E22" i="1"/>
  <c r="E21" i="5" s="1"/>
  <c r="F22" i="1"/>
  <c r="F21" i="5"/>
  <c r="G21" i="5"/>
  <c r="H21" i="5"/>
  <c r="I21" i="5"/>
  <c r="J21" i="5"/>
  <c r="K21" i="5"/>
  <c r="L21" i="5"/>
  <c r="M21" i="5"/>
  <c r="N21" i="5"/>
  <c r="O21" i="5"/>
  <c r="D22" i="5"/>
  <c r="E23" i="1"/>
  <c r="E22" i="5" s="1"/>
  <c r="F23" i="1"/>
  <c r="F22" i="5" s="1"/>
  <c r="G23" i="1"/>
  <c r="G22" i="5" s="1"/>
  <c r="H23" i="1"/>
  <c r="H22" i="5" s="1"/>
  <c r="I23" i="1"/>
  <c r="I22" i="5" s="1"/>
  <c r="J22" i="5"/>
  <c r="K22" i="5"/>
  <c r="L22" i="5"/>
  <c r="M22" i="5"/>
  <c r="N22" i="5"/>
  <c r="O22" i="5"/>
  <c r="D23" i="5"/>
  <c r="E24" i="1"/>
  <c r="E23" i="5" s="1"/>
  <c r="F24" i="1"/>
  <c r="F23" i="5" s="1"/>
  <c r="G24" i="1"/>
  <c r="G23" i="5" s="1"/>
  <c r="H23" i="5"/>
  <c r="I23" i="5"/>
  <c r="J23" i="5"/>
  <c r="K23" i="5"/>
  <c r="L23" i="5"/>
  <c r="M23" i="5"/>
  <c r="N23" i="5"/>
  <c r="O23" i="5"/>
  <c r="D24" i="5"/>
  <c r="E25" i="1"/>
  <c r="E24" i="5" s="1"/>
  <c r="F25" i="1"/>
  <c r="F24" i="5" s="1"/>
  <c r="G25" i="1"/>
  <c r="G24" i="5"/>
  <c r="H25" i="1"/>
  <c r="H24" i="5" s="1"/>
  <c r="I25" i="1"/>
  <c r="I24" i="5" s="1"/>
  <c r="J25" i="1"/>
  <c r="J24" i="5"/>
  <c r="K25" i="1"/>
  <c r="K24" i="5" s="1"/>
  <c r="L25" i="1"/>
  <c r="L24" i="5" s="1"/>
  <c r="M25" i="1"/>
  <c r="M24" i="5" s="1"/>
  <c r="N25" i="1"/>
  <c r="N24" i="5" s="1"/>
  <c r="O25" i="1"/>
  <c r="O24" i="5" s="1"/>
  <c r="D25" i="5"/>
  <c r="E26" i="1"/>
  <c r="E25" i="5" s="1"/>
  <c r="F26" i="1"/>
  <c r="F25" i="5" s="1"/>
  <c r="G25" i="5"/>
  <c r="H25" i="5"/>
  <c r="I25" i="5"/>
  <c r="J25" i="5"/>
  <c r="K25" i="5"/>
  <c r="L25" i="5"/>
  <c r="M25" i="5"/>
  <c r="N25" i="5"/>
  <c r="O25" i="5"/>
  <c r="D26" i="5"/>
  <c r="E27" i="1"/>
  <c r="E26" i="5" s="1"/>
  <c r="F27" i="1"/>
  <c r="F26" i="5" s="1"/>
  <c r="G26" i="5"/>
  <c r="H26" i="5"/>
  <c r="I26" i="5"/>
  <c r="J26" i="5"/>
  <c r="K26" i="5"/>
  <c r="L26" i="5"/>
  <c r="M26" i="5"/>
  <c r="N26" i="5"/>
  <c r="O26" i="5"/>
  <c r="D27" i="5"/>
  <c r="E28" i="1"/>
  <c r="E27" i="5" s="1"/>
  <c r="F28" i="1"/>
  <c r="F27" i="5" s="1"/>
  <c r="G27" i="5"/>
  <c r="H27" i="5"/>
  <c r="I27" i="5"/>
  <c r="J27" i="5"/>
  <c r="K27" i="5"/>
  <c r="L27" i="5"/>
  <c r="M27" i="5"/>
  <c r="N27" i="5"/>
  <c r="O27" i="5"/>
  <c r="D28" i="5"/>
  <c r="E29" i="1"/>
  <c r="E28" i="5" s="1"/>
  <c r="F29" i="1"/>
  <c r="F28" i="5" s="1"/>
  <c r="G28" i="5"/>
  <c r="H28" i="5"/>
  <c r="I28" i="5"/>
  <c r="J28" i="5"/>
  <c r="K28" i="5"/>
  <c r="L28" i="5"/>
  <c r="M28" i="5"/>
  <c r="N28" i="5"/>
  <c r="O28" i="5"/>
  <c r="D29" i="5"/>
  <c r="E30" i="1"/>
  <c r="E29" i="5" s="1"/>
  <c r="F30" i="1"/>
  <c r="F29" i="5" s="1"/>
  <c r="G30" i="1"/>
  <c r="G29" i="5" s="1"/>
  <c r="H30" i="1"/>
  <c r="H29" i="5" s="1"/>
  <c r="I29" i="5"/>
  <c r="J29" i="5"/>
  <c r="K29" i="5"/>
  <c r="L29" i="5"/>
  <c r="M29" i="5"/>
  <c r="N29" i="5"/>
  <c r="O29" i="5"/>
  <c r="D30" i="5"/>
  <c r="E31" i="1"/>
  <c r="E30" i="5"/>
  <c r="F30" i="5"/>
  <c r="G30" i="5"/>
  <c r="H30" i="5"/>
  <c r="I30" i="5"/>
  <c r="J30" i="5"/>
  <c r="K30" i="5"/>
  <c r="L30" i="5"/>
  <c r="M30" i="5"/>
  <c r="N30" i="5"/>
  <c r="O30" i="5"/>
  <c r="D31" i="5"/>
  <c r="E32" i="1"/>
  <c r="E31" i="5"/>
  <c r="F32" i="1"/>
  <c r="F31" i="5" s="1"/>
  <c r="G31" i="5"/>
  <c r="H31" i="5"/>
  <c r="I31" i="5"/>
  <c r="J31" i="5"/>
  <c r="K31" i="5"/>
  <c r="L31" i="5"/>
  <c r="M31" i="5"/>
  <c r="N31" i="5"/>
  <c r="O31" i="5"/>
  <c r="D32" i="5"/>
  <c r="E33" i="1"/>
  <c r="E32" i="5" s="1"/>
  <c r="F33" i="1"/>
  <c r="F32" i="5" s="1"/>
  <c r="G33" i="1"/>
  <c r="G32" i="5" s="1"/>
  <c r="H32" i="5"/>
  <c r="I32" i="5"/>
  <c r="J32" i="5"/>
  <c r="K32" i="5"/>
  <c r="L32" i="5"/>
  <c r="M32" i="5"/>
  <c r="N32" i="5"/>
  <c r="O32" i="5"/>
  <c r="D33" i="5"/>
  <c r="E34" i="1"/>
  <c r="E33" i="5" s="1"/>
  <c r="F34" i="1"/>
  <c r="F33" i="5" s="1"/>
  <c r="G33" i="5"/>
  <c r="H33" i="5"/>
  <c r="I33" i="5"/>
  <c r="J33" i="5"/>
  <c r="K33" i="5"/>
  <c r="L33" i="5"/>
  <c r="M33" i="5"/>
  <c r="N33" i="5"/>
  <c r="O33" i="5"/>
  <c r="D34" i="5"/>
  <c r="E34" i="5"/>
  <c r="F34" i="5"/>
  <c r="G34" i="5"/>
  <c r="H34" i="5"/>
  <c r="I34" i="5"/>
  <c r="J34" i="5"/>
  <c r="K34" i="5"/>
  <c r="L34" i="5"/>
  <c r="M34" i="5"/>
  <c r="N34" i="5"/>
  <c r="O34" i="5"/>
  <c r="D35" i="5"/>
  <c r="E35" i="5"/>
  <c r="F36" i="1"/>
  <c r="F35" i="5" s="1"/>
  <c r="G36" i="1"/>
  <c r="G35" i="5" s="1"/>
  <c r="H36" i="1"/>
  <c r="H35" i="5" s="1"/>
  <c r="I36" i="1"/>
  <c r="I35" i="5" s="1"/>
  <c r="J36" i="1"/>
  <c r="J35" i="5"/>
  <c r="K36" i="1"/>
  <c r="K35" i="5"/>
  <c r="L36" i="1"/>
  <c r="L35" i="5" s="1"/>
  <c r="M36" i="1"/>
  <c r="M35" i="5" s="1"/>
  <c r="N36" i="1"/>
  <c r="N35" i="5" s="1"/>
  <c r="O36" i="1"/>
  <c r="O35" i="5" s="1"/>
  <c r="D36" i="5"/>
  <c r="E36" i="5"/>
  <c r="F37" i="1"/>
  <c r="F36" i="5" s="1"/>
  <c r="G37" i="1"/>
  <c r="G36" i="5" s="1"/>
  <c r="H37" i="1"/>
  <c r="H36" i="5" s="1"/>
  <c r="I37" i="1"/>
  <c r="I36" i="5" s="1"/>
  <c r="J37" i="1"/>
  <c r="J36" i="5" s="1"/>
  <c r="K37" i="1"/>
  <c r="K36" i="5"/>
  <c r="L37" i="1"/>
  <c r="L36" i="5"/>
  <c r="M37" i="1"/>
  <c r="M36" i="5" s="1"/>
  <c r="N37" i="1"/>
  <c r="N36" i="5" s="1"/>
  <c r="O37" i="1"/>
  <c r="O36" i="5" s="1"/>
  <c r="D37" i="5"/>
  <c r="E38" i="1"/>
  <c r="E37" i="5" s="1"/>
  <c r="F37" i="5"/>
  <c r="G37" i="5"/>
  <c r="H37" i="5"/>
  <c r="I37" i="5"/>
  <c r="J37" i="5"/>
  <c r="K37" i="5"/>
  <c r="L37" i="5"/>
  <c r="M37" i="5"/>
  <c r="N37" i="5"/>
  <c r="O37" i="5"/>
  <c r="D38" i="5"/>
  <c r="E39" i="1"/>
  <c r="E38" i="5" s="1"/>
  <c r="F38" i="5"/>
  <c r="G38" i="5"/>
  <c r="H38" i="5"/>
  <c r="I38" i="5"/>
  <c r="J38" i="5"/>
  <c r="K38" i="5"/>
  <c r="L38" i="5"/>
  <c r="M38" i="5"/>
  <c r="N38" i="5"/>
  <c r="O38" i="5"/>
  <c r="D39" i="5"/>
  <c r="E40" i="1"/>
  <c r="E39" i="5" s="1"/>
  <c r="F40" i="1"/>
  <c r="F39" i="5" s="1"/>
  <c r="G40" i="1"/>
  <c r="G39" i="5" s="1"/>
  <c r="H40" i="1"/>
  <c r="H39" i="5" s="1"/>
  <c r="I40" i="1"/>
  <c r="I39" i="5" s="1"/>
  <c r="J40" i="1"/>
  <c r="J39" i="5" s="1"/>
  <c r="K40" i="1"/>
  <c r="K39" i="5" s="1"/>
  <c r="L40" i="1"/>
  <c r="L39" i="5" s="1"/>
  <c r="M40" i="1"/>
  <c r="M39" i="5" s="1"/>
  <c r="N40" i="1"/>
  <c r="N39" i="5" s="1"/>
  <c r="O40" i="1"/>
  <c r="O39" i="5" s="1"/>
  <c r="D40" i="5"/>
  <c r="E40" i="5"/>
  <c r="F40" i="5"/>
  <c r="G40" i="5"/>
  <c r="H40" i="5"/>
  <c r="I40" i="5"/>
  <c r="J41" i="1"/>
  <c r="J40" i="5" s="1"/>
  <c r="K41" i="1"/>
  <c r="K40" i="5" s="1"/>
  <c r="L41" i="1"/>
  <c r="L40" i="5" s="1"/>
  <c r="M41" i="1"/>
  <c r="M40" i="5" s="1"/>
  <c r="N41" i="1"/>
  <c r="N40" i="5" s="1"/>
  <c r="O41" i="1"/>
  <c r="O40" i="5"/>
  <c r="D41" i="5"/>
  <c r="E41" i="5"/>
  <c r="F41" i="5"/>
  <c r="G41" i="5"/>
  <c r="H41" i="5"/>
  <c r="I41" i="5"/>
  <c r="J42" i="1"/>
  <c r="J41" i="5"/>
  <c r="K42" i="1"/>
  <c r="K41" i="5" s="1"/>
  <c r="L42" i="1"/>
  <c r="L41" i="5" s="1"/>
  <c r="M42" i="1"/>
  <c r="M41" i="5" s="1"/>
  <c r="N42" i="1"/>
  <c r="N41" i="5"/>
  <c r="O42" i="1"/>
  <c r="O41" i="5" s="1"/>
  <c r="D42" i="5"/>
  <c r="E42" i="5"/>
  <c r="F42" i="5"/>
  <c r="G42" i="5"/>
  <c r="H42" i="5"/>
  <c r="I42" i="5"/>
  <c r="J43" i="1"/>
  <c r="J42" i="5" s="1"/>
  <c r="K43" i="1"/>
  <c r="K42" i="5" s="1"/>
  <c r="L43" i="1"/>
  <c r="L42" i="5" s="1"/>
  <c r="M43" i="1"/>
  <c r="M42" i="5" s="1"/>
  <c r="N43" i="1"/>
  <c r="N42" i="5" s="1"/>
  <c r="O43" i="1"/>
  <c r="O42" i="5" s="1"/>
  <c r="D43" i="5"/>
  <c r="E43" i="5"/>
  <c r="F43" i="5"/>
  <c r="G43" i="5"/>
  <c r="H43" i="5"/>
  <c r="I43" i="5"/>
  <c r="J44" i="1"/>
  <c r="J43" i="5" s="1"/>
  <c r="K44" i="1"/>
  <c r="K43" i="5" s="1"/>
  <c r="L44" i="1"/>
  <c r="L43" i="5"/>
  <c r="M44" i="1"/>
  <c r="M43" i="5" s="1"/>
  <c r="N44" i="1"/>
  <c r="N43" i="5" s="1"/>
  <c r="O44" i="1"/>
  <c r="O43" i="5" s="1"/>
  <c r="D44" i="5"/>
  <c r="E44" i="5"/>
  <c r="F44" i="5"/>
  <c r="G44" i="5"/>
  <c r="H44" i="5"/>
  <c r="I44" i="5"/>
  <c r="J45" i="1"/>
  <c r="J44" i="5" s="1"/>
  <c r="K45" i="1"/>
  <c r="K44" i="5" s="1"/>
  <c r="L45" i="1"/>
  <c r="L44" i="5" s="1"/>
  <c r="M45" i="1"/>
  <c r="M44" i="5" s="1"/>
  <c r="N45" i="1"/>
  <c r="N44" i="5" s="1"/>
  <c r="O45" i="1"/>
  <c r="O44" i="5" s="1"/>
  <c r="D45" i="5"/>
  <c r="E45" i="5"/>
  <c r="F45" i="5"/>
  <c r="G45" i="5"/>
  <c r="H46" i="1"/>
  <c r="H45" i="5" s="1"/>
  <c r="I45" i="5"/>
  <c r="J46" i="1"/>
  <c r="J45" i="5" s="1"/>
  <c r="K46" i="1"/>
  <c r="K45" i="5"/>
  <c r="L46" i="1"/>
  <c r="L45" i="5"/>
  <c r="M46" i="1"/>
  <c r="M45" i="5"/>
  <c r="N46" i="1"/>
  <c r="N45" i="5" s="1"/>
  <c r="O46" i="1"/>
  <c r="O45" i="5" s="1"/>
  <c r="D46" i="5"/>
  <c r="E46" i="5"/>
  <c r="F46" i="5"/>
  <c r="G46" i="5"/>
  <c r="H47" i="1"/>
  <c r="H46" i="5" s="1"/>
  <c r="I46" i="5"/>
  <c r="J47" i="1"/>
  <c r="J46" i="5" s="1"/>
  <c r="K47" i="1"/>
  <c r="K46" i="5" s="1"/>
  <c r="L47" i="1"/>
  <c r="L46" i="5"/>
  <c r="M47" i="1"/>
  <c r="M46" i="5" s="1"/>
  <c r="N47" i="1"/>
  <c r="N46" i="5" s="1"/>
  <c r="O47" i="1"/>
  <c r="O46" i="5" s="1"/>
  <c r="D47" i="5"/>
  <c r="E47" i="5"/>
  <c r="F47" i="5"/>
  <c r="G47" i="5"/>
  <c r="H48" i="1"/>
  <c r="H47" i="5" s="1"/>
  <c r="I47" i="5"/>
  <c r="J48" i="1"/>
  <c r="J47" i="5" s="1"/>
  <c r="K48" i="1"/>
  <c r="K47" i="5" s="1"/>
  <c r="L48" i="1"/>
  <c r="L47" i="5" s="1"/>
  <c r="M48" i="1"/>
  <c r="M47" i="5"/>
  <c r="N48" i="1"/>
  <c r="N47" i="5" s="1"/>
  <c r="O48" i="1"/>
  <c r="O47" i="5" s="1"/>
  <c r="D48" i="5"/>
  <c r="E48" i="5"/>
  <c r="F48" i="5"/>
  <c r="G48" i="5"/>
  <c r="H49" i="1"/>
  <c r="H48" i="5"/>
  <c r="I49" i="1"/>
  <c r="I48" i="5" s="1"/>
  <c r="J49" i="1"/>
  <c r="J48" i="5" s="1"/>
  <c r="K49" i="1"/>
  <c r="K48" i="5" s="1"/>
  <c r="L49" i="1"/>
  <c r="L48" i="5"/>
  <c r="M49" i="1"/>
  <c r="M48" i="5" s="1"/>
  <c r="N49" i="1"/>
  <c r="N48" i="5"/>
  <c r="O49" i="1"/>
  <c r="O48" i="5" s="1"/>
  <c r="D49" i="5"/>
  <c r="E49" i="5"/>
  <c r="F49" i="5"/>
  <c r="G49" i="5"/>
  <c r="H50" i="1"/>
  <c r="H49" i="5"/>
  <c r="I50" i="1"/>
  <c r="I49" i="5" s="1"/>
  <c r="J50" i="1"/>
  <c r="J49" i="5" s="1"/>
  <c r="K50" i="1"/>
  <c r="K49" i="5" s="1"/>
  <c r="L50" i="1"/>
  <c r="L49" i="5" s="1"/>
  <c r="M50" i="1"/>
  <c r="M49" i="5" s="1"/>
  <c r="N50" i="1"/>
  <c r="N49" i="5" s="1"/>
  <c r="O50" i="1"/>
  <c r="O49" i="5" s="1"/>
  <c r="D50" i="5"/>
  <c r="E50" i="5"/>
  <c r="F50" i="5"/>
  <c r="G50" i="5"/>
  <c r="H51" i="1"/>
  <c r="H50" i="5" s="1"/>
  <c r="I51" i="1"/>
  <c r="I50" i="5" s="1"/>
  <c r="J51" i="1"/>
  <c r="J50" i="5" s="1"/>
  <c r="K51" i="1"/>
  <c r="K50" i="5" s="1"/>
  <c r="L51" i="1"/>
  <c r="L50" i="5" s="1"/>
  <c r="M51" i="1"/>
  <c r="M50" i="5" s="1"/>
  <c r="N51" i="1"/>
  <c r="N50" i="5" s="1"/>
  <c r="O51" i="1"/>
  <c r="O50" i="5"/>
  <c r="D51" i="5"/>
  <c r="E51" i="5"/>
  <c r="F51" i="5"/>
  <c r="G51" i="5"/>
  <c r="H52" i="1"/>
  <c r="H51" i="5" s="1"/>
  <c r="I52" i="1"/>
  <c r="I51" i="5"/>
  <c r="J52" i="1"/>
  <c r="J51" i="5"/>
  <c r="K52" i="1"/>
  <c r="K51" i="5" s="1"/>
  <c r="L52" i="1"/>
  <c r="L51" i="5" s="1"/>
  <c r="M52" i="1"/>
  <c r="M51" i="5" s="1"/>
  <c r="N52" i="1"/>
  <c r="N51" i="5" s="1"/>
  <c r="O52" i="1"/>
  <c r="O51" i="5" s="1"/>
  <c r="D52" i="5"/>
  <c r="E52" i="5"/>
  <c r="F52" i="5"/>
  <c r="G52" i="5"/>
  <c r="H52" i="5"/>
  <c r="I53" i="1"/>
  <c r="I52" i="5" s="1"/>
  <c r="J53" i="1"/>
  <c r="J52" i="5" s="1"/>
  <c r="K53" i="1"/>
  <c r="K52" i="5" s="1"/>
  <c r="L53" i="1"/>
  <c r="L52" i="5" s="1"/>
  <c r="M53" i="1"/>
  <c r="M52" i="5" s="1"/>
  <c r="N53" i="1"/>
  <c r="N52" i="5" s="1"/>
  <c r="O53" i="1"/>
  <c r="O52" i="5" s="1"/>
  <c r="D53" i="5"/>
  <c r="E53" i="5"/>
  <c r="F53" i="5"/>
  <c r="G53" i="5"/>
  <c r="H53" i="5"/>
  <c r="I54" i="1"/>
  <c r="I53" i="5"/>
  <c r="J54" i="1"/>
  <c r="J53" i="5" s="1"/>
  <c r="K54" i="1"/>
  <c r="K53" i="5" s="1"/>
  <c r="L54" i="1"/>
  <c r="L53" i="5" s="1"/>
  <c r="M54" i="1"/>
  <c r="M53" i="5" s="1"/>
  <c r="N54" i="1"/>
  <c r="N53" i="5" s="1"/>
  <c r="O54" i="1"/>
  <c r="O53" i="5" s="1"/>
  <c r="D54" i="5"/>
  <c r="E54" i="5"/>
  <c r="F54" i="5"/>
  <c r="G54" i="5"/>
  <c r="H55" i="1"/>
  <c r="H54" i="5" s="1"/>
  <c r="I55" i="1"/>
  <c r="I54" i="5" s="1"/>
  <c r="J55" i="1"/>
  <c r="J54" i="5" s="1"/>
  <c r="K55" i="1"/>
  <c r="K54" i="5" s="1"/>
  <c r="L55" i="1"/>
  <c r="L54" i="5" s="1"/>
  <c r="M55" i="1"/>
  <c r="M54" i="5" s="1"/>
  <c r="N55" i="1"/>
  <c r="N54" i="5" s="1"/>
  <c r="O55" i="1"/>
  <c r="O54" i="5" s="1"/>
  <c r="D55" i="5"/>
  <c r="E55" i="5"/>
  <c r="F55" i="5"/>
  <c r="G55" i="5"/>
  <c r="H55" i="5"/>
  <c r="I56" i="1"/>
  <c r="I55" i="5" s="1"/>
  <c r="J56" i="1"/>
  <c r="J55" i="5" s="1"/>
  <c r="K56" i="1"/>
  <c r="K55" i="5" s="1"/>
  <c r="L56" i="1"/>
  <c r="L55" i="5"/>
  <c r="M56" i="1"/>
  <c r="M55" i="5" s="1"/>
  <c r="N56" i="1"/>
  <c r="N55" i="5" s="1"/>
  <c r="O56" i="1"/>
  <c r="O55" i="5" s="1"/>
  <c r="D56" i="5"/>
  <c r="E56" i="5"/>
  <c r="F56" i="5"/>
  <c r="G56" i="5"/>
  <c r="H56" i="5"/>
  <c r="I57" i="1"/>
  <c r="I56" i="5" s="1"/>
  <c r="J57" i="1"/>
  <c r="J56" i="5" s="1"/>
  <c r="K57" i="1"/>
  <c r="K56" i="5" s="1"/>
  <c r="L57" i="1"/>
  <c r="L56" i="5" s="1"/>
  <c r="M57" i="1"/>
  <c r="M56" i="5"/>
  <c r="N57" i="1"/>
  <c r="N56" i="5" s="1"/>
  <c r="O57" i="1"/>
  <c r="O56" i="5" s="1"/>
  <c r="D57" i="5"/>
  <c r="E57" i="5"/>
  <c r="F57" i="5"/>
  <c r="G57" i="5"/>
  <c r="H57" i="5"/>
  <c r="I58" i="1"/>
  <c r="I57" i="5" s="1"/>
  <c r="J58" i="1"/>
  <c r="J57" i="5" s="1"/>
  <c r="K58" i="1"/>
  <c r="K57" i="5" s="1"/>
  <c r="L58" i="1"/>
  <c r="L57" i="5" s="1"/>
  <c r="M58" i="1"/>
  <c r="M57" i="5"/>
  <c r="N58" i="1"/>
  <c r="N57" i="5" s="1"/>
  <c r="O58" i="1"/>
  <c r="O57" i="5" s="1"/>
  <c r="D58" i="5"/>
  <c r="E58" i="5"/>
  <c r="F58" i="5"/>
  <c r="G58" i="5"/>
  <c r="H58" i="5"/>
  <c r="I59" i="1"/>
  <c r="I58" i="5" s="1"/>
  <c r="J59" i="1"/>
  <c r="J58" i="5" s="1"/>
  <c r="K59" i="1"/>
  <c r="K58" i="5" s="1"/>
  <c r="L59" i="1"/>
  <c r="L58" i="5" s="1"/>
  <c r="M59" i="1"/>
  <c r="M58" i="5"/>
  <c r="N59" i="1"/>
  <c r="N58" i="5"/>
  <c r="O59" i="1"/>
  <c r="O58" i="5" s="1"/>
  <c r="D59" i="5"/>
  <c r="E59" i="5"/>
  <c r="F59" i="5"/>
  <c r="G59" i="5"/>
  <c r="H59" i="5"/>
  <c r="I60" i="1"/>
  <c r="I59" i="5" s="1"/>
  <c r="J60" i="1"/>
  <c r="J59" i="5" s="1"/>
  <c r="K60" i="1"/>
  <c r="K59" i="5" s="1"/>
  <c r="L60" i="1"/>
  <c r="L59" i="5" s="1"/>
  <c r="M60" i="1"/>
  <c r="M59" i="5" s="1"/>
  <c r="N60" i="1"/>
  <c r="N59" i="5" s="1"/>
  <c r="O60" i="1"/>
  <c r="O59" i="5" s="1"/>
  <c r="D60" i="5"/>
  <c r="E60" i="5"/>
  <c r="F60" i="5"/>
  <c r="G60" i="5"/>
  <c r="H60" i="5"/>
  <c r="I60" i="5"/>
  <c r="J60" i="5"/>
  <c r="K60" i="5"/>
  <c r="L61" i="1"/>
  <c r="L60" i="5" s="1"/>
  <c r="M61" i="1"/>
  <c r="M60" i="5" s="1"/>
  <c r="N61" i="1"/>
  <c r="N60" i="5"/>
  <c r="O61" i="1"/>
  <c r="O60" i="5" s="1"/>
  <c r="D61" i="5"/>
  <c r="E61" i="5"/>
  <c r="F61" i="5"/>
  <c r="G61" i="5"/>
  <c r="H61" i="5"/>
  <c r="I61" i="5"/>
  <c r="J61" i="5"/>
  <c r="K61" i="5"/>
  <c r="L62" i="1"/>
  <c r="L61" i="5" s="1"/>
  <c r="M62" i="1"/>
  <c r="M61" i="5" s="1"/>
  <c r="N62" i="1"/>
  <c r="N61" i="5" s="1"/>
  <c r="O62" i="1"/>
  <c r="O61" i="5" s="1"/>
  <c r="D62" i="5"/>
  <c r="E62" i="5"/>
  <c r="F62" i="5"/>
  <c r="G62" i="5"/>
  <c r="H62" i="5"/>
  <c r="I62" i="5"/>
  <c r="J62" i="5"/>
  <c r="K62" i="5"/>
  <c r="L62" i="5"/>
  <c r="M62" i="5"/>
  <c r="N62" i="5"/>
  <c r="O62" i="5"/>
  <c r="D63" i="5"/>
  <c r="E63" i="5"/>
  <c r="F63" i="5"/>
  <c r="G63" i="5"/>
  <c r="H63" i="5"/>
  <c r="I63" i="5"/>
  <c r="J63" i="5"/>
  <c r="K63" i="5"/>
  <c r="L63" i="5"/>
  <c r="M63" i="5"/>
  <c r="N63" i="5"/>
  <c r="O63" i="5"/>
  <c r="E4" i="5"/>
  <c r="F5" i="1"/>
  <c r="F4" i="5" s="1"/>
  <c r="G4" i="5"/>
  <c r="H5" i="1"/>
  <c r="H4" i="5"/>
  <c r="I4" i="5"/>
  <c r="J5" i="1"/>
  <c r="J4" i="5" s="1"/>
  <c r="K5" i="1"/>
  <c r="K4" i="5" s="1"/>
  <c r="L5" i="1"/>
  <c r="L4" i="5"/>
  <c r="M5" i="1"/>
  <c r="M4" i="5" s="1"/>
  <c r="N4" i="5"/>
  <c r="O4" i="5"/>
  <c r="D4" i="5"/>
</calcChain>
</file>

<file path=xl/sharedStrings.xml><?xml version="1.0" encoding="utf-8"?>
<sst xmlns="http://schemas.openxmlformats.org/spreadsheetml/2006/main" count="858" uniqueCount="127">
  <si>
    <t>Dish ID</t>
  </si>
  <si>
    <t>Temperature</t>
  </si>
  <si>
    <t>Paramecium</t>
  </si>
  <si>
    <t>17-D1</t>
  </si>
  <si>
    <t>17-D2</t>
  </si>
  <si>
    <t>17-D3</t>
  </si>
  <si>
    <t>17-D4</t>
  </si>
  <si>
    <t>17-D5</t>
  </si>
  <si>
    <t>17-D6</t>
  </si>
  <si>
    <t>20-D1</t>
  </si>
  <si>
    <t>20-D2</t>
  </si>
  <si>
    <t>20-D3</t>
  </si>
  <si>
    <t>20-D4</t>
  </si>
  <si>
    <t>20-D5</t>
  </si>
  <si>
    <t>20-D6</t>
  </si>
  <si>
    <t>23-D1</t>
  </si>
  <si>
    <t>23-D2</t>
  </si>
  <si>
    <t>23-D3</t>
  </si>
  <si>
    <t>23-D4</t>
  </si>
  <si>
    <t>23-D5</t>
  </si>
  <si>
    <t>23-D6</t>
  </si>
  <si>
    <t>25-D1</t>
  </si>
  <si>
    <t>25-D2</t>
  </si>
  <si>
    <t>25-D3</t>
  </si>
  <si>
    <t>25-D4</t>
  </si>
  <si>
    <t>25-D5</t>
  </si>
  <si>
    <t>25-D6</t>
  </si>
  <si>
    <t>27-D1</t>
  </si>
  <si>
    <t>27-D2</t>
  </si>
  <si>
    <t>27-D3</t>
  </si>
  <si>
    <t>27-D4</t>
  </si>
  <si>
    <t>27-D5</t>
  </si>
  <si>
    <t>27-D6</t>
  </si>
  <si>
    <t>31-D1</t>
  </si>
  <si>
    <t>31-D2</t>
  </si>
  <si>
    <t>31-D3</t>
  </si>
  <si>
    <t>31-D4</t>
  </si>
  <si>
    <t>31-D5</t>
  </si>
  <si>
    <t>31-D6</t>
  </si>
  <si>
    <t>17-C1</t>
  </si>
  <si>
    <t>17-C2</t>
  </si>
  <si>
    <t>17-C3</t>
  </si>
  <si>
    <t>17-C4</t>
  </si>
  <si>
    <t>20-C1</t>
  </si>
  <si>
    <t>20-C2</t>
  </si>
  <si>
    <t>20-C3</t>
  </si>
  <si>
    <t>20-C4</t>
  </si>
  <si>
    <t>23-C1</t>
  </si>
  <si>
    <t>23-C2</t>
  </si>
  <si>
    <t>23-C3</t>
  </si>
  <si>
    <t>23-C4</t>
  </si>
  <si>
    <t>25-C1</t>
  </si>
  <si>
    <t>25-C2</t>
  </si>
  <si>
    <t>25-C3</t>
  </si>
  <si>
    <t>25-C4</t>
  </si>
  <si>
    <t>27-C1</t>
  </si>
  <si>
    <t>27-C2</t>
  </si>
  <si>
    <t>27-C3</t>
  </si>
  <si>
    <t>27-C4</t>
  </si>
  <si>
    <t>31-C1</t>
  </si>
  <si>
    <t>31-C2</t>
  </si>
  <si>
    <t>31-C3</t>
  </si>
  <si>
    <t>31-C4</t>
  </si>
  <si>
    <t>Didinium</t>
  </si>
  <si>
    <t>Dish ID#</t>
  </si>
  <si>
    <t>Day</t>
  </si>
  <si>
    <t>Length(mm)</t>
  </si>
  <si>
    <t>Width(mm)</t>
  </si>
  <si>
    <t>25D2</t>
  </si>
  <si>
    <t>25D3</t>
  </si>
  <si>
    <t>25D4</t>
  </si>
  <si>
    <t>25D6</t>
  </si>
  <si>
    <t>23D1</t>
  </si>
  <si>
    <t>23D2</t>
  </si>
  <si>
    <t>25D1</t>
  </si>
  <si>
    <t>25D5</t>
  </si>
  <si>
    <t>17D2</t>
  </si>
  <si>
    <t>17D4</t>
  </si>
  <si>
    <t>17D5</t>
  </si>
  <si>
    <t>20D2</t>
  </si>
  <si>
    <t>20D1</t>
  </si>
  <si>
    <t>20D4</t>
  </si>
  <si>
    <t>23D5</t>
  </si>
  <si>
    <t>17D1</t>
  </si>
  <si>
    <t>17D6</t>
  </si>
  <si>
    <t>27D3</t>
  </si>
  <si>
    <t>27D6</t>
  </si>
  <si>
    <t>31D1</t>
  </si>
  <si>
    <t>31D4</t>
  </si>
  <si>
    <t>31D5</t>
  </si>
  <si>
    <t>27D1</t>
  </si>
  <si>
    <t>27D4</t>
  </si>
  <si>
    <t>27D5</t>
  </si>
  <si>
    <t>23D4</t>
  </si>
  <si>
    <t>23D6</t>
  </si>
  <si>
    <t>20D3</t>
  </si>
  <si>
    <t>20D6</t>
  </si>
  <si>
    <t>27D2</t>
  </si>
  <si>
    <t>20D5</t>
  </si>
  <si>
    <t>L radius</t>
  </si>
  <si>
    <t>W radius</t>
  </si>
  <si>
    <t>Volume (mm3)</t>
  </si>
  <si>
    <t/>
  </si>
  <si>
    <t>Temp</t>
  </si>
  <si>
    <t>Days</t>
  </si>
  <si>
    <t>Hilight indicates first zero</t>
  </si>
  <si>
    <t>Treatment</t>
  </si>
  <si>
    <t>Control</t>
  </si>
  <si>
    <t>Died out</t>
  </si>
  <si>
    <t>Hilight indicates peak</t>
  </si>
  <si>
    <t>Scaled sampling notes: counts in 0.1mL multiplied by 60 to get whole dish; counts in half the dish multiplied by 2; whole dish counts entered as is</t>
  </si>
  <si>
    <t>Paramecium counts/estimates for whole dishes</t>
  </si>
  <si>
    <t>Didinium counts/estimates for whole dishes</t>
  </si>
  <si>
    <t>Paramecium per mL</t>
  </si>
  <si>
    <t>Time</t>
  </si>
  <si>
    <t>Replicate</t>
  </si>
  <si>
    <t>Averaged</t>
  </si>
  <si>
    <t>17C</t>
  </si>
  <si>
    <t>31C</t>
  </si>
  <si>
    <t>27C</t>
  </si>
  <si>
    <t>25C</t>
  </si>
  <si>
    <t>23C</t>
  </si>
  <si>
    <t>20C</t>
  </si>
  <si>
    <t>STD</t>
  </si>
  <si>
    <t>Means</t>
  </si>
  <si>
    <t>Averaged w/out rep 5</t>
  </si>
  <si>
    <t>Major lag in Didinium growth, not included in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</si>
</sst>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 applyFill="1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/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0" borderId="0" xfId="0" applyNumberFormat="1"/>
    <xf numFmtId="1" fontId="4" fillId="0" borderId="0" xfId="0" applyNumberFormat="1" applyFont="1" applyFill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164" fontId="4" fillId="0" borderId="0" xfId="0" applyNumberFormat="1" applyFont="1" applyFill="1" applyAlignment="1">
      <alignment horizontal="center"/>
    </xf>
    <xf numFmtId="2" fontId="0" fillId="3" borderId="2" xfId="0" applyNumberFormat="1" applyFill="1" applyBorder="1" applyAlignment="1">
      <alignment horizontal="center" wrapText="1"/>
    </xf>
    <xf numFmtId="2" fontId="0" fillId="3" borderId="3" xfId="0" applyNumberFormat="1" applyFill="1" applyBorder="1" applyAlignment="1">
      <alignment horizontal="center" wrapText="1"/>
    </xf>
    <xf numFmtId="2" fontId="0" fillId="3" borderId="4" xfId="0" applyNumberFormat="1" applyFill="1" applyBorder="1" applyAlignment="1">
      <alignment horizontal="center" wrapText="1"/>
    </xf>
    <xf numFmtId="2" fontId="0" fillId="3" borderId="5" xfId="0" applyNumberFormat="1" applyFill="1" applyBorder="1" applyAlignment="1">
      <alignment horizontal="center" wrapText="1"/>
    </xf>
    <xf numFmtId="2" fontId="0" fillId="3" borderId="6" xfId="0" applyNumberFormat="1" applyFill="1" applyBorder="1" applyAlignment="1">
      <alignment horizontal="center" wrapText="1"/>
    </xf>
    <xf numFmtId="2" fontId="0" fillId="3" borderId="7" xfId="0" applyNumberFormat="1" applyFill="1" applyBorder="1" applyAlignment="1">
      <alignment horizontal="center" wrapText="1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workbookViewId="0">
      <pane xSplit="1" topLeftCell="B1" activePane="topRight" state="frozen"/>
      <selection pane="topRight" activeCell="G4" sqref="G4"/>
    </sheetView>
  </sheetViews>
  <sheetFormatPr defaultColWidth="11" defaultRowHeight="15.6" x14ac:dyDescent="0.3"/>
  <cols>
    <col min="1" max="1" width="8.69921875" customWidth="1"/>
    <col min="3" max="3" width="5.59765625" style="7" bestFit="1" customWidth="1"/>
    <col min="4" max="4" width="5.19921875" style="7" bestFit="1" customWidth="1"/>
    <col min="5" max="8" width="5.8984375" style="7" bestFit="1" customWidth="1"/>
    <col min="9" max="9" width="5" style="7" bestFit="1" customWidth="1"/>
    <col min="10" max="12" width="5.8984375" style="7" bestFit="1" customWidth="1"/>
    <col min="13" max="15" width="6.8984375" style="7" bestFit="1" customWidth="1"/>
    <col min="16" max="17" width="6" style="7" bestFit="1" customWidth="1"/>
    <col min="18" max="20" width="6.8984375" style="7" bestFit="1" customWidth="1"/>
    <col min="21" max="21" width="6" style="7" bestFit="1" customWidth="1"/>
    <col min="22" max="22" width="6.8984375" style="7" bestFit="1" customWidth="1"/>
    <col min="24" max="24" width="22.5" bestFit="1" customWidth="1"/>
  </cols>
  <sheetData>
    <row r="1" spans="1:24" x14ac:dyDescent="0.3">
      <c r="A1" t="s">
        <v>110</v>
      </c>
    </row>
    <row r="2" spans="1:24" x14ac:dyDescent="0.3">
      <c r="A2" s="22" t="s">
        <v>111</v>
      </c>
      <c r="B2" s="22"/>
      <c r="C2" s="22"/>
      <c r="D2" s="22"/>
      <c r="E2" s="22"/>
      <c r="F2" s="22"/>
    </row>
    <row r="3" spans="1:24" s="4" customFormat="1" x14ac:dyDescent="0.3">
      <c r="A3" s="10"/>
      <c r="B3" s="10"/>
      <c r="C3" s="10"/>
      <c r="D3" s="21" t="s">
        <v>104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spans="1:24" s="4" customFormat="1" x14ac:dyDescent="0.3">
      <c r="A4" s="8" t="s">
        <v>0</v>
      </c>
      <c r="B4" s="8" t="s">
        <v>106</v>
      </c>
      <c r="C4" s="11" t="s">
        <v>103</v>
      </c>
      <c r="D4" s="11">
        <v>0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>
        <v>6</v>
      </c>
      <c r="K4" s="11">
        <v>7</v>
      </c>
      <c r="L4" s="11">
        <v>8</v>
      </c>
      <c r="M4" s="11">
        <v>9</v>
      </c>
      <c r="N4" s="11">
        <v>10</v>
      </c>
      <c r="O4" s="11">
        <v>11</v>
      </c>
      <c r="P4" s="11">
        <v>12</v>
      </c>
      <c r="Q4" s="11">
        <v>13</v>
      </c>
      <c r="R4" s="11">
        <v>14</v>
      </c>
      <c r="S4" s="11">
        <v>15</v>
      </c>
      <c r="T4" s="11">
        <v>16</v>
      </c>
      <c r="U4" s="11">
        <v>17</v>
      </c>
      <c r="V4" s="11">
        <v>18</v>
      </c>
    </row>
    <row r="5" spans="1:24" x14ac:dyDescent="0.3">
      <c r="A5" t="s">
        <v>3</v>
      </c>
      <c r="B5" t="s">
        <v>63</v>
      </c>
      <c r="C5" s="7">
        <v>17</v>
      </c>
      <c r="D5" s="12">
        <v>50</v>
      </c>
      <c r="F5" s="7">
        <f>4*60</f>
        <v>240</v>
      </c>
      <c r="H5" s="7">
        <f>17*60</f>
        <v>1020</v>
      </c>
      <c r="J5" s="7">
        <f>18*60</f>
        <v>1080</v>
      </c>
      <c r="K5" s="7">
        <f>20*60</f>
        <v>1200</v>
      </c>
      <c r="L5" s="7">
        <f>17*60</f>
        <v>1020</v>
      </c>
      <c r="M5" s="7">
        <f>18*60</f>
        <v>1080</v>
      </c>
      <c r="N5" s="7">
        <v>31</v>
      </c>
      <c r="O5" s="13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X5" s="1" t="s">
        <v>105</v>
      </c>
    </row>
    <row r="6" spans="1:24" x14ac:dyDescent="0.3">
      <c r="A6" t="s">
        <v>4</v>
      </c>
      <c r="B6" t="s">
        <v>63</v>
      </c>
      <c r="C6" s="7">
        <v>17</v>
      </c>
      <c r="D6" s="12">
        <v>50</v>
      </c>
      <c r="F6" s="7">
        <f>3*60</f>
        <v>180</v>
      </c>
      <c r="H6" s="7">
        <f>6*60</f>
        <v>360</v>
      </c>
      <c r="J6" s="7">
        <f>12*60</f>
        <v>720</v>
      </c>
      <c r="K6" s="7">
        <f>8*60</f>
        <v>480</v>
      </c>
      <c r="L6" s="7">
        <f>29.5*2</f>
        <v>59</v>
      </c>
      <c r="M6" s="13">
        <v>0</v>
      </c>
      <c r="N6" s="7">
        <v>0</v>
      </c>
      <c r="O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</row>
    <row r="7" spans="1:24" x14ac:dyDescent="0.3">
      <c r="A7" t="s">
        <v>5</v>
      </c>
      <c r="B7" t="s">
        <v>63</v>
      </c>
      <c r="C7" s="7">
        <v>17</v>
      </c>
      <c r="D7" s="12">
        <v>50</v>
      </c>
      <c r="F7" s="7">
        <f>6*60</f>
        <v>360</v>
      </c>
      <c r="H7" s="7">
        <f>13*60</f>
        <v>780</v>
      </c>
      <c r="J7" s="7">
        <f>26*60</f>
        <v>1560</v>
      </c>
      <c r="K7" s="7">
        <f>19*60</f>
        <v>1140</v>
      </c>
      <c r="L7" s="7">
        <f>30*60</f>
        <v>1800</v>
      </c>
      <c r="M7" s="7">
        <f>26*60</f>
        <v>1560</v>
      </c>
      <c r="N7" s="7">
        <f>60*60</f>
        <v>3600</v>
      </c>
      <c r="O7" s="7">
        <f>53*60</f>
        <v>3180</v>
      </c>
      <c r="R7" s="7">
        <f>104*60</f>
        <v>6240</v>
      </c>
      <c r="S7" s="7">
        <f>126*60</f>
        <v>7560</v>
      </c>
      <c r="T7" s="7">
        <f>114*60</f>
        <v>6840</v>
      </c>
    </row>
    <row r="8" spans="1:24" x14ac:dyDescent="0.3">
      <c r="A8" t="s">
        <v>6</v>
      </c>
      <c r="B8" t="s">
        <v>63</v>
      </c>
      <c r="C8" s="7">
        <v>17</v>
      </c>
      <c r="D8" s="12">
        <v>50</v>
      </c>
      <c r="F8" s="7">
        <f>4*60</f>
        <v>240</v>
      </c>
      <c r="H8" s="7">
        <f>6*60</f>
        <v>360</v>
      </c>
      <c r="J8" s="7">
        <f>3*60</f>
        <v>180</v>
      </c>
      <c r="K8" s="7">
        <v>16</v>
      </c>
      <c r="L8" s="13">
        <v>0</v>
      </c>
      <c r="M8" s="7">
        <v>0</v>
      </c>
      <c r="N8" s="7">
        <v>0</v>
      </c>
      <c r="O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</row>
    <row r="9" spans="1:24" x14ac:dyDescent="0.3">
      <c r="A9" t="s">
        <v>7</v>
      </c>
      <c r="B9" t="s">
        <v>63</v>
      </c>
      <c r="C9" s="7">
        <v>17</v>
      </c>
      <c r="D9" s="12">
        <v>50</v>
      </c>
      <c r="F9" s="7">
        <f>9*60</f>
        <v>540</v>
      </c>
      <c r="H9" s="7">
        <f>6*60</f>
        <v>360</v>
      </c>
      <c r="J9" s="7">
        <f>14*60</f>
        <v>840</v>
      </c>
      <c r="K9" s="7">
        <f>10*60</f>
        <v>600</v>
      </c>
      <c r="L9" s="7">
        <v>89.5</v>
      </c>
      <c r="M9" s="13">
        <v>0</v>
      </c>
      <c r="N9" s="7">
        <v>0</v>
      </c>
      <c r="O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</row>
    <row r="10" spans="1:24" x14ac:dyDescent="0.3">
      <c r="A10" t="s">
        <v>8</v>
      </c>
      <c r="B10" t="s">
        <v>63</v>
      </c>
      <c r="C10" s="7">
        <v>17</v>
      </c>
      <c r="D10" s="12">
        <v>50</v>
      </c>
      <c r="F10" s="7">
        <f>12*60</f>
        <v>720</v>
      </c>
      <c r="H10" s="7">
        <f>18*60</f>
        <v>1080</v>
      </c>
      <c r="J10" s="7">
        <f>10*60</f>
        <v>600</v>
      </c>
      <c r="K10" s="7">
        <f>15*60</f>
        <v>900</v>
      </c>
      <c r="L10" s="7">
        <f>7*60</f>
        <v>420</v>
      </c>
      <c r="M10" s="7">
        <f>7*60</f>
        <v>420</v>
      </c>
      <c r="N10" s="7">
        <v>57.5</v>
      </c>
      <c r="O10" s="13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4" x14ac:dyDescent="0.3">
      <c r="A11" t="s">
        <v>9</v>
      </c>
      <c r="B11" t="s">
        <v>63</v>
      </c>
      <c r="C11" s="7">
        <v>20</v>
      </c>
      <c r="D11" s="12">
        <v>50</v>
      </c>
      <c r="F11" s="7">
        <f>6*60</f>
        <v>360</v>
      </c>
      <c r="H11" s="7">
        <f>8*60</f>
        <v>480</v>
      </c>
      <c r="J11" s="7">
        <f>19*60</f>
        <v>1140</v>
      </c>
      <c r="K11" s="7">
        <f>26*60</f>
        <v>1560</v>
      </c>
      <c r="L11" s="7">
        <f>21*60</f>
        <v>1260</v>
      </c>
      <c r="M11" s="7">
        <f>2*60</f>
        <v>120</v>
      </c>
      <c r="N11" s="13">
        <v>0</v>
      </c>
      <c r="O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</row>
    <row r="12" spans="1:24" x14ac:dyDescent="0.3">
      <c r="A12" t="s">
        <v>10</v>
      </c>
      <c r="B12" t="s">
        <v>63</v>
      </c>
      <c r="C12" s="7">
        <v>20</v>
      </c>
      <c r="D12" s="12">
        <v>50</v>
      </c>
      <c r="F12" s="7">
        <f>10*60</f>
        <v>600</v>
      </c>
      <c r="H12" s="7">
        <f>13*60</f>
        <v>780</v>
      </c>
      <c r="J12" s="7">
        <f>20*60</f>
        <v>1200</v>
      </c>
      <c r="K12" s="7">
        <f>5*60</f>
        <v>300</v>
      </c>
      <c r="L12" s="13">
        <v>0</v>
      </c>
      <c r="M12" s="7">
        <v>0</v>
      </c>
      <c r="N12" s="7">
        <v>0</v>
      </c>
      <c r="O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4" x14ac:dyDescent="0.3">
      <c r="A13" t="s">
        <v>11</v>
      </c>
      <c r="B13" t="s">
        <v>63</v>
      </c>
      <c r="C13" s="7">
        <v>20</v>
      </c>
      <c r="D13" s="12">
        <v>50</v>
      </c>
      <c r="F13" s="7">
        <f>9*60</f>
        <v>540</v>
      </c>
      <c r="H13" s="7">
        <f>12*60</f>
        <v>720</v>
      </c>
      <c r="J13" s="13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4" x14ac:dyDescent="0.3">
      <c r="A14" t="s">
        <v>12</v>
      </c>
      <c r="B14" t="s">
        <v>63</v>
      </c>
      <c r="C14" s="7">
        <v>20</v>
      </c>
      <c r="D14" s="12">
        <v>50</v>
      </c>
      <c r="F14" s="7">
        <f>8*60</f>
        <v>480</v>
      </c>
      <c r="H14" s="7">
        <f>8*60</f>
        <v>480</v>
      </c>
      <c r="J14" s="7">
        <f>18*60</f>
        <v>1080</v>
      </c>
      <c r="K14" s="7">
        <f>17*60</f>
        <v>1020</v>
      </c>
      <c r="L14" s="7">
        <f>12*60</f>
        <v>720</v>
      </c>
      <c r="M14" s="7">
        <f>87*2</f>
        <v>174</v>
      </c>
      <c r="N14" s="13">
        <v>0</v>
      </c>
      <c r="O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4" x14ac:dyDescent="0.3">
      <c r="A15" t="s">
        <v>13</v>
      </c>
      <c r="B15" t="s">
        <v>63</v>
      </c>
      <c r="C15" s="7">
        <v>20</v>
      </c>
      <c r="D15" s="12">
        <v>50</v>
      </c>
      <c r="F15" s="7">
        <f>4*60</f>
        <v>240</v>
      </c>
      <c r="H15" s="7">
        <f>14*60</f>
        <v>840</v>
      </c>
      <c r="J15" s="7">
        <v>24</v>
      </c>
      <c r="K15" s="13">
        <v>0</v>
      </c>
      <c r="L15" s="7">
        <v>0</v>
      </c>
      <c r="M15" s="7">
        <v>0</v>
      </c>
      <c r="N15" s="7">
        <v>0</v>
      </c>
      <c r="O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4" x14ac:dyDescent="0.3">
      <c r="A16" t="s">
        <v>14</v>
      </c>
      <c r="B16" t="s">
        <v>63</v>
      </c>
      <c r="C16" s="7">
        <v>20</v>
      </c>
      <c r="D16" s="12">
        <v>50</v>
      </c>
      <c r="F16" s="7">
        <f>5*60</f>
        <v>300</v>
      </c>
      <c r="H16" s="7">
        <f>8*60</f>
        <v>480</v>
      </c>
      <c r="J16" s="13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3">
      <c r="A17" t="s">
        <v>15</v>
      </c>
      <c r="B17" t="s">
        <v>63</v>
      </c>
      <c r="C17" s="7">
        <v>23</v>
      </c>
      <c r="D17" s="12">
        <v>50</v>
      </c>
      <c r="E17" s="7">
        <f>154.5*2</f>
        <v>309</v>
      </c>
      <c r="F17" s="7">
        <f>8*60</f>
        <v>480</v>
      </c>
      <c r="H17" s="7">
        <f>10*60</f>
        <v>600</v>
      </c>
      <c r="I17" s="7">
        <f>91.5*2</f>
        <v>183</v>
      </c>
      <c r="J17" s="13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3">
      <c r="A18" t="s">
        <v>16</v>
      </c>
      <c r="B18" t="s">
        <v>63</v>
      </c>
      <c r="C18" s="7">
        <v>23</v>
      </c>
      <c r="D18" s="12">
        <v>50</v>
      </c>
      <c r="E18" s="7">
        <f>145.5*2</f>
        <v>291</v>
      </c>
      <c r="F18" s="7">
        <f>7*60</f>
        <v>420</v>
      </c>
      <c r="H18" s="7">
        <v>16</v>
      </c>
      <c r="I18" s="13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3">
      <c r="A19" t="s">
        <v>17</v>
      </c>
      <c r="B19" t="s">
        <v>63</v>
      </c>
      <c r="C19" s="7">
        <v>23</v>
      </c>
      <c r="D19" s="12">
        <v>50</v>
      </c>
      <c r="E19" s="7">
        <f>171.5*2</f>
        <v>343</v>
      </c>
      <c r="F19" s="7">
        <f>11*60</f>
        <v>660</v>
      </c>
      <c r="H19" s="7">
        <f>22*60</f>
        <v>1320</v>
      </c>
      <c r="I19" s="7">
        <f>377*2</f>
        <v>754</v>
      </c>
      <c r="J19" s="7">
        <f>23*60</f>
        <v>1380</v>
      </c>
      <c r="K19" s="7">
        <f>57*60</f>
        <v>3420</v>
      </c>
      <c r="L19" s="7">
        <f>68*60</f>
        <v>4080</v>
      </c>
      <c r="M19" s="7">
        <f>89*60</f>
        <v>5340</v>
      </c>
      <c r="N19" s="7">
        <f>90*60</f>
        <v>5400</v>
      </c>
      <c r="O19" s="7">
        <f>112*60</f>
        <v>6720</v>
      </c>
      <c r="R19" s="7">
        <f>272*60</f>
        <v>16320</v>
      </c>
      <c r="S19" s="7">
        <f>180*60</f>
        <v>10800</v>
      </c>
      <c r="T19" s="7">
        <f>137*60</f>
        <v>8220</v>
      </c>
    </row>
    <row r="20" spans="1:22" x14ac:dyDescent="0.3">
      <c r="A20" t="s">
        <v>18</v>
      </c>
      <c r="B20" t="s">
        <v>63</v>
      </c>
      <c r="C20" s="7">
        <v>23</v>
      </c>
      <c r="D20" s="12">
        <v>50</v>
      </c>
      <c r="E20" s="7">
        <f>149*2</f>
        <v>298</v>
      </c>
      <c r="F20" s="7">
        <f>11*60</f>
        <v>660</v>
      </c>
      <c r="H20" s="7">
        <v>162.5</v>
      </c>
      <c r="I20" s="13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</row>
    <row r="21" spans="1:22" x14ac:dyDescent="0.3">
      <c r="A21" t="s">
        <v>19</v>
      </c>
      <c r="B21" t="s">
        <v>63</v>
      </c>
      <c r="C21" s="7">
        <v>23</v>
      </c>
      <c r="D21" s="12">
        <v>50</v>
      </c>
      <c r="E21" s="7">
        <f>175.5*2</f>
        <v>351</v>
      </c>
      <c r="F21" s="7">
        <f>13*60</f>
        <v>780</v>
      </c>
      <c r="H21" s="7">
        <f>17*60</f>
        <v>1020</v>
      </c>
      <c r="I21" s="7">
        <f>317*2</f>
        <v>634</v>
      </c>
      <c r="J21" s="7">
        <f>22*60</f>
        <v>1320</v>
      </c>
      <c r="K21" s="7">
        <f>37*60</f>
        <v>2220</v>
      </c>
      <c r="L21" s="7">
        <f>24*60</f>
        <v>1440</v>
      </c>
      <c r="M21" s="7">
        <v>79</v>
      </c>
      <c r="N21" s="13">
        <v>0</v>
      </c>
      <c r="O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</row>
    <row r="22" spans="1:22" x14ac:dyDescent="0.3">
      <c r="A22" t="s">
        <v>20</v>
      </c>
      <c r="B22" t="s">
        <v>63</v>
      </c>
      <c r="C22" s="7">
        <v>23</v>
      </c>
      <c r="D22" s="12">
        <v>50</v>
      </c>
      <c r="E22" s="7">
        <f>155.5*2</f>
        <v>311</v>
      </c>
      <c r="F22" s="7">
        <f>6*60</f>
        <v>360</v>
      </c>
      <c r="H22" s="7">
        <v>35</v>
      </c>
      <c r="I22" s="13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3">
      <c r="A23" t="s">
        <v>21</v>
      </c>
      <c r="B23" t="s">
        <v>63</v>
      </c>
      <c r="C23" s="7">
        <v>25</v>
      </c>
      <c r="D23" s="12">
        <v>50</v>
      </c>
      <c r="E23" s="7">
        <f>233*2</f>
        <v>466</v>
      </c>
      <c r="F23" s="7">
        <f>16*60</f>
        <v>960</v>
      </c>
      <c r="G23" s="7">
        <f>252.5*2</f>
        <v>505</v>
      </c>
      <c r="H23" s="7">
        <f>5*60</f>
        <v>300</v>
      </c>
      <c r="I23" s="7">
        <f>59.5*2</f>
        <v>119</v>
      </c>
      <c r="J23" s="13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3">
      <c r="A24" t="s">
        <v>22</v>
      </c>
      <c r="B24" t="s">
        <v>63</v>
      </c>
      <c r="C24" s="7">
        <v>25</v>
      </c>
      <c r="D24" s="12">
        <v>50</v>
      </c>
      <c r="E24" s="7">
        <f>154.5*2</f>
        <v>309</v>
      </c>
      <c r="F24" s="7">
        <f>6*60</f>
        <v>360</v>
      </c>
      <c r="G24" s="7">
        <f>202.5*2</f>
        <v>405</v>
      </c>
      <c r="H24" s="7">
        <v>59</v>
      </c>
      <c r="I24" s="13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3">
      <c r="A25" t="s">
        <v>23</v>
      </c>
      <c r="B25" t="s">
        <v>63</v>
      </c>
      <c r="C25" s="7">
        <v>25</v>
      </c>
      <c r="D25" s="12">
        <v>50</v>
      </c>
      <c r="E25" s="7">
        <f>212*2</f>
        <v>424</v>
      </c>
      <c r="F25" s="7">
        <f>12*60</f>
        <v>720</v>
      </c>
      <c r="G25" s="7">
        <f>272.5*2</f>
        <v>545</v>
      </c>
      <c r="H25" s="7">
        <f>11*60</f>
        <v>660</v>
      </c>
      <c r="I25" s="7">
        <f>426*2</f>
        <v>852</v>
      </c>
      <c r="J25" s="7">
        <f>14*60</f>
        <v>840</v>
      </c>
      <c r="K25" s="7">
        <f>40*60</f>
        <v>2400</v>
      </c>
      <c r="L25" s="7">
        <f>45*60</f>
        <v>2700</v>
      </c>
      <c r="M25" s="7">
        <f>53*60</f>
        <v>3180</v>
      </c>
      <c r="N25" s="7">
        <f>63*60</f>
        <v>3780</v>
      </c>
      <c r="O25" s="7">
        <f>81*60</f>
        <v>4860</v>
      </c>
      <c r="R25" s="7">
        <f>110*60</f>
        <v>6600</v>
      </c>
      <c r="S25" s="7">
        <f>107*60</f>
        <v>6420</v>
      </c>
      <c r="T25" s="7">
        <f>114*60</f>
        <v>6840</v>
      </c>
    </row>
    <row r="26" spans="1:22" x14ac:dyDescent="0.3">
      <c r="A26" t="s">
        <v>24</v>
      </c>
      <c r="B26" t="s">
        <v>63</v>
      </c>
      <c r="C26" s="7">
        <v>25</v>
      </c>
      <c r="D26" s="12">
        <v>50</v>
      </c>
      <c r="E26" s="7">
        <f>214*2</f>
        <v>428</v>
      </c>
      <c r="F26" s="7">
        <f>4*60</f>
        <v>240</v>
      </c>
      <c r="G26" s="7">
        <v>14</v>
      </c>
      <c r="H26" s="1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3">
      <c r="A27" t="s">
        <v>25</v>
      </c>
      <c r="B27" t="s">
        <v>63</v>
      </c>
      <c r="C27" s="7">
        <v>25</v>
      </c>
      <c r="D27" s="12">
        <v>50</v>
      </c>
      <c r="E27" s="7">
        <f>234*2</f>
        <v>468</v>
      </c>
      <c r="F27" s="7">
        <f>14*60</f>
        <v>840</v>
      </c>
      <c r="G27" s="7">
        <v>111.5</v>
      </c>
      <c r="H27" s="1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3">
      <c r="A28" t="s">
        <v>26</v>
      </c>
      <c r="B28" t="s">
        <v>63</v>
      </c>
      <c r="C28" s="7">
        <v>25</v>
      </c>
      <c r="D28" s="12">
        <v>50</v>
      </c>
      <c r="E28" s="7">
        <f>240*2</f>
        <v>480</v>
      </c>
      <c r="F28" s="7">
        <f>6*60</f>
        <v>360</v>
      </c>
      <c r="G28" s="7">
        <v>258.5</v>
      </c>
      <c r="H28" s="13">
        <v>1</v>
      </c>
      <c r="I28" s="13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</row>
    <row r="29" spans="1:22" x14ac:dyDescent="0.3">
      <c r="A29" t="s">
        <v>27</v>
      </c>
      <c r="B29" t="s">
        <v>63</v>
      </c>
      <c r="C29" s="7">
        <v>27</v>
      </c>
      <c r="D29" s="12">
        <v>50</v>
      </c>
      <c r="E29" s="7">
        <f>213.5*2</f>
        <v>427</v>
      </c>
      <c r="F29" s="7">
        <f>8*60</f>
        <v>480</v>
      </c>
      <c r="G29" s="7">
        <v>44.5</v>
      </c>
      <c r="H29" s="13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</row>
    <row r="30" spans="1:22" x14ac:dyDescent="0.3">
      <c r="A30" t="s">
        <v>28</v>
      </c>
      <c r="B30" t="s">
        <v>63</v>
      </c>
      <c r="C30" s="7">
        <v>27</v>
      </c>
      <c r="D30" s="12">
        <v>50</v>
      </c>
      <c r="E30" s="7">
        <f>193*2</f>
        <v>386</v>
      </c>
      <c r="F30" s="7">
        <f>182*2</f>
        <v>364</v>
      </c>
      <c r="G30" s="7">
        <f>202*2</f>
        <v>404</v>
      </c>
      <c r="H30" s="7">
        <f>95.5*2</f>
        <v>191</v>
      </c>
      <c r="I30" s="7">
        <v>13</v>
      </c>
      <c r="J30" s="13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</row>
    <row r="31" spans="1:22" x14ac:dyDescent="0.3">
      <c r="A31" t="s">
        <v>29</v>
      </c>
      <c r="B31" t="s">
        <v>63</v>
      </c>
      <c r="C31" s="7">
        <v>27</v>
      </c>
      <c r="D31" s="12">
        <v>50</v>
      </c>
      <c r="E31" s="7">
        <f>208.5*2</f>
        <v>417</v>
      </c>
      <c r="F31" s="7">
        <v>207</v>
      </c>
      <c r="G31" s="13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</row>
    <row r="32" spans="1:22" x14ac:dyDescent="0.3">
      <c r="A32" t="s">
        <v>30</v>
      </c>
      <c r="B32" t="s">
        <v>63</v>
      </c>
      <c r="C32" s="7">
        <v>27</v>
      </c>
      <c r="D32" s="12">
        <v>50</v>
      </c>
      <c r="E32" s="7">
        <f>178*2</f>
        <v>356</v>
      </c>
      <c r="F32" s="7">
        <f>240.5*2</f>
        <v>481</v>
      </c>
      <c r="G32" s="7">
        <v>281.5</v>
      </c>
      <c r="H32" s="13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</row>
    <row r="33" spans="1:22" x14ac:dyDescent="0.3">
      <c r="A33" t="s">
        <v>31</v>
      </c>
      <c r="B33" t="s">
        <v>63</v>
      </c>
      <c r="C33" s="7">
        <v>27</v>
      </c>
      <c r="D33" s="12">
        <v>50</v>
      </c>
      <c r="E33" s="7">
        <f>211.5*2</f>
        <v>423</v>
      </c>
      <c r="F33" s="7">
        <f>11*60</f>
        <v>660</v>
      </c>
      <c r="G33" s="7">
        <f>114*2</f>
        <v>228</v>
      </c>
      <c r="H33" s="13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</row>
    <row r="34" spans="1:22" x14ac:dyDescent="0.3">
      <c r="A34" t="s">
        <v>32</v>
      </c>
      <c r="B34" t="s">
        <v>63</v>
      </c>
      <c r="C34" s="7">
        <v>27</v>
      </c>
      <c r="D34" s="12">
        <v>50</v>
      </c>
      <c r="E34" s="7">
        <f>160*2</f>
        <v>320</v>
      </c>
      <c r="F34" s="7">
        <f>143.5*2</f>
        <v>287</v>
      </c>
      <c r="G34" s="13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</row>
    <row r="35" spans="1:22" x14ac:dyDescent="0.3">
      <c r="A35" t="s">
        <v>33</v>
      </c>
      <c r="B35" t="s">
        <v>63</v>
      </c>
      <c r="C35" s="7">
        <v>31</v>
      </c>
      <c r="D35" s="12">
        <v>50</v>
      </c>
      <c r="E35" s="7">
        <v>382</v>
      </c>
      <c r="F35" s="7">
        <v>146.5</v>
      </c>
      <c r="G35" s="13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</row>
    <row r="36" spans="1:22" x14ac:dyDescent="0.3">
      <c r="A36" t="s">
        <v>34</v>
      </c>
      <c r="B36" t="s">
        <v>63</v>
      </c>
      <c r="C36" s="7">
        <v>31</v>
      </c>
      <c r="D36" s="12">
        <v>50</v>
      </c>
      <c r="E36" s="7">
        <v>312</v>
      </c>
      <c r="F36" s="7">
        <f>156.5*2</f>
        <v>313</v>
      </c>
      <c r="G36" s="7">
        <f>135*2</f>
        <v>270</v>
      </c>
      <c r="H36" s="7">
        <f>5*60</f>
        <v>300</v>
      </c>
      <c r="I36" s="7">
        <f>204.5*2</f>
        <v>409</v>
      </c>
      <c r="J36" s="7">
        <f>18*60</f>
        <v>1080</v>
      </c>
      <c r="K36" s="7">
        <f>14*60</f>
        <v>840</v>
      </c>
      <c r="L36" s="7">
        <f>21*60</f>
        <v>1260</v>
      </c>
      <c r="M36" s="7">
        <f>27*60</f>
        <v>1620</v>
      </c>
      <c r="N36" s="7">
        <f>42*60</f>
        <v>2520</v>
      </c>
      <c r="O36" s="7">
        <f>38*60</f>
        <v>2280</v>
      </c>
      <c r="R36" s="7">
        <f>51*60</f>
        <v>3060</v>
      </c>
      <c r="S36" s="7">
        <f>57*60</f>
        <v>3420</v>
      </c>
      <c r="T36" s="7">
        <f>75*60</f>
        <v>4500</v>
      </c>
    </row>
    <row r="37" spans="1:22" x14ac:dyDescent="0.3">
      <c r="A37" t="s">
        <v>35</v>
      </c>
      <c r="B37" t="s">
        <v>63</v>
      </c>
      <c r="C37" s="7">
        <v>31</v>
      </c>
      <c r="D37" s="12">
        <v>50</v>
      </c>
      <c r="E37" s="7">
        <v>343.5</v>
      </c>
      <c r="F37" s="7">
        <f>210*2</f>
        <v>420</v>
      </c>
      <c r="G37" s="7">
        <f>191.5*2</f>
        <v>383</v>
      </c>
      <c r="H37" s="7">
        <f>9*60</f>
        <v>540</v>
      </c>
      <c r="I37" s="7">
        <f>276.5*2</f>
        <v>553</v>
      </c>
      <c r="J37" s="7">
        <f>17*60</f>
        <v>1020</v>
      </c>
      <c r="K37" s="7">
        <f>16*60</f>
        <v>960</v>
      </c>
      <c r="L37" s="7">
        <f>19*60</f>
        <v>1140</v>
      </c>
      <c r="M37" s="7">
        <f>25*60</f>
        <v>1500</v>
      </c>
      <c r="N37" s="7">
        <f>25*60</f>
        <v>1500</v>
      </c>
      <c r="O37" s="7">
        <f>44*60</f>
        <v>2640</v>
      </c>
      <c r="R37" s="7">
        <f>50*60</f>
        <v>3000</v>
      </c>
      <c r="S37" s="7">
        <f>46*60</f>
        <v>2760</v>
      </c>
      <c r="T37" s="7">
        <f>64*60</f>
        <v>3840</v>
      </c>
    </row>
    <row r="38" spans="1:22" x14ac:dyDescent="0.3">
      <c r="A38" t="s">
        <v>36</v>
      </c>
      <c r="B38" t="s">
        <v>63</v>
      </c>
      <c r="C38" s="7">
        <v>31</v>
      </c>
      <c r="D38" s="12">
        <v>50</v>
      </c>
      <c r="E38" s="7">
        <f>156*2</f>
        <v>312</v>
      </c>
      <c r="F38" s="7">
        <v>7</v>
      </c>
      <c r="G38" s="13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</row>
    <row r="39" spans="1:22" x14ac:dyDescent="0.3">
      <c r="A39" t="s">
        <v>37</v>
      </c>
      <c r="B39" t="s">
        <v>63</v>
      </c>
      <c r="C39" s="7">
        <v>31</v>
      </c>
      <c r="D39" s="12">
        <v>50</v>
      </c>
      <c r="E39" s="7">
        <f>141*2</f>
        <v>282</v>
      </c>
      <c r="F39" s="7">
        <v>79.5</v>
      </c>
      <c r="G39" s="13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</row>
    <row r="40" spans="1:22" x14ac:dyDescent="0.3">
      <c r="A40" t="s">
        <v>38</v>
      </c>
      <c r="B40" t="s">
        <v>63</v>
      </c>
      <c r="C40" s="7">
        <v>31</v>
      </c>
      <c r="D40" s="12">
        <v>50</v>
      </c>
      <c r="E40" s="7">
        <f>172*2</f>
        <v>344</v>
      </c>
      <c r="F40" s="7">
        <f>203*2</f>
        <v>406</v>
      </c>
      <c r="G40" s="7">
        <f>212*2</f>
        <v>424</v>
      </c>
      <c r="H40" s="7">
        <f>9*60</f>
        <v>540</v>
      </c>
      <c r="I40" s="7">
        <f>116*2</f>
        <v>232</v>
      </c>
      <c r="J40" s="7">
        <f>12*60</f>
        <v>720</v>
      </c>
      <c r="K40" s="7">
        <f>12*60</f>
        <v>720</v>
      </c>
      <c r="L40" s="7">
        <f>11*60</f>
        <v>660</v>
      </c>
      <c r="M40" s="7">
        <f>16*60</f>
        <v>960</v>
      </c>
      <c r="N40" s="7">
        <f>24*60</f>
        <v>1440</v>
      </c>
      <c r="O40" s="7">
        <f>29*60</f>
        <v>1740</v>
      </c>
      <c r="R40" s="7">
        <f>48*60</f>
        <v>2880</v>
      </c>
      <c r="S40" s="7">
        <f>35*60</f>
        <v>2100</v>
      </c>
      <c r="T40" s="7">
        <f>59*60</f>
        <v>3540</v>
      </c>
    </row>
    <row r="41" spans="1:22" x14ac:dyDescent="0.3">
      <c r="A41" t="s">
        <v>39</v>
      </c>
      <c r="B41" t="s">
        <v>107</v>
      </c>
      <c r="C41" s="7">
        <v>17</v>
      </c>
      <c r="D41" s="12">
        <v>50</v>
      </c>
      <c r="F41" s="7">
        <v>16</v>
      </c>
      <c r="H41" s="7">
        <v>43.5</v>
      </c>
      <c r="J41" s="7">
        <f>81*2</f>
        <v>162</v>
      </c>
      <c r="K41" s="7">
        <f>82*2</f>
        <v>164</v>
      </c>
      <c r="L41" s="7">
        <f>114*2</f>
        <v>228</v>
      </c>
      <c r="M41" s="7">
        <f>135*2</f>
        <v>270</v>
      </c>
      <c r="N41" s="7">
        <f>147.5*2</f>
        <v>295</v>
      </c>
      <c r="O41" s="7">
        <f>188.5*2</f>
        <v>377</v>
      </c>
      <c r="R41" s="7">
        <f>18*60.5</f>
        <v>1089</v>
      </c>
      <c r="S41" s="7">
        <f>18*60.5</f>
        <v>1089</v>
      </c>
      <c r="T41" s="7">
        <f>39*60.5</f>
        <v>2359.5</v>
      </c>
      <c r="V41" s="7">
        <f>17*60.5</f>
        <v>1028.5</v>
      </c>
    </row>
    <row r="42" spans="1:22" x14ac:dyDescent="0.3">
      <c r="A42" t="s">
        <v>40</v>
      </c>
      <c r="B42" t="s">
        <v>107</v>
      </c>
      <c r="C42" s="7">
        <v>17</v>
      </c>
      <c r="D42" s="12">
        <v>50</v>
      </c>
      <c r="F42" s="7">
        <v>12</v>
      </c>
      <c r="H42" s="7">
        <v>28.5</v>
      </c>
      <c r="J42" s="7">
        <f>70*2</f>
        <v>140</v>
      </c>
      <c r="K42" s="7">
        <f>62.5*2</f>
        <v>125</v>
      </c>
      <c r="L42" s="7">
        <f>71.5*2</f>
        <v>143</v>
      </c>
      <c r="M42" s="7">
        <f>91*2</f>
        <v>182</v>
      </c>
      <c r="N42" s="7">
        <f>116*2</f>
        <v>232</v>
      </c>
      <c r="O42" s="7">
        <f>134.5*2</f>
        <v>269</v>
      </c>
      <c r="R42" s="7">
        <f>12*60.5</f>
        <v>726</v>
      </c>
      <c r="S42" s="7">
        <f>30*60.5</f>
        <v>1815</v>
      </c>
      <c r="T42" s="7">
        <f>29*60.5</f>
        <v>1754.5</v>
      </c>
      <c r="V42" s="7">
        <f>27*60.5</f>
        <v>1633.5</v>
      </c>
    </row>
    <row r="43" spans="1:22" x14ac:dyDescent="0.3">
      <c r="A43" t="s">
        <v>41</v>
      </c>
      <c r="B43" t="s">
        <v>107</v>
      </c>
      <c r="C43" s="7">
        <v>17</v>
      </c>
      <c r="D43" s="12">
        <v>50</v>
      </c>
      <c r="F43" s="7">
        <v>14</v>
      </c>
      <c r="H43" s="7">
        <v>39</v>
      </c>
      <c r="J43" s="7">
        <f>56*2</f>
        <v>112</v>
      </c>
      <c r="K43" s="7">
        <f>65*2</f>
        <v>130</v>
      </c>
      <c r="L43" s="7">
        <f>77.5*2</f>
        <v>155</v>
      </c>
      <c r="M43" s="7">
        <f>105*2</f>
        <v>210</v>
      </c>
      <c r="N43" s="7">
        <f>141.5*2</f>
        <v>283</v>
      </c>
      <c r="O43" s="7">
        <f>190.5*2</f>
        <v>381</v>
      </c>
      <c r="R43" s="7">
        <f>10*60.5</f>
        <v>605</v>
      </c>
      <c r="S43" s="7">
        <f>20*60.5</f>
        <v>1210</v>
      </c>
      <c r="T43" s="7">
        <f>25*60.5</f>
        <v>1512.5</v>
      </c>
      <c r="V43" s="7">
        <f>13*60.5</f>
        <v>786.5</v>
      </c>
    </row>
    <row r="44" spans="1:22" x14ac:dyDescent="0.3">
      <c r="A44" t="s">
        <v>42</v>
      </c>
      <c r="B44" t="s">
        <v>107</v>
      </c>
      <c r="C44" s="7">
        <v>17</v>
      </c>
      <c r="D44" s="12">
        <v>50</v>
      </c>
      <c r="F44" s="7">
        <v>13</v>
      </c>
      <c r="H44" s="7">
        <v>54</v>
      </c>
      <c r="J44" s="7">
        <f>59*2</f>
        <v>118</v>
      </c>
      <c r="K44" s="7">
        <f>82*2</f>
        <v>164</v>
      </c>
      <c r="L44" s="7">
        <f>109*2</f>
        <v>218</v>
      </c>
      <c r="M44" s="7">
        <f>120.5*2</f>
        <v>241</v>
      </c>
      <c r="N44" s="7">
        <f>167.5*2</f>
        <v>335</v>
      </c>
      <c r="O44" s="7">
        <f>211*2</f>
        <v>422</v>
      </c>
      <c r="R44" s="7">
        <f>12*60.5</f>
        <v>726</v>
      </c>
      <c r="S44" s="7">
        <f>26*60.5</f>
        <v>1573</v>
      </c>
      <c r="T44" s="7">
        <f>31*60.5</f>
        <v>1875.5</v>
      </c>
      <c r="V44" s="7">
        <f>17*60.5</f>
        <v>1028.5</v>
      </c>
    </row>
    <row r="45" spans="1:22" x14ac:dyDescent="0.3">
      <c r="A45" t="s">
        <v>43</v>
      </c>
      <c r="B45" t="s">
        <v>107</v>
      </c>
      <c r="C45" s="7">
        <v>20</v>
      </c>
      <c r="D45" s="12">
        <v>50</v>
      </c>
      <c r="F45" s="7">
        <v>27</v>
      </c>
      <c r="H45" s="7">
        <v>78</v>
      </c>
      <c r="J45" s="7">
        <f>80.5*2</f>
        <v>161</v>
      </c>
      <c r="K45" s="7">
        <f>95*2</f>
        <v>190</v>
      </c>
      <c r="L45" s="7">
        <f>166*2</f>
        <v>332</v>
      </c>
      <c r="M45" s="7">
        <f>4*60.5</f>
        <v>242</v>
      </c>
      <c r="N45" s="7">
        <f>16*60.5</f>
        <v>968</v>
      </c>
      <c r="O45" s="7">
        <f>24*60.5</f>
        <v>1452</v>
      </c>
      <c r="R45" s="7">
        <f>53*60.5</f>
        <v>3206.5</v>
      </c>
      <c r="S45" s="7">
        <f>73*60.5</f>
        <v>4416.5</v>
      </c>
      <c r="T45" s="7">
        <f>55*60.5</f>
        <v>3327.5</v>
      </c>
      <c r="V45" s="7">
        <f>40*60.5</f>
        <v>2420</v>
      </c>
    </row>
    <row r="46" spans="1:22" x14ac:dyDescent="0.3">
      <c r="A46" t="s">
        <v>44</v>
      </c>
      <c r="B46" t="s">
        <v>107</v>
      </c>
      <c r="C46" s="7">
        <v>20</v>
      </c>
      <c r="D46" s="12">
        <v>50</v>
      </c>
      <c r="F46" s="7">
        <v>18.5</v>
      </c>
      <c r="H46" s="7">
        <f>34.5*2</f>
        <v>69</v>
      </c>
      <c r="J46" s="7">
        <f>65.5*2</f>
        <v>131</v>
      </c>
      <c r="K46" s="7">
        <f>86.5*2</f>
        <v>173</v>
      </c>
      <c r="L46" s="7">
        <f>125.5*2</f>
        <v>251</v>
      </c>
      <c r="M46" s="7">
        <f>9*60.5</f>
        <v>544.5</v>
      </c>
      <c r="N46" s="7">
        <f>14*60.5</f>
        <v>847</v>
      </c>
      <c r="O46" s="7">
        <f>12*60.5</f>
        <v>726</v>
      </c>
      <c r="R46" s="7">
        <f>22*60.5</f>
        <v>1331</v>
      </c>
      <c r="S46" s="7">
        <f>36*60.5</f>
        <v>2178</v>
      </c>
      <c r="T46" s="7">
        <f>40*60.5</f>
        <v>2420</v>
      </c>
      <c r="V46" s="7">
        <f>47*60.5</f>
        <v>2843.5</v>
      </c>
    </row>
    <row r="47" spans="1:22" x14ac:dyDescent="0.3">
      <c r="A47" t="s">
        <v>45</v>
      </c>
      <c r="B47" t="s">
        <v>107</v>
      </c>
      <c r="C47" s="7">
        <v>20</v>
      </c>
      <c r="D47" s="12">
        <v>50</v>
      </c>
      <c r="F47" s="7">
        <v>17</v>
      </c>
      <c r="H47" s="7">
        <f>31*2</f>
        <v>62</v>
      </c>
      <c r="J47" s="7">
        <f>61.5*2</f>
        <v>123</v>
      </c>
      <c r="K47" s="7">
        <f>69.5*2</f>
        <v>139</v>
      </c>
      <c r="L47" s="7">
        <f>105*2</f>
        <v>210</v>
      </c>
      <c r="M47" s="7">
        <f>153.5*2</f>
        <v>307</v>
      </c>
      <c r="N47" s="7">
        <f>238*2</f>
        <v>476</v>
      </c>
      <c r="O47" s="7">
        <f>18*60.5</f>
        <v>1089</v>
      </c>
      <c r="R47" s="7">
        <f>32*60.5</f>
        <v>1936</v>
      </c>
      <c r="S47" s="7">
        <f>49*60.5</f>
        <v>2964.5</v>
      </c>
      <c r="T47" s="7">
        <f>44*60.5</f>
        <v>2662</v>
      </c>
      <c r="V47" s="7">
        <f>46*60.5</f>
        <v>2783</v>
      </c>
    </row>
    <row r="48" spans="1:22" x14ac:dyDescent="0.3">
      <c r="A48" t="s">
        <v>46</v>
      </c>
      <c r="B48" t="s">
        <v>107</v>
      </c>
      <c r="C48" s="7">
        <v>20</v>
      </c>
      <c r="D48" s="12">
        <v>50</v>
      </c>
      <c r="F48" s="7">
        <v>23</v>
      </c>
      <c r="H48" s="7">
        <f>37.5*2</f>
        <v>75</v>
      </c>
      <c r="J48" s="7">
        <f>71.5*2</f>
        <v>143</v>
      </c>
      <c r="K48" s="7">
        <f>71.5*2</f>
        <v>143</v>
      </c>
      <c r="L48" s="7">
        <f>95.5*2</f>
        <v>191</v>
      </c>
      <c r="M48" s="7">
        <f>141*2</f>
        <v>282</v>
      </c>
      <c r="N48" s="7">
        <f>194.5*2</f>
        <v>389</v>
      </c>
      <c r="O48" s="7">
        <f>250.5*2</f>
        <v>501</v>
      </c>
      <c r="R48" s="7">
        <f>31*60.5</f>
        <v>1875.5</v>
      </c>
      <c r="S48" s="7">
        <f>66*60.5</f>
        <v>3993</v>
      </c>
      <c r="T48" s="7">
        <f>66*60.5</f>
        <v>3993</v>
      </c>
      <c r="V48" s="7">
        <f>61*60.5</f>
        <v>3690.5</v>
      </c>
    </row>
    <row r="49" spans="1:22" x14ac:dyDescent="0.3">
      <c r="A49" t="s">
        <v>47</v>
      </c>
      <c r="B49" t="s">
        <v>107</v>
      </c>
      <c r="C49" s="7">
        <v>23</v>
      </c>
      <c r="D49" s="12">
        <v>50</v>
      </c>
      <c r="E49" s="7">
        <v>10</v>
      </c>
      <c r="F49" s="7">
        <v>45</v>
      </c>
      <c r="H49" s="7">
        <f>90.5*2</f>
        <v>181</v>
      </c>
      <c r="I49" s="7">
        <f>69*2</f>
        <v>138</v>
      </c>
      <c r="J49" s="7">
        <f>123*2</f>
        <v>246</v>
      </c>
      <c r="K49" s="7">
        <f>7*60.5</f>
        <v>423.5</v>
      </c>
      <c r="L49" s="7">
        <f>6*60.5</f>
        <v>363</v>
      </c>
      <c r="M49" s="7">
        <f>17*60.5</f>
        <v>1028.5</v>
      </c>
      <c r="N49" s="7">
        <f>19*60.5</f>
        <v>1149.5</v>
      </c>
      <c r="O49" s="7">
        <f>18*60.5</f>
        <v>1089</v>
      </c>
      <c r="R49" s="7">
        <f>129*60.5</f>
        <v>7804.5</v>
      </c>
      <c r="S49" s="7">
        <f>104*60.5</f>
        <v>6292</v>
      </c>
      <c r="T49" s="7">
        <f>77*60.5</f>
        <v>4658.5</v>
      </c>
      <c r="V49" s="7">
        <f>84*121</f>
        <v>10164</v>
      </c>
    </row>
    <row r="50" spans="1:22" x14ac:dyDescent="0.3">
      <c r="A50" t="s">
        <v>48</v>
      </c>
      <c r="B50" t="s">
        <v>107</v>
      </c>
      <c r="C50" s="7">
        <v>23</v>
      </c>
      <c r="D50" s="12">
        <v>50</v>
      </c>
      <c r="E50" s="7">
        <v>8.5</v>
      </c>
      <c r="F50" s="7">
        <v>29.5</v>
      </c>
      <c r="H50" s="7">
        <f>74.5*2</f>
        <v>149</v>
      </c>
      <c r="I50" s="7">
        <f>103.5*2</f>
        <v>207</v>
      </c>
      <c r="J50" s="7">
        <f>101.5*2</f>
        <v>203</v>
      </c>
      <c r="K50" s="7">
        <f>4*60.5</f>
        <v>242</v>
      </c>
      <c r="L50" s="7">
        <f>7*60.5</f>
        <v>423.5</v>
      </c>
      <c r="M50" s="7">
        <f>16*60.5</f>
        <v>968</v>
      </c>
      <c r="N50" s="7">
        <f>22*60.5</f>
        <v>1331</v>
      </c>
      <c r="O50" s="7">
        <f>30*60.5</f>
        <v>1815</v>
      </c>
      <c r="R50" s="7">
        <f>54*60.5</f>
        <v>3267</v>
      </c>
      <c r="S50" s="7">
        <f>73*60.5</f>
        <v>4416.5</v>
      </c>
      <c r="T50" s="7">
        <f>69*60.5</f>
        <v>4174.5</v>
      </c>
      <c r="V50" s="7">
        <f>39*121</f>
        <v>4719</v>
      </c>
    </row>
    <row r="51" spans="1:22" x14ac:dyDescent="0.3">
      <c r="A51" t="s">
        <v>49</v>
      </c>
      <c r="B51" t="s">
        <v>107</v>
      </c>
      <c r="C51" s="7">
        <v>23</v>
      </c>
      <c r="D51" s="12">
        <v>50</v>
      </c>
      <c r="E51" s="7">
        <v>9.5</v>
      </c>
      <c r="F51" s="7">
        <v>34</v>
      </c>
      <c r="H51" s="7">
        <f>71.5*2</f>
        <v>143</v>
      </c>
      <c r="I51" s="7">
        <f>59.5*2</f>
        <v>119</v>
      </c>
      <c r="J51" s="7">
        <f>100*2</f>
        <v>200</v>
      </c>
      <c r="K51" s="7">
        <f>4*60.5</f>
        <v>242</v>
      </c>
      <c r="L51" s="7">
        <f>8*60.5</f>
        <v>484</v>
      </c>
      <c r="M51" s="7">
        <f>17*60.5</f>
        <v>1028.5</v>
      </c>
      <c r="N51" s="7">
        <f>21*60.5</f>
        <v>1270.5</v>
      </c>
      <c r="O51" s="7">
        <f>21*60.5</f>
        <v>1270.5</v>
      </c>
      <c r="R51" s="7">
        <f>76*60.5</f>
        <v>4598</v>
      </c>
      <c r="S51" s="7">
        <f>99*60.5</f>
        <v>5989.5</v>
      </c>
      <c r="T51" s="7">
        <f>83*60.5</f>
        <v>5021.5</v>
      </c>
      <c r="V51" s="7">
        <f>82*121</f>
        <v>9922</v>
      </c>
    </row>
    <row r="52" spans="1:22" x14ac:dyDescent="0.3">
      <c r="A52" t="s">
        <v>50</v>
      </c>
      <c r="B52" t="s">
        <v>107</v>
      </c>
      <c r="C52" s="7">
        <v>23</v>
      </c>
      <c r="D52" s="12">
        <v>50</v>
      </c>
      <c r="E52" s="7">
        <v>10.5</v>
      </c>
      <c r="F52" s="7">
        <v>34.5</v>
      </c>
      <c r="H52" s="7">
        <f>65*2</f>
        <v>130</v>
      </c>
      <c r="I52" s="7">
        <f>53.5*2</f>
        <v>107</v>
      </c>
      <c r="J52" s="7">
        <f>92.5*2</f>
        <v>185</v>
      </c>
      <c r="K52" s="7">
        <f>14*60.5</f>
        <v>847</v>
      </c>
      <c r="L52" s="7">
        <f>3*60.5</f>
        <v>181.5</v>
      </c>
      <c r="M52" s="7">
        <f>9*60.5</f>
        <v>544.5</v>
      </c>
      <c r="N52" s="7">
        <f>13*60.5</f>
        <v>786.5</v>
      </c>
      <c r="O52" s="7">
        <f>11*60.5</f>
        <v>665.5</v>
      </c>
      <c r="R52" s="7">
        <f>44*60.5</f>
        <v>2662</v>
      </c>
      <c r="S52" s="7">
        <f>52*60.5</f>
        <v>3146</v>
      </c>
      <c r="T52" s="7">
        <f>67*60.5</f>
        <v>4053.5</v>
      </c>
      <c r="V52" s="7">
        <f>49*60.5</f>
        <v>2964.5</v>
      </c>
    </row>
    <row r="53" spans="1:22" x14ac:dyDescent="0.3">
      <c r="A53" t="s">
        <v>51</v>
      </c>
      <c r="B53" t="s">
        <v>107</v>
      </c>
      <c r="C53" s="7">
        <v>25</v>
      </c>
      <c r="D53" s="12">
        <v>50</v>
      </c>
      <c r="E53" s="7">
        <v>12.5</v>
      </c>
      <c r="F53" s="7">
        <v>53</v>
      </c>
      <c r="G53" s="7">
        <v>130</v>
      </c>
      <c r="H53" s="7">
        <v>196</v>
      </c>
      <c r="I53" s="7">
        <f>114*2</f>
        <v>228</v>
      </c>
      <c r="J53" s="7">
        <f>133.5*2</f>
        <v>267</v>
      </c>
      <c r="K53" s="7">
        <f>7*60.5</f>
        <v>423.5</v>
      </c>
      <c r="L53" s="7">
        <f>11*60.5</f>
        <v>665.5</v>
      </c>
      <c r="M53" s="7">
        <f>20*60.5</f>
        <v>1210</v>
      </c>
      <c r="N53" s="7">
        <f>11*60.5</f>
        <v>665.5</v>
      </c>
      <c r="O53" s="7">
        <f>14*60.5</f>
        <v>847</v>
      </c>
      <c r="R53" s="7">
        <f>40*60.5</f>
        <v>2420</v>
      </c>
      <c r="S53" s="7">
        <f>39*60.5</f>
        <v>2359.5</v>
      </c>
      <c r="T53" s="7">
        <f>49*60.5</f>
        <v>2964.5</v>
      </c>
      <c r="V53" s="7">
        <f>42*60.5</f>
        <v>2541</v>
      </c>
    </row>
    <row r="54" spans="1:22" x14ac:dyDescent="0.3">
      <c r="A54" t="s">
        <v>52</v>
      </c>
      <c r="B54" t="s">
        <v>107</v>
      </c>
      <c r="C54" s="7">
        <v>25</v>
      </c>
      <c r="D54" s="12">
        <v>50</v>
      </c>
      <c r="E54" s="7">
        <v>10.5</v>
      </c>
      <c r="F54" s="7">
        <v>53.5</v>
      </c>
      <c r="G54" s="7">
        <v>129</v>
      </c>
      <c r="H54" s="7">
        <v>118.5</v>
      </c>
      <c r="I54" s="7">
        <f>118*2</f>
        <v>236</v>
      </c>
      <c r="J54" s="7">
        <f>144*2</f>
        <v>288</v>
      </c>
      <c r="K54" s="7">
        <f>5*60.5</f>
        <v>302.5</v>
      </c>
      <c r="L54" s="7">
        <f>8*60.5</f>
        <v>484</v>
      </c>
      <c r="M54" s="7">
        <f>13*60.5</f>
        <v>786.5</v>
      </c>
      <c r="N54" s="7">
        <f>8*60.5</f>
        <v>484</v>
      </c>
      <c r="O54" s="7">
        <f>15*60.5</f>
        <v>907.5</v>
      </c>
      <c r="R54" s="7">
        <f>24*60.5</f>
        <v>1452</v>
      </c>
      <c r="S54" s="7">
        <f>24*60.5</f>
        <v>1452</v>
      </c>
      <c r="T54" s="7">
        <f>20*60.5</f>
        <v>1210</v>
      </c>
      <c r="V54" s="7">
        <f>28*60.5</f>
        <v>1694</v>
      </c>
    </row>
    <row r="55" spans="1:22" x14ac:dyDescent="0.3">
      <c r="A55" t="s">
        <v>53</v>
      </c>
      <c r="B55" t="s">
        <v>107</v>
      </c>
      <c r="C55" s="7">
        <v>25</v>
      </c>
      <c r="D55" s="12">
        <v>50</v>
      </c>
      <c r="E55" s="7">
        <v>11</v>
      </c>
      <c r="F55" s="7">
        <v>51</v>
      </c>
      <c r="G55" s="7">
        <v>113</v>
      </c>
      <c r="H55" s="7">
        <f>98.5*2</f>
        <v>197</v>
      </c>
      <c r="I55" s="7">
        <f>118.5*2</f>
        <v>237</v>
      </c>
      <c r="J55" s="7">
        <f>115.5*2</f>
        <v>231</v>
      </c>
      <c r="K55" s="7">
        <f>7*60.5</f>
        <v>423.5</v>
      </c>
      <c r="L55" s="7">
        <f>7*60.5</f>
        <v>423.5</v>
      </c>
      <c r="M55" s="7">
        <f>13*(60.5)</f>
        <v>786.5</v>
      </c>
      <c r="N55" s="7">
        <f>13*60.5</f>
        <v>786.5</v>
      </c>
      <c r="O55" s="7">
        <f>10*60.5</f>
        <v>605</v>
      </c>
      <c r="R55" s="7">
        <f>31*60.5</f>
        <v>1875.5</v>
      </c>
      <c r="S55" s="7">
        <f>26*60.5</f>
        <v>1573</v>
      </c>
      <c r="T55" s="7">
        <f>15*60.5</f>
        <v>907.5</v>
      </c>
      <c r="V55" s="7">
        <f>31*60.5</f>
        <v>1875.5</v>
      </c>
    </row>
    <row r="56" spans="1:22" x14ac:dyDescent="0.3">
      <c r="A56" t="s">
        <v>54</v>
      </c>
      <c r="B56" t="s">
        <v>107</v>
      </c>
      <c r="C56" s="7">
        <v>25</v>
      </c>
      <c r="D56" s="12">
        <v>50</v>
      </c>
      <c r="E56" s="7">
        <v>10.5</v>
      </c>
      <c r="F56" s="7">
        <v>49</v>
      </c>
      <c r="G56" s="7">
        <v>107</v>
      </c>
      <c r="H56" s="7">
        <v>153</v>
      </c>
      <c r="I56" s="7">
        <f>105.5*2</f>
        <v>211</v>
      </c>
      <c r="J56" s="7">
        <f>122.5*2</f>
        <v>245</v>
      </c>
      <c r="K56" s="7">
        <f>4*60.5</f>
        <v>242</v>
      </c>
      <c r="L56" s="7">
        <f>11*60.5</f>
        <v>665.5</v>
      </c>
      <c r="M56" s="7">
        <f>16*60.5</f>
        <v>968</v>
      </c>
      <c r="N56" s="7">
        <f>5*60.5</f>
        <v>302.5</v>
      </c>
      <c r="O56" s="7">
        <f>15*60.5</f>
        <v>907.5</v>
      </c>
      <c r="R56" s="7">
        <f>25*60.5</f>
        <v>1512.5</v>
      </c>
      <c r="S56" s="7">
        <f>51*60.5</f>
        <v>3085.5</v>
      </c>
      <c r="T56" s="7">
        <f>36*60.5</f>
        <v>2178</v>
      </c>
      <c r="V56" s="7">
        <f>42*60.5</f>
        <v>2541</v>
      </c>
    </row>
    <row r="57" spans="1:22" x14ac:dyDescent="0.3">
      <c r="A57" t="s">
        <v>55</v>
      </c>
      <c r="B57" t="s">
        <v>107</v>
      </c>
      <c r="C57" s="7">
        <v>27</v>
      </c>
      <c r="D57" s="12">
        <v>50</v>
      </c>
      <c r="E57" s="7">
        <v>12.5</v>
      </c>
      <c r="F57" s="7">
        <v>33</v>
      </c>
      <c r="G57" s="7">
        <v>67</v>
      </c>
      <c r="H57" s="7">
        <v>93</v>
      </c>
      <c r="I57" s="7">
        <f>75.5*2</f>
        <v>151</v>
      </c>
      <c r="J57" s="7">
        <f>112.5*2</f>
        <v>225</v>
      </c>
      <c r="K57" s="7">
        <f>171.5*2</f>
        <v>343</v>
      </c>
      <c r="L57" s="7">
        <f>13*60.5</f>
        <v>786.5</v>
      </c>
      <c r="M57" s="7">
        <f>36*60.5</f>
        <v>2178</v>
      </c>
      <c r="N57" s="7">
        <f>51*60.5</f>
        <v>3085.5</v>
      </c>
      <c r="O57" s="7">
        <f>81*60.5</f>
        <v>4900.5</v>
      </c>
      <c r="R57" s="7">
        <f>124*60.5</f>
        <v>7502</v>
      </c>
      <c r="S57" s="7">
        <f>76*60.5</f>
        <v>4598</v>
      </c>
      <c r="T57" s="7">
        <f>61*60.5</f>
        <v>3690.5</v>
      </c>
      <c r="V57" s="7">
        <f>38*121</f>
        <v>4598</v>
      </c>
    </row>
    <row r="58" spans="1:22" x14ac:dyDescent="0.3">
      <c r="A58" t="s">
        <v>56</v>
      </c>
      <c r="B58" t="s">
        <v>107</v>
      </c>
      <c r="C58" s="7">
        <v>27</v>
      </c>
      <c r="D58" s="12">
        <v>50</v>
      </c>
      <c r="E58" s="7">
        <v>20.5</v>
      </c>
      <c r="F58" s="7">
        <v>61</v>
      </c>
      <c r="G58" s="7">
        <v>135.5</v>
      </c>
      <c r="H58" s="7">
        <v>162.5</v>
      </c>
      <c r="I58" s="7">
        <f>67*2</f>
        <v>134</v>
      </c>
      <c r="J58" s="7">
        <f>149*2</f>
        <v>298</v>
      </c>
      <c r="K58" s="7">
        <f>180*2</f>
        <v>360</v>
      </c>
      <c r="L58" s="7">
        <f>14*60.5</f>
        <v>847</v>
      </c>
      <c r="M58" s="7">
        <f>18*60.5</f>
        <v>1089</v>
      </c>
      <c r="N58" s="7">
        <f>45*60.5</f>
        <v>2722.5</v>
      </c>
      <c r="O58" s="7">
        <f>36*60.5</f>
        <v>2178</v>
      </c>
      <c r="R58" s="7">
        <f>97*60.5</f>
        <v>5868.5</v>
      </c>
      <c r="S58" s="7">
        <f>66*60.5</f>
        <v>3993</v>
      </c>
      <c r="T58" s="7">
        <f>71*60.5</f>
        <v>4295.5</v>
      </c>
      <c r="V58" s="7">
        <f>15*121</f>
        <v>1815</v>
      </c>
    </row>
    <row r="59" spans="1:22" x14ac:dyDescent="0.3">
      <c r="A59" t="s">
        <v>57</v>
      </c>
      <c r="B59" t="s">
        <v>107</v>
      </c>
      <c r="C59" s="7">
        <v>27</v>
      </c>
      <c r="D59" s="12">
        <v>50</v>
      </c>
      <c r="E59" s="7">
        <v>10</v>
      </c>
      <c r="F59" s="7">
        <v>26.5</v>
      </c>
      <c r="G59" s="7">
        <v>45</v>
      </c>
      <c r="H59" s="7">
        <v>55</v>
      </c>
      <c r="I59" s="7">
        <f>38.5*2</f>
        <v>77</v>
      </c>
      <c r="J59" s="7">
        <f>36*2</f>
        <v>72</v>
      </c>
      <c r="K59" s="7">
        <f>73*2</f>
        <v>146</v>
      </c>
      <c r="L59" s="7">
        <f>65.5*2</f>
        <v>131</v>
      </c>
      <c r="M59" s="7">
        <f>103*2</f>
        <v>206</v>
      </c>
      <c r="N59" s="7">
        <f>14*60.5</f>
        <v>847</v>
      </c>
      <c r="O59" s="7">
        <f>11*60.5</f>
        <v>665.5</v>
      </c>
      <c r="R59" s="7">
        <f>26*60.5</f>
        <v>1573</v>
      </c>
      <c r="S59" s="7">
        <f>51*60.5</f>
        <v>3085.5</v>
      </c>
      <c r="T59" s="7">
        <f>34*60.5</f>
        <v>2057</v>
      </c>
      <c r="V59" s="7">
        <f>31*121</f>
        <v>3751</v>
      </c>
    </row>
    <row r="60" spans="1:22" x14ac:dyDescent="0.3">
      <c r="A60" t="s">
        <v>58</v>
      </c>
      <c r="B60" t="s">
        <v>107</v>
      </c>
      <c r="C60" s="7">
        <v>27</v>
      </c>
      <c r="D60" s="12">
        <v>50</v>
      </c>
      <c r="E60" s="7">
        <v>11</v>
      </c>
      <c r="F60" s="7">
        <v>34</v>
      </c>
      <c r="G60" s="7">
        <v>57.5</v>
      </c>
      <c r="H60" s="7">
        <v>72</v>
      </c>
      <c r="I60" s="7">
        <f>44.5*2</f>
        <v>89</v>
      </c>
      <c r="J60" s="7">
        <f>38*2</f>
        <v>76</v>
      </c>
      <c r="K60" s="7">
        <f>52*2</f>
        <v>104</v>
      </c>
      <c r="L60" s="7">
        <f>78.5*2</f>
        <v>157</v>
      </c>
      <c r="M60" s="7">
        <f>9*60.5</f>
        <v>544.5</v>
      </c>
      <c r="N60" s="7">
        <f>11*60.5</f>
        <v>665.5</v>
      </c>
      <c r="O60" s="7">
        <f>18*60.5</f>
        <v>1089</v>
      </c>
      <c r="R60" s="7">
        <f>30*60.5</f>
        <v>1815</v>
      </c>
      <c r="S60" s="7">
        <f>44*60.5</f>
        <v>2662</v>
      </c>
      <c r="T60" s="7">
        <f>46*60.5</f>
        <v>2783</v>
      </c>
      <c r="V60" s="7">
        <f>34*60.5</f>
        <v>2057</v>
      </c>
    </row>
    <row r="61" spans="1:22" x14ac:dyDescent="0.3">
      <c r="A61" t="s">
        <v>59</v>
      </c>
      <c r="B61" t="s">
        <v>107</v>
      </c>
      <c r="C61" s="7">
        <v>31</v>
      </c>
      <c r="D61" s="12">
        <v>50</v>
      </c>
      <c r="E61" s="7">
        <v>15.5</v>
      </c>
      <c r="F61" s="7">
        <v>43.5</v>
      </c>
      <c r="G61" s="7">
        <v>46</v>
      </c>
      <c r="H61" s="7">
        <v>56.5</v>
      </c>
      <c r="I61" s="7">
        <v>49</v>
      </c>
      <c r="J61" s="7">
        <v>78.5</v>
      </c>
      <c r="K61" s="7">
        <v>127.5</v>
      </c>
      <c r="L61" s="7">
        <f>122.5*2</f>
        <v>245</v>
      </c>
      <c r="M61" s="7">
        <f>200*2</f>
        <v>400</v>
      </c>
      <c r="N61" s="7">
        <f>281*2</f>
        <v>562</v>
      </c>
      <c r="O61" s="7">
        <f>18*60.5</f>
        <v>1089</v>
      </c>
      <c r="R61" s="7">
        <f>24*60.5</f>
        <v>1452</v>
      </c>
      <c r="S61" s="7">
        <f>31*60.5</f>
        <v>1875.5</v>
      </c>
      <c r="T61" s="7">
        <f>41*60.5</f>
        <v>2480.5</v>
      </c>
      <c r="V61" s="7">
        <f>30*60.5</f>
        <v>1815</v>
      </c>
    </row>
    <row r="62" spans="1:22" x14ac:dyDescent="0.3">
      <c r="A62" t="s">
        <v>60</v>
      </c>
      <c r="B62" t="s">
        <v>107</v>
      </c>
      <c r="C62" s="7">
        <v>31</v>
      </c>
      <c r="D62" s="12">
        <v>50</v>
      </c>
      <c r="E62" s="7">
        <v>15.5</v>
      </c>
      <c r="F62" s="7">
        <v>35</v>
      </c>
      <c r="G62" s="7">
        <v>41.5</v>
      </c>
      <c r="H62" s="7">
        <v>50.5</v>
      </c>
      <c r="I62" s="7">
        <v>49</v>
      </c>
      <c r="J62" s="7">
        <v>62</v>
      </c>
      <c r="K62" s="7">
        <v>111.5</v>
      </c>
      <c r="L62" s="7">
        <f>109*2</f>
        <v>218</v>
      </c>
      <c r="M62" s="7">
        <f>177.5*2</f>
        <v>355</v>
      </c>
      <c r="N62" s="7">
        <f>20*60.5</f>
        <v>1210</v>
      </c>
      <c r="O62" s="7">
        <f>13*60.5</f>
        <v>786.5</v>
      </c>
      <c r="R62" s="7">
        <f>32*60.5</f>
        <v>1936</v>
      </c>
      <c r="S62" s="7">
        <f>35*60.5</f>
        <v>2117.5</v>
      </c>
      <c r="T62" s="7">
        <f>39*60.5</f>
        <v>2359.5</v>
      </c>
      <c r="V62" s="7">
        <f>25*60.5</f>
        <v>1512.5</v>
      </c>
    </row>
    <row r="63" spans="1:22" x14ac:dyDescent="0.3">
      <c r="A63" t="s">
        <v>61</v>
      </c>
      <c r="B63" t="s">
        <v>107</v>
      </c>
      <c r="C63" s="7">
        <v>31</v>
      </c>
      <c r="D63" s="12">
        <v>50</v>
      </c>
      <c r="E63" s="7">
        <v>20</v>
      </c>
      <c r="F63" s="7">
        <v>55</v>
      </c>
      <c r="G63" s="7">
        <v>59.5</v>
      </c>
      <c r="H63" s="7">
        <v>54.5</v>
      </c>
      <c r="I63" s="7">
        <v>48.5</v>
      </c>
      <c r="J63" s="7">
        <v>47</v>
      </c>
      <c r="K63" s="7">
        <v>31</v>
      </c>
      <c r="L63" s="7">
        <v>33.5</v>
      </c>
      <c r="M63" s="7">
        <v>22</v>
      </c>
      <c r="N63" s="7">
        <v>28.5</v>
      </c>
      <c r="O63" s="7">
        <v>30.5</v>
      </c>
      <c r="R63" s="7">
        <v>56</v>
      </c>
      <c r="S63" s="7">
        <v>78</v>
      </c>
      <c r="T63" s="7">
        <v>120</v>
      </c>
      <c r="V63" s="7">
        <f>3*60.5</f>
        <v>181.5</v>
      </c>
    </row>
    <row r="64" spans="1:22" x14ac:dyDescent="0.3">
      <c r="A64" t="s">
        <v>62</v>
      </c>
      <c r="B64" t="s">
        <v>107</v>
      </c>
      <c r="C64" s="7">
        <v>31</v>
      </c>
      <c r="D64" s="12">
        <v>50</v>
      </c>
      <c r="E64" s="7">
        <v>23</v>
      </c>
      <c r="F64" s="7">
        <v>55.5</v>
      </c>
      <c r="G64" s="7">
        <v>54</v>
      </c>
      <c r="H64" s="7">
        <v>55</v>
      </c>
      <c r="I64" s="7">
        <v>54</v>
      </c>
      <c r="J64" s="7">
        <v>45.5</v>
      </c>
      <c r="K64" s="7">
        <v>25</v>
      </c>
      <c r="L64" s="7">
        <v>33</v>
      </c>
      <c r="M64" s="7">
        <v>27</v>
      </c>
      <c r="N64" s="7">
        <v>27.5</v>
      </c>
      <c r="O64" s="7">
        <v>23.5</v>
      </c>
      <c r="R64" s="7">
        <v>55</v>
      </c>
      <c r="S64" s="7">
        <v>82</v>
      </c>
      <c r="T64" s="7">
        <v>98</v>
      </c>
      <c r="V64" s="7">
        <f>5*60.5</f>
        <v>302.5</v>
      </c>
    </row>
    <row r="65" spans="1:24" x14ac:dyDescent="0.3">
      <c r="D65" s="12"/>
    </row>
    <row r="66" spans="1:24" x14ac:dyDescent="0.3">
      <c r="A66" s="22" t="s">
        <v>112</v>
      </c>
      <c r="B66" s="22"/>
      <c r="C66" s="22"/>
      <c r="D66" s="22"/>
      <c r="E66" s="22"/>
      <c r="F66" s="22"/>
    </row>
    <row r="67" spans="1:24" s="4" customFormat="1" x14ac:dyDescent="0.3">
      <c r="A67" s="10"/>
      <c r="B67" s="10"/>
      <c r="C67" s="10"/>
      <c r="D67" s="21" t="s">
        <v>104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4" s="4" customFormat="1" x14ac:dyDescent="0.3">
      <c r="A68" s="8" t="s">
        <v>0</v>
      </c>
      <c r="B68" s="8" t="s">
        <v>106</v>
      </c>
      <c r="C68" s="11" t="s">
        <v>103</v>
      </c>
      <c r="D68" s="11">
        <v>0</v>
      </c>
      <c r="E68" s="11">
        <v>1</v>
      </c>
      <c r="F68" s="11">
        <v>2</v>
      </c>
      <c r="G68" s="11">
        <v>3</v>
      </c>
      <c r="H68" s="11">
        <v>4</v>
      </c>
      <c r="I68" s="11">
        <v>5</v>
      </c>
      <c r="J68" s="11">
        <v>6</v>
      </c>
      <c r="K68" s="11">
        <v>7</v>
      </c>
      <c r="L68" s="11">
        <v>8</v>
      </c>
      <c r="M68" s="11">
        <v>9</v>
      </c>
      <c r="N68" s="11">
        <v>10</v>
      </c>
      <c r="O68" s="11">
        <v>11</v>
      </c>
      <c r="P68" s="11">
        <v>12</v>
      </c>
      <c r="Q68" s="11">
        <v>13</v>
      </c>
      <c r="R68" s="11">
        <v>14</v>
      </c>
      <c r="S68" s="11">
        <v>15</v>
      </c>
      <c r="T68" s="11">
        <v>16</v>
      </c>
      <c r="U68" s="11">
        <v>17</v>
      </c>
      <c r="V68" s="11">
        <v>18</v>
      </c>
    </row>
    <row r="69" spans="1:24" x14ac:dyDescent="0.3">
      <c r="A69" t="s">
        <v>3</v>
      </c>
      <c r="B69" t="s">
        <v>63</v>
      </c>
      <c r="C69" s="7">
        <v>17</v>
      </c>
      <c r="D69" s="7">
        <v>2</v>
      </c>
      <c r="F69" s="7">
        <v>2</v>
      </c>
      <c r="H69" s="7">
        <v>1</v>
      </c>
      <c r="J69" s="7">
        <v>9.5</v>
      </c>
      <c r="K69" s="7">
        <v>15</v>
      </c>
      <c r="L69" s="7">
        <v>27</v>
      </c>
      <c r="M69" s="7">
        <v>54.5</v>
      </c>
      <c r="N69" s="7">
        <v>121</v>
      </c>
      <c r="O69" s="13">
        <v>158.5</v>
      </c>
      <c r="Q69" s="7">
        <v>154</v>
      </c>
      <c r="R69" s="7">
        <v>147.5</v>
      </c>
      <c r="S69" s="7">
        <v>141</v>
      </c>
      <c r="T69" s="7">
        <v>138</v>
      </c>
      <c r="V69" s="7">
        <v>57</v>
      </c>
      <c r="X69" s="1" t="s">
        <v>109</v>
      </c>
    </row>
    <row r="70" spans="1:24" x14ac:dyDescent="0.3">
      <c r="A70" t="s">
        <v>4</v>
      </c>
      <c r="B70" t="s">
        <v>63</v>
      </c>
      <c r="C70" s="7">
        <v>17</v>
      </c>
      <c r="D70" s="7">
        <v>2</v>
      </c>
      <c r="F70" s="7">
        <v>3</v>
      </c>
      <c r="H70" s="7">
        <v>6</v>
      </c>
      <c r="J70" s="7">
        <v>20.5</v>
      </c>
      <c r="K70" s="7">
        <v>32</v>
      </c>
      <c r="L70" s="7">
        <v>59.5</v>
      </c>
      <c r="M70" s="13">
        <v>100</v>
      </c>
      <c r="N70" s="7">
        <v>99</v>
      </c>
      <c r="O70" s="7">
        <v>90.5</v>
      </c>
      <c r="P70" s="13">
        <v>119</v>
      </c>
      <c r="Q70" s="7">
        <v>102</v>
      </c>
      <c r="R70" s="7">
        <v>90.5</v>
      </c>
      <c r="S70" s="7">
        <v>82</v>
      </c>
      <c r="T70" s="7">
        <v>59.5</v>
      </c>
      <c r="V70" s="7">
        <v>0</v>
      </c>
    </row>
    <row r="71" spans="1:24" x14ac:dyDescent="0.3">
      <c r="A71" s="2" t="s">
        <v>5</v>
      </c>
      <c r="B71" s="2" t="s">
        <v>63</v>
      </c>
      <c r="C71" s="14">
        <v>17</v>
      </c>
      <c r="D71" s="14">
        <v>2</v>
      </c>
      <c r="E71" s="14"/>
      <c r="F71" s="14">
        <v>2</v>
      </c>
      <c r="G71" s="14"/>
      <c r="H71" s="14">
        <v>1</v>
      </c>
      <c r="I71" s="14"/>
      <c r="J71" s="14">
        <v>0</v>
      </c>
      <c r="K71" s="14">
        <v>0</v>
      </c>
      <c r="L71" s="14">
        <v>1</v>
      </c>
      <c r="M71" s="14">
        <v>1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/>
      <c r="V71" s="14">
        <v>0</v>
      </c>
      <c r="W71" s="2" t="s">
        <v>108</v>
      </c>
    </row>
    <row r="72" spans="1:24" x14ac:dyDescent="0.3">
      <c r="A72" t="s">
        <v>6</v>
      </c>
      <c r="B72" t="s">
        <v>63</v>
      </c>
      <c r="C72" s="7">
        <v>17</v>
      </c>
      <c r="D72" s="7">
        <v>2</v>
      </c>
      <c r="F72" s="7">
        <v>3</v>
      </c>
      <c r="H72" s="7">
        <v>5</v>
      </c>
      <c r="J72" s="7">
        <v>25</v>
      </c>
      <c r="K72" s="7">
        <v>39</v>
      </c>
      <c r="L72" s="7">
        <v>60</v>
      </c>
      <c r="M72" s="7">
        <v>63.5</v>
      </c>
      <c r="N72" s="13">
        <v>65.5</v>
      </c>
      <c r="O72" s="7">
        <v>49</v>
      </c>
      <c r="P72" s="7">
        <v>63</v>
      </c>
      <c r="Q72" s="7">
        <v>53</v>
      </c>
      <c r="R72" s="7">
        <v>34.5</v>
      </c>
      <c r="S72" s="7">
        <v>17</v>
      </c>
      <c r="T72" s="7">
        <v>0</v>
      </c>
      <c r="V72" s="7">
        <v>0</v>
      </c>
    </row>
    <row r="73" spans="1:24" x14ac:dyDescent="0.3">
      <c r="A73" t="s">
        <v>7</v>
      </c>
      <c r="B73" t="s">
        <v>63</v>
      </c>
      <c r="C73" s="7">
        <v>17</v>
      </c>
      <c r="D73" s="7">
        <v>2</v>
      </c>
      <c r="F73" s="7">
        <v>2</v>
      </c>
      <c r="H73" s="7">
        <v>3</v>
      </c>
      <c r="J73" s="7">
        <v>12.5</v>
      </c>
      <c r="K73" s="7">
        <v>25.5</v>
      </c>
      <c r="L73" s="7">
        <v>50</v>
      </c>
      <c r="M73" s="13">
        <v>115</v>
      </c>
      <c r="N73" s="7">
        <v>103.5</v>
      </c>
      <c r="O73" s="7">
        <v>112</v>
      </c>
      <c r="P73" s="7">
        <v>110</v>
      </c>
      <c r="Q73" s="7">
        <v>89</v>
      </c>
      <c r="R73" s="7">
        <v>102.5</v>
      </c>
      <c r="S73" s="7">
        <v>98.5</v>
      </c>
      <c r="T73" s="7">
        <v>79.5</v>
      </c>
      <c r="V73" s="7">
        <v>0</v>
      </c>
    </row>
    <row r="74" spans="1:24" x14ac:dyDescent="0.3">
      <c r="A74" t="s">
        <v>8</v>
      </c>
      <c r="B74" t="s">
        <v>63</v>
      </c>
      <c r="C74" s="7">
        <v>17</v>
      </c>
      <c r="D74" s="7">
        <v>2</v>
      </c>
      <c r="F74" s="7">
        <v>1</v>
      </c>
      <c r="H74" s="7">
        <v>6</v>
      </c>
      <c r="J74" s="7">
        <v>11</v>
      </c>
      <c r="K74" s="7">
        <v>9</v>
      </c>
      <c r="L74" s="7">
        <v>27</v>
      </c>
      <c r="M74" s="7">
        <v>45.4</v>
      </c>
      <c r="N74" s="7">
        <v>76</v>
      </c>
      <c r="O74" s="7">
        <v>118.5</v>
      </c>
      <c r="P74" s="13">
        <v>126</v>
      </c>
      <c r="Q74" s="7">
        <v>119</v>
      </c>
      <c r="R74" s="7">
        <v>121</v>
      </c>
      <c r="S74" s="7">
        <v>129.5</v>
      </c>
      <c r="T74" s="7">
        <v>121</v>
      </c>
      <c r="V74" s="7">
        <v>17</v>
      </c>
    </row>
    <row r="75" spans="1:24" x14ac:dyDescent="0.3">
      <c r="A75" t="s">
        <v>9</v>
      </c>
      <c r="B75" t="s">
        <v>63</v>
      </c>
      <c r="C75" s="7">
        <v>20</v>
      </c>
      <c r="D75" s="7">
        <v>2</v>
      </c>
      <c r="F75" s="7">
        <v>2</v>
      </c>
      <c r="H75" s="7">
        <v>1</v>
      </c>
      <c r="J75" s="7">
        <v>6</v>
      </c>
      <c r="K75" s="7">
        <v>22.5</v>
      </c>
      <c r="L75" s="7">
        <v>64</v>
      </c>
      <c r="M75" s="7">
        <v>140.5</v>
      </c>
      <c r="N75" s="13">
        <v>258.5</v>
      </c>
      <c r="O75" s="7">
        <v>242.5</v>
      </c>
      <c r="Q75" s="7">
        <v>210</v>
      </c>
      <c r="R75" s="7">
        <v>188.5</v>
      </c>
      <c r="S75" s="7">
        <v>160</v>
      </c>
      <c r="T75" s="7">
        <v>59</v>
      </c>
      <c r="V75" s="7">
        <v>0</v>
      </c>
    </row>
    <row r="76" spans="1:24" x14ac:dyDescent="0.3">
      <c r="A76" t="s">
        <v>10</v>
      </c>
      <c r="B76" t="s">
        <v>63</v>
      </c>
      <c r="C76" s="7">
        <v>20</v>
      </c>
      <c r="D76" s="7">
        <v>2</v>
      </c>
      <c r="F76" s="7">
        <v>2</v>
      </c>
      <c r="H76" s="7">
        <v>4</v>
      </c>
      <c r="J76" s="7">
        <v>24.5</v>
      </c>
      <c r="K76" s="7">
        <v>62.5</v>
      </c>
      <c r="L76" s="7">
        <v>151.5</v>
      </c>
      <c r="M76" s="13">
        <v>193.5</v>
      </c>
      <c r="N76" s="7">
        <v>174.5</v>
      </c>
      <c r="O76" s="7">
        <v>114</v>
      </c>
      <c r="P76" s="7">
        <v>171</v>
      </c>
      <c r="Q76" s="7">
        <v>123</v>
      </c>
      <c r="R76" s="7">
        <v>64.5</v>
      </c>
      <c r="S76" s="7">
        <v>0</v>
      </c>
      <c r="T76" s="7">
        <v>0</v>
      </c>
      <c r="V76" s="7">
        <v>0</v>
      </c>
    </row>
    <row r="77" spans="1:24" x14ac:dyDescent="0.3">
      <c r="A77" t="s">
        <v>11</v>
      </c>
      <c r="B77" t="s">
        <v>63</v>
      </c>
      <c r="C77" s="7">
        <v>20</v>
      </c>
      <c r="D77" s="7">
        <v>2</v>
      </c>
      <c r="F77" s="7">
        <v>4</v>
      </c>
      <c r="H77" s="7">
        <v>16.5</v>
      </c>
      <c r="J77" s="13">
        <v>121.5</v>
      </c>
      <c r="K77" s="7">
        <v>95.5</v>
      </c>
      <c r="L77" s="7">
        <v>94</v>
      </c>
      <c r="M77" s="7">
        <v>62.5</v>
      </c>
      <c r="N77" s="7">
        <v>61</v>
      </c>
      <c r="O77" s="7">
        <v>50.5</v>
      </c>
      <c r="P77" s="7">
        <v>7</v>
      </c>
      <c r="Q77" s="7">
        <v>0</v>
      </c>
      <c r="R77" s="7">
        <v>0</v>
      </c>
      <c r="S77" s="7">
        <v>0</v>
      </c>
      <c r="T77" s="7">
        <v>0</v>
      </c>
      <c r="V77" s="7">
        <v>0</v>
      </c>
    </row>
    <row r="78" spans="1:24" x14ac:dyDescent="0.3">
      <c r="A78" t="s">
        <v>12</v>
      </c>
      <c r="B78" t="s">
        <v>63</v>
      </c>
      <c r="C78" s="7">
        <v>20</v>
      </c>
      <c r="D78" s="7">
        <v>2</v>
      </c>
      <c r="F78" s="7">
        <v>2</v>
      </c>
      <c r="H78" s="7">
        <v>1</v>
      </c>
      <c r="J78" s="7">
        <v>7</v>
      </c>
      <c r="K78" s="7">
        <v>17.5</v>
      </c>
      <c r="L78" s="7">
        <v>47</v>
      </c>
      <c r="M78" s="7">
        <v>85</v>
      </c>
      <c r="N78" s="13">
        <v>173</v>
      </c>
      <c r="O78" s="7">
        <v>161.5</v>
      </c>
      <c r="P78" s="7">
        <v>160</v>
      </c>
      <c r="Q78" s="7">
        <v>128</v>
      </c>
      <c r="R78" s="7">
        <v>115.5</v>
      </c>
      <c r="S78" s="7">
        <v>99.5</v>
      </c>
      <c r="T78" s="7">
        <v>30</v>
      </c>
      <c r="V78" s="7">
        <v>0</v>
      </c>
    </row>
    <row r="79" spans="1:24" x14ac:dyDescent="0.3">
      <c r="A79" t="s">
        <v>13</v>
      </c>
      <c r="B79" t="s">
        <v>63</v>
      </c>
      <c r="C79" s="7">
        <v>20</v>
      </c>
      <c r="D79" s="7">
        <v>2</v>
      </c>
      <c r="F79" s="7">
        <v>1</v>
      </c>
      <c r="H79" s="7">
        <v>7</v>
      </c>
      <c r="J79" s="7">
        <v>62.5</v>
      </c>
      <c r="K79" s="13">
        <v>88.5</v>
      </c>
      <c r="L79" s="7">
        <v>81</v>
      </c>
      <c r="M79" s="7">
        <v>78.5</v>
      </c>
      <c r="N79" s="7">
        <v>65</v>
      </c>
      <c r="O79" s="7">
        <v>44</v>
      </c>
      <c r="P79" s="7">
        <v>27</v>
      </c>
      <c r="Q79" s="7">
        <v>6</v>
      </c>
      <c r="R79" s="7">
        <v>0</v>
      </c>
      <c r="S79" s="7">
        <v>0</v>
      </c>
      <c r="T79" s="7">
        <v>0</v>
      </c>
      <c r="V79" s="7">
        <v>0</v>
      </c>
    </row>
    <row r="80" spans="1:24" x14ac:dyDescent="0.3">
      <c r="A80" t="s">
        <v>14</v>
      </c>
      <c r="B80" t="s">
        <v>63</v>
      </c>
      <c r="C80" s="7">
        <v>20</v>
      </c>
      <c r="D80" s="7">
        <v>2</v>
      </c>
      <c r="F80" s="7">
        <v>4</v>
      </c>
      <c r="H80" s="7">
        <v>28.5</v>
      </c>
      <c r="J80" s="13">
        <v>121</v>
      </c>
      <c r="K80" s="7">
        <v>85.5</v>
      </c>
      <c r="L80" s="7">
        <v>80.5</v>
      </c>
      <c r="M80" s="7">
        <v>58.5</v>
      </c>
      <c r="N80" s="7">
        <v>52</v>
      </c>
      <c r="O80" s="7">
        <v>37.5</v>
      </c>
      <c r="P80" s="7">
        <v>1</v>
      </c>
      <c r="Q80" s="7">
        <v>0</v>
      </c>
      <c r="R80" s="7">
        <v>0</v>
      </c>
      <c r="S80" s="7">
        <v>0</v>
      </c>
      <c r="T80" s="7">
        <v>0</v>
      </c>
      <c r="V80" s="7">
        <v>0</v>
      </c>
    </row>
    <row r="81" spans="1:23" x14ac:dyDescent="0.3">
      <c r="A81" t="s">
        <v>15</v>
      </c>
      <c r="B81" t="s">
        <v>63</v>
      </c>
      <c r="C81" s="7">
        <v>23</v>
      </c>
      <c r="D81" s="7">
        <v>2</v>
      </c>
      <c r="E81" s="7">
        <v>2</v>
      </c>
      <c r="F81" s="7">
        <v>2</v>
      </c>
      <c r="H81" s="7">
        <v>11.5</v>
      </c>
      <c r="I81" s="7">
        <v>31</v>
      </c>
      <c r="J81" s="13">
        <v>129</v>
      </c>
      <c r="K81" s="7">
        <v>114.5</v>
      </c>
      <c r="L81" s="7">
        <v>74</v>
      </c>
      <c r="M81" s="7">
        <v>59</v>
      </c>
      <c r="N81" s="7">
        <v>23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V81" s="7">
        <v>0</v>
      </c>
    </row>
    <row r="82" spans="1:23" x14ac:dyDescent="0.3">
      <c r="A82" t="s">
        <v>16</v>
      </c>
      <c r="B82" t="s">
        <v>63</v>
      </c>
      <c r="C82" s="7">
        <v>23</v>
      </c>
      <c r="D82" s="7">
        <v>2</v>
      </c>
      <c r="E82" s="7">
        <v>1</v>
      </c>
      <c r="F82" s="7">
        <v>3</v>
      </c>
      <c r="H82" s="7">
        <v>67</v>
      </c>
      <c r="I82" s="13">
        <v>92.5</v>
      </c>
      <c r="J82" s="7">
        <v>65.5</v>
      </c>
      <c r="K82" s="7">
        <v>43</v>
      </c>
      <c r="L82" s="7">
        <v>12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V82" s="7">
        <v>0</v>
      </c>
    </row>
    <row r="83" spans="1:23" x14ac:dyDescent="0.3">
      <c r="A83" s="2" t="s">
        <v>17</v>
      </c>
      <c r="B83" s="2" t="s">
        <v>63</v>
      </c>
      <c r="C83" s="14">
        <v>23</v>
      </c>
      <c r="D83" s="14">
        <v>2</v>
      </c>
      <c r="E83" s="14">
        <v>1</v>
      </c>
      <c r="F83" s="14">
        <v>1</v>
      </c>
      <c r="G83" s="14"/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/>
      <c r="V83" s="14">
        <v>0</v>
      </c>
      <c r="W83" s="2" t="s">
        <v>108</v>
      </c>
    </row>
    <row r="84" spans="1:23" x14ac:dyDescent="0.3">
      <c r="A84" t="s">
        <v>18</v>
      </c>
      <c r="B84" t="s">
        <v>63</v>
      </c>
      <c r="C84" s="7">
        <v>23</v>
      </c>
      <c r="D84" s="7">
        <v>2</v>
      </c>
      <c r="E84" s="7">
        <v>2</v>
      </c>
      <c r="F84" s="7">
        <v>3</v>
      </c>
      <c r="H84" s="7">
        <v>37</v>
      </c>
      <c r="I84" s="7">
        <v>92.5</v>
      </c>
      <c r="J84" s="13">
        <v>99</v>
      </c>
      <c r="K84" s="7">
        <v>52</v>
      </c>
      <c r="L84" s="7">
        <v>41</v>
      </c>
      <c r="M84" s="7">
        <v>5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V84" s="7">
        <v>0</v>
      </c>
    </row>
    <row r="85" spans="1:23" x14ac:dyDescent="0.3">
      <c r="A85" t="s">
        <v>19</v>
      </c>
      <c r="B85" t="s">
        <v>63</v>
      </c>
      <c r="C85" s="7">
        <v>23</v>
      </c>
      <c r="D85" s="7">
        <v>2</v>
      </c>
      <c r="E85" s="7">
        <v>2</v>
      </c>
      <c r="F85" s="7">
        <v>2</v>
      </c>
      <c r="H85" s="7">
        <v>0</v>
      </c>
      <c r="I85" s="7">
        <v>0</v>
      </c>
      <c r="J85" s="7">
        <v>6</v>
      </c>
      <c r="K85" s="7">
        <v>17.5</v>
      </c>
      <c r="L85" s="7">
        <v>60</v>
      </c>
      <c r="M85" s="7">
        <v>208</v>
      </c>
      <c r="N85" s="13">
        <v>294.5</v>
      </c>
      <c r="O85" s="7">
        <v>256</v>
      </c>
      <c r="R85" s="7">
        <v>0</v>
      </c>
      <c r="S85" s="7">
        <v>0</v>
      </c>
      <c r="T85" s="7">
        <v>0</v>
      </c>
      <c r="V85" s="7">
        <v>0</v>
      </c>
    </row>
    <row r="86" spans="1:23" x14ac:dyDescent="0.3">
      <c r="A86" t="s">
        <v>20</v>
      </c>
      <c r="B86" t="s">
        <v>63</v>
      </c>
      <c r="C86" s="7">
        <v>23</v>
      </c>
      <c r="D86" s="7">
        <v>2</v>
      </c>
      <c r="E86" s="7">
        <v>2</v>
      </c>
      <c r="F86" s="7">
        <v>4</v>
      </c>
      <c r="H86" s="7">
        <v>62.5</v>
      </c>
      <c r="I86" s="13">
        <v>128</v>
      </c>
      <c r="J86" s="7">
        <v>100.5</v>
      </c>
      <c r="K86" s="7">
        <v>64</v>
      </c>
      <c r="L86" s="7">
        <v>19</v>
      </c>
      <c r="M86" s="7">
        <v>1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V86" s="7">
        <v>0</v>
      </c>
    </row>
    <row r="87" spans="1:23" x14ac:dyDescent="0.3">
      <c r="A87" t="s">
        <v>21</v>
      </c>
      <c r="B87" t="s">
        <v>63</v>
      </c>
      <c r="C87" s="7">
        <v>25</v>
      </c>
      <c r="D87" s="7">
        <v>2</v>
      </c>
      <c r="E87" s="7">
        <v>2</v>
      </c>
      <c r="F87" s="7">
        <v>1</v>
      </c>
      <c r="G87" s="7">
        <v>3</v>
      </c>
      <c r="H87" s="7">
        <v>10.5</v>
      </c>
      <c r="I87" s="7">
        <v>57.5</v>
      </c>
      <c r="J87" s="13">
        <v>124.5</v>
      </c>
      <c r="K87" s="7">
        <v>88</v>
      </c>
      <c r="L87" s="7">
        <v>72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V87" s="7">
        <v>0</v>
      </c>
    </row>
    <row r="88" spans="1:23" x14ac:dyDescent="0.3">
      <c r="A88" t="s">
        <v>22</v>
      </c>
      <c r="B88" t="s">
        <v>63</v>
      </c>
      <c r="C88" s="7">
        <v>25</v>
      </c>
      <c r="D88" s="7">
        <v>2</v>
      </c>
      <c r="E88" s="7">
        <v>3</v>
      </c>
      <c r="F88" s="7">
        <v>7</v>
      </c>
      <c r="G88" s="7">
        <v>17</v>
      </c>
      <c r="H88" s="7">
        <v>50.5</v>
      </c>
      <c r="I88" s="13">
        <v>102</v>
      </c>
      <c r="J88" s="7">
        <v>72.5</v>
      </c>
      <c r="K88" s="7">
        <v>58</v>
      </c>
      <c r="L88" s="7">
        <v>2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V88" s="7">
        <v>0</v>
      </c>
    </row>
    <row r="89" spans="1:23" x14ac:dyDescent="0.3">
      <c r="A89" s="2" t="s">
        <v>23</v>
      </c>
      <c r="B89" s="2" t="s">
        <v>63</v>
      </c>
      <c r="C89" s="14">
        <v>25</v>
      </c>
      <c r="D89" s="14">
        <v>2</v>
      </c>
      <c r="E89" s="14">
        <v>2</v>
      </c>
      <c r="F89" s="14">
        <v>2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/>
      <c r="V89" s="14">
        <v>0</v>
      </c>
      <c r="W89" s="2" t="s">
        <v>108</v>
      </c>
    </row>
    <row r="90" spans="1:23" x14ac:dyDescent="0.3">
      <c r="A90" t="s">
        <v>24</v>
      </c>
      <c r="B90" t="s">
        <v>63</v>
      </c>
      <c r="C90" s="7">
        <v>25</v>
      </c>
      <c r="D90" s="7">
        <v>2</v>
      </c>
      <c r="E90" s="7">
        <v>3</v>
      </c>
      <c r="F90" s="7">
        <v>11</v>
      </c>
      <c r="G90" s="7">
        <v>70</v>
      </c>
      <c r="H90" s="13">
        <v>90</v>
      </c>
      <c r="I90" s="7">
        <v>63</v>
      </c>
      <c r="J90" s="7">
        <v>38</v>
      </c>
      <c r="K90" s="7">
        <v>5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V90" s="7">
        <v>0</v>
      </c>
    </row>
    <row r="91" spans="1:23" x14ac:dyDescent="0.3">
      <c r="A91" t="s">
        <v>25</v>
      </c>
      <c r="B91" t="s">
        <v>63</v>
      </c>
      <c r="C91" s="7">
        <v>25</v>
      </c>
      <c r="D91" s="7">
        <v>2</v>
      </c>
      <c r="E91" s="7">
        <v>3</v>
      </c>
      <c r="F91" s="7">
        <v>11</v>
      </c>
      <c r="G91" s="7">
        <v>59.5</v>
      </c>
      <c r="H91" s="13">
        <v>116</v>
      </c>
      <c r="I91" s="7">
        <v>98.5</v>
      </c>
      <c r="J91" s="7">
        <v>77.5</v>
      </c>
      <c r="K91" s="7">
        <v>22.5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V91" s="7">
        <v>0</v>
      </c>
    </row>
    <row r="92" spans="1:23" x14ac:dyDescent="0.3">
      <c r="A92" t="s">
        <v>26</v>
      </c>
      <c r="B92" t="s">
        <v>63</v>
      </c>
      <c r="C92" s="7">
        <v>25</v>
      </c>
      <c r="D92" s="7">
        <v>2</v>
      </c>
      <c r="E92" s="7">
        <v>3</v>
      </c>
      <c r="F92" s="7">
        <v>8</v>
      </c>
      <c r="G92" s="7">
        <v>35.5</v>
      </c>
      <c r="H92" s="13">
        <v>102.5</v>
      </c>
      <c r="I92" s="7">
        <v>95.5</v>
      </c>
      <c r="J92" s="7">
        <v>88.5</v>
      </c>
      <c r="K92" s="7">
        <v>17.5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V92" s="7">
        <v>0</v>
      </c>
    </row>
    <row r="93" spans="1:23" x14ac:dyDescent="0.3">
      <c r="A93" t="s">
        <v>27</v>
      </c>
      <c r="B93" t="s">
        <v>63</v>
      </c>
      <c r="C93" s="7">
        <v>27</v>
      </c>
      <c r="D93" s="7">
        <v>2</v>
      </c>
      <c r="E93" s="7">
        <v>4</v>
      </c>
      <c r="F93" s="7">
        <v>10.5</v>
      </c>
      <c r="G93" s="7">
        <v>74.5</v>
      </c>
      <c r="H93" s="13">
        <v>93.5</v>
      </c>
      <c r="I93" s="7">
        <v>65</v>
      </c>
      <c r="J93" s="7">
        <v>2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V93" s="7">
        <v>0</v>
      </c>
    </row>
    <row r="94" spans="1:23" x14ac:dyDescent="0.3">
      <c r="A94" t="s">
        <v>28</v>
      </c>
      <c r="B94" t="s">
        <v>63</v>
      </c>
      <c r="C94" s="7">
        <v>27</v>
      </c>
      <c r="D94" s="7">
        <v>2</v>
      </c>
      <c r="E94" s="7">
        <v>2</v>
      </c>
      <c r="F94" s="7">
        <v>4</v>
      </c>
      <c r="G94" s="7">
        <v>10.5</v>
      </c>
      <c r="H94" s="7">
        <v>29</v>
      </c>
      <c r="I94" s="7">
        <v>67</v>
      </c>
      <c r="J94" s="13">
        <v>79.5</v>
      </c>
      <c r="K94" s="7">
        <v>36</v>
      </c>
      <c r="L94" s="7">
        <v>3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V94" s="7">
        <v>0</v>
      </c>
    </row>
    <row r="95" spans="1:23" x14ac:dyDescent="0.3">
      <c r="A95" t="s">
        <v>29</v>
      </c>
      <c r="B95" t="s">
        <v>63</v>
      </c>
      <c r="C95" s="7">
        <v>27</v>
      </c>
      <c r="D95" s="7">
        <v>2</v>
      </c>
      <c r="E95" s="7">
        <v>4</v>
      </c>
      <c r="F95" s="7">
        <v>34</v>
      </c>
      <c r="G95" s="13">
        <v>107.5</v>
      </c>
      <c r="H95" s="7">
        <v>68</v>
      </c>
      <c r="I95" s="7">
        <v>17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V95" s="7">
        <v>0</v>
      </c>
    </row>
    <row r="96" spans="1:23" x14ac:dyDescent="0.3">
      <c r="A96" t="s">
        <v>30</v>
      </c>
      <c r="B96" t="s">
        <v>63</v>
      </c>
      <c r="C96" s="7">
        <v>27</v>
      </c>
      <c r="D96" s="7">
        <v>2</v>
      </c>
      <c r="E96" s="7">
        <v>2</v>
      </c>
      <c r="F96" s="7">
        <v>4</v>
      </c>
      <c r="G96" s="7">
        <v>23</v>
      </c>
      <c r="H96" s="13">
        <v>130.5</v>
      </c>
      <c r="I96" s="7">
        <v>107</v>
      </c>
      <c r="J96" s="7">
        <v>30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V96" s="7">
        <v>0</v>
      </c>
    </row>
    <row r="97" spans="1:23" x14ac:dyDescent="0.3">
      <c r="A97" t="s">
        <v>31</v>
      </c>
      <c r="B97" t="s">
        <v>63</v>
      </c>
      <c r="C97" s="7">
        <v>27</v>
      </c>
      <c r="D97" s="7">
        <v>2</v>
      </c>
      <c r="E97" s="7">
        <v>2</v>
      </c>
      <c r="F97" s="7">
        <v>4</v>
      </c>
      <c r="G97" s="7">
        <v>33</v>
      </c>
      <c r="H97" s="13">
        <v>127</v>
      </c>
      <c r="I97" s="7">
        <v>86</v>
      </c>
      <c r="J97" s="7">
        <v>45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V97" s="7">
        <v>0</v>
      </c>
    </row>
    <row r="98" spans="1:23" x14ac:dyDescent="0.3">
      <c r="A98" t="s">
        <v>32</v>
      </c>
      <c r="B98" t="s">
        <v>63</v>
      </c>
      <c r="C98" s="7">
        <v>27</v>
      </c>
      <c r="D98" s="7">
        <v>2</v>
      </c>
      <c r="E98" s="7">
        <v>3</v>
      </c>
      <c r="F98" s="7">
        <v>15.5</v>
      </c>
      <c r="G98" s="13">
        <v>108</v>
      </c>
      <c r="H98" s="7">
        <v>99</v>
      </c>
      <c r="I98" s="7">
        <v>52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V98" s="7">
        <v>0</v>
      </c>
    </row>
    <row r="99" spans="1:23" x14ac:dyDescent="0.3">
      <c r="A99" t="s">
        <v>33</v>
      </c>
      <c r="B99" t="s">
        <v>63</v>
      </c>
      <c r="C99" s="7">
        <v>31</v>
      </c>
      <c r="D99" s="7">
        <v>2</v>
      </c>
      <c r="E99" s="7">
        <v>4</v>
      </c>
      <c r="F99" s="7">
        <v>31</v>
      </c>
      <c r="G99" s="13">
        <v>79</v>
      </c>
      <c r="H99" s="7">
        <v>58</v>
      </c>
      <c r="I99" s="7">
        <v>2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V99" s="7">
        <v>0</v>
      </c>
    </row>
    <row r="100" spans="1:23" x14ac:dyDescent="0.3">
      <c r="A100" s="2" t="s">
        <v>34</v>
      </c>
      <c r="B100" s="2" t="s">
        <v>63</v>
      </c>
      <c r="C100" s="14">
        <v>31</v>
      </c>
      <c r="D100" s="14">
        <v>2</v>
      </c>
      <c r="E100" s="14">
        <v>3</v>
      </c>
      <c r="F100" s="14">
        <v>3</v>
      </c>
      <c r="G100" s="14">
        <v>2</v>
      </c>
      <c r="H100" s="14">
        <v>1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/>
      <c r="V100" s="14">
        <v>0</v>
      </c>
      <c r="W100" s="2" t="s">
        <v>108</v>
      </c>
    </row>
    <row r="101" spans="1:23" x14ac:dyDescent="0.3">
      <c r="A101" s="2" t="s">
        <v>35</v>
      </c>
      <c r="B101" s="2" t="s">
        <v>63</v>
      </c>
      <c r="C101" s="14">
        <v>31</v>
      </c>
      <c r="D101" s="14">
        <v>2</v>
      </c>
      <c r="E101" s="14">
        <v>2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/>
      <c r="V101" s="14">
        <v>0</v>
      </c>
      <c r="W101" s="2" t="s">
        <v>108</v>
      </c>
    </row>
    <row r="102" spans="1:23" x14ac:dyDescent="0.3">
      <c r="A102" t="s">
        <v>36</v>
      </c>
      <c r="B102" t="s">
        <v>63</v>
      </c>
      <c r="C102" s="7">
        <v>31</v>
      </c>
      <c r="D102" s="7">
        <v>2</v>
      </c>
      <c r="E102" s="7">
        <v>8</v>
      </c>
      <c r="F102" s="7">
        <v>66</v>
      </c>
      <c r="G102" s="13">
        <v>72.5</v>
      </c>
      <c r="H102" s="7">
        <v>22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V102" s="7">
        <v>0</v>
      </c>
    </row>
    <row r="103" spans="1:23" x14ac:dyDescent="0.3">
      <c r="A103" t="s">
        <v>37</v>
      </c>
      <c r="B103" t="s">
        <v>63</v>
      </c>
      <c r="C103" s="7">
        <v>31</v>
      </c>
      <c r="D103" s="7">
        <v>2</v>
      </c>
      <c r="E103" s="7">
        <v>7</v>
      </c>
      <c r="F103" s="7">
        <v>41.5</v>
      </c>
      <c r="G103" s="13">
        <v>52.5</v>
      </c>
      <c r="H103" s="7">
        <v>32.5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V103" s="7">
        <v>0</v>
      </c>
    </row>
    <row r="104" spans="1:23" x14ac:dyDescent="0.3">
      <c r="A104" s="2" t="s">
        <v>38</v>
      </c>
      <c r="B104" s="2" t="s">
        <v>63</v>
      </c>
      <c r="C104" s="14">
        <v>31</v>
      </c>
      <c r="D104" s="14">
        <v>2</v>
      </c>
      <c r="E104" s="14">
        <v>2</v>
      </c>
      <c r="F104" s="14">
        <v>1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/>
      <c r="V104" s="14">
        <v>0</v>
      </c>
      <c r="W104" s="2" t="s">
        <v>108</v>
      </c>
    </row>
  </sheetData>
  <mergeCells count="4">
    <mergeCell ref="D3:V3"/>
    <mergeCell ref="D67:V67"/>
    <mergeCell ref="A2:F2"/>
    <mergeCell ref="A66:F66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L6" sqref="L6"/>
    </sheetView>
  </sheetViews>
  <sheetFormatPr defaultRowHeight="15.6" x14ac:dyDescent="0.3"/>
  <cols>
    <col min="1" max="1" width="8.59765625" style="3" bestFit="1" customWidth="1"/>
    <col min="2" max="2" width="11.296875" style="5" bestFit="1" customWidth="1"/>
    <col min="3" max="3" width="8.59765625" style="5" bestFit="1" customWidth="1"/>
    <col min="4" max="4" width="11.296875" style="5" bestFit="1" customWidth="1"/>
    <col min="5" max="5" width="8.59765625" style="5" bestFit="1" customWidth="1"/>
    <col min="6" max="6" width="11.296875" style="5" bestFit="1" customWidth="1"/>
    <col min="7" max="7" width="8.59765625" style="5" bestFit="1" customWidth="1"/>
    <col min="8" max="8" width="9" style="5"/>
    <col min="9" max="9" width="11.296875" bestFit="1" customWidth="1"/>
    <col min="10" max="10" width="8.59765625" bestFit="1" customWidth="1"/>
    <col min="11" max="11" width="11.296875" bestFit="1" customWidth="1"/>
    <col min="12" max="12" width="8.59765625" bestFit="1" customWidth="1"/>
  </cols>
  <sheetData>
    <row r="1" spans="1:13" x14ac:dyDescent="0.3">
      <c r="A1" s="19" t="s">
        <v>115</v>
      </c>
      <c r="B1" s="25">
        <v>1</v>
      </c>
      <c r="C1" s="25"/>
      <c r="D1" s="25">
        <v>4</v>
      </c>
      <c r="E1" s="25"/>
      <c r="F1" s="25">
        <v>5</v>
      </c>
      <c r="G1" s="25"/>
      <c r="I1" s="24" t="s">
        <v>116</v>
      </c>
      <c r="J1" s="24"/>
      <c r="K1" s="24" t="s">
        <v>123</v>
      </c>
      <c r="L1" s="24"/>
    </row>
    <row r="2" spans="1:13" s="4" customFormat="1" x14ac:dyDescent="0.3">
      <c r="A2" s="18" t="s">
        <v>114</v>
      </c>
      <c r="B2" s="18" t="s">
        <v>2</v>
      </c>
      <c r="C2" s="18" t="s">
        <v>63</v>
      </c>
      <c r="D2" s="18" t="s">
        <v>2</v>
      </c>
      <c r="E2" s="18" t="s">
        <v>63</v>
      </c>
      <c r="F2" s="18" t="s">
        <v>2</v>
      </c>
      <c r="G2" s="18" t="s">
        <v>63</v>
      </c>
      <c r="H2" s="6"/>
      <c r="I2" s="18" t="s">
        <v>2</v>
      </c>
      <c r="J2" s="18" t="s">
        <v>63</v>
      </c>
      <c r="K2" s="18" t="s">
        <v>2</v>
      </c>
      <c r="L2" s="18" t="s">
        <v>63</v>
      </c>
      <c r="M2" s="12"/>
    </row>
    <row r="3" spans="1:13" x14ac:dyDescent="0.3">
      <c r="A3" s="3">
        <v>0</v>
      </c>
      <c r="B3" s="5">
        <v>8.3333333333333339</v>
      </c>
      <c r="C3" s="5">
        <v>0.33333333333333331</v>
      </c>
      <c r="D3" s="5">
        <v>8.3333333333333339</v>
      </c>
      <c r="E3" s="5">
        <v>0.33333333333333331</v>
      </c>
      <c r="F3" s="5">
        <v>8.3333333333333339</v>
      </c>
      <c r="G3" s="5">
        <v>0.33333333333333331</v>
      </c>
      <c r="I3" s="5">
        <f>AVERAGE(B3,D3,F3)</f>
        <v>8.3333333333333339</v>
      </c>
      <c r="J3" s="5">
        <f>AVERAGE(C3,E3,G3)</f>
        <v>0.33333333333333331</v>
      </c>
      <c r="K3" s="5">
        <f>STDEV(D3,F3,B3)</f>
        <v>0</v>
      </c>
      <c r="L3" s="5">
        <f>STDEV(E3,G3,C3)</f>
        <v>0</v>
      </c>
      <c r="M3" s="5"/>
    </row>
    <row r="4" spans="1:13" x14ac:dyDescent="0.3">
      <c r="A4" s="3">
        <v>1</v>
      </c>
      <c r="B4" s="5">
        <v>63.666666666666664</v>
      </c>
      <c r="C4" s="5">
        <v>0.66666666666666663</v>
      </c>
      <c r="D4" s="5">
        <v>52</v>
      </c>
      <c r="E4" s="5">
        <v>1.3333333333333333</v>
      </c>
      <c r="F4" s="5">
        <v>47</v>
      </c>
      <c r="G4" s="5">
        <v>1.1666666666666667</v>
      </c>
      <c r="I4" s="5">
        <f t="shared" ref="I4:J21" si="0">AVERAGE(B4,D4,F4)</f>
        <v>54.222222222222221</v>
      </c>
      <c r="J4" s="5">
        <f t="shared" si="0"/>
        <v>1.0555555555555556</v>
      </c>
      <c r="K4" s="5">
        <f t="shared" ref="K4:L21" si="1">STDEV(D4,F4,B4)</f>
        <v>8.5526690657448405</v>
      </c>
      <c r="L4" s="5">
        <f t="shared" si="1"/>
        <v>0.34694433324435625</v>
      </c>
      <c r="M4" s="5"/>
    </row>
    <row r="5" spans="1:13" x14ac:dyDescent="0.3">
      <c r="A5" s="3">
        <v>2</v>
      </c>
      <c r="B5" s="5">
        <v>24.416666666666668</v>
      </c>
      <c r="C5" s="5">
        <v>5.166666666666667</v>
      </c>
      <c r="D5" s="5">
        <v>1.1666666666666667</v>
      </c>
      <c r="E5" s="5">
        <v>11</v>
      </c>
      <c r="F5" s="5">
        <v>13.25</v>
      </c>
      <c r="G5" s="5">
        <v>6.916666666666667</v>
      </c>
      <c r="I5" s="5">
        <f>AVERAGE(B5,D5,F5)</f>
        <v>12.944444444444445</v>
      </c>
      <c r="J5" s="5">
        <f t="shared" si="0"/>
        <v>7.6944444444444455</v>
      </c>
      <c r="K5" s="5">
        <f t="shared" si="1"/>
        <v>11.628011358273955</v>
      </c>
      <c r="L5" s="5">
        <f>STDEV(E5,G5,C5)</f>
        <v>2.9934341730106784</v>
      </c>
      <c r="M5" s="5"/>
    </row>
    <row r="6" spans="1:13" x14ac:dyDescent="0.3">
      <c r="A6" s="3">
        <v>3</v>
      </c>
      <c r="B6" s="5">
        <v>0</v>
      </c>
      <c r="C6" s="5">
        <v>13.166666666666666</v>
      </c>
      <c r="D6" s="5">
        <v>0</v>
      </c>
      <c r="E6" s="5">
        <v>12.083333333333334</v>
      </c>
      <c r="F6" s="5">
        <v>0</v>
      </c>
      <c r="G6" s="5">
        <v>8.75</v>
      </c>
      <c r="I6" s="5">
        <f t="shared" si="0"/>
        <v>0</v>
      </c>
      <c r="J6" s="5">
        <f t="shared" si="0"/>
        <v>11.333333333333334</v>
      </c>
      <c r="K6" s="5">
        <f t="shared" si="1"/>
        <v>0</v>
      </c>
      <c r="L6" s="5">
        <f t="shared" si="1"/>
        <v>2.3018712194888562</v>
      </c>
      <c r="M6" s="5"/>
    </row>
    <row r="7" spans="1:13" x14ac:dyDescent="0.3">
      <c r="A7" s="3">
        <v>4</v>
      </c>
      <c r="B7" s="5">
        <v>0</v>
      </c>
      <c r="C7" s="5">
        <v>9.6666666666666661</v>
      </c>
      <c r="D7" s="5">
        <v>0</v>
      </c>
      <c r="E7" s="5">
        <v>3.6666666666666665</v>
      </c>
      <c r="F7" s="5">
        <v>0</v>
      </c>
      <c r="G7" s="5">
        <v>5.416666666666667</v>
      </c>
      <c r="I7" s="5">
        <f t="shared" si="0"/>
        <v>0</v>
      </c>
      <c r="J7" s="5">
        <f t="shared" si="0"/>
        <v>6.25</v>
      </c>
      <c r="K7" s="5">
        <f>STDEV(D7,F7,B7)</f>
        <v>0</v>
      </c>
      <c r="L7" s="5">
        <f t="shared" si="1"/>
        <v>3.0855847635956022</v>
      </c>
      <c r="M7" s="5"/>
    </row>
    <row r="8" spans="1:13" x14ac:dyDescent="0.3">
      <c r="A8" s="3">
        <v>5</v>
      </c>
      <c r="B8" s="5">
        <v>0</v>
      </c>
      <c r="C8" s="5">
        <v>0.33333333333333331</v>
      </c>
      <c r="D8" s="5">
        <v>0</v>
      </c>
      <c r="E8" s="5">
        <v>0</v>
      </c>
      <c r="F8" s="5">
        <v>0</v>
      </c>
      <c r="G8" s="5">
        <v>0</v>
      </c>
      <c r="I8" s="5">
        <f t="shared" si="0"/>
        <v>0</v>
      </c>
      <c r="J8" s="5">
        <f t="shared" si="0"/>
        <v>0.1111111111111111</v>
      </c>
      <c r="K8" s="5">
        <f t="shared" si="1"/>
        <v>0</v>
      </c>
      <c r="L8" s="5">
        <f t="shared" si="1"/>
        <v>0.19245008972987526</v>
      </c>
      <c r="M8" s="5"/>
    </row>
    <row r="9" spans="1:13" x14ac:dyDescent="0.3">
      <c r="A9" s="3">
        <v>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I9" s="5">
        <f t="shared" si="0"/>
        <v>0</v>
      </c>
      <c r="J9" s="5">
        <f t="shared" si="0"/>
        <v>0</v>
      </c>
      <c r="K9" s="5">
        <f t="shared" si="1"/>
        <v>0</v>
      </c>
      <c r="L9" s="5">
        <f t="shared" si="1"/>
        <v>0</v>
      </c>
      <c r="M9" s="5"/>
    </row>
    <row r="10" spans="1:13" x14ac:dyDescent="0.3">
      <c r="A10" s="3">
        <v>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I10" s="5">
        <f t="shared" si="0"/>
        <v>0</v>
      </c>
      <c r="J10" s="5">
        <f t="shared" si="0"/>
        <v>0</v>
      </c>
      <c r="K10" s="5">
        <f t="shared" si="1"/>
        <v>0</v>
      </c>
      <c r="L10" s="5">
        <f t="shared" si="1"/>
        <v>0</v>
      </c>
      <c r="M10" s="5"/>
    </row>
    <row r="11" spans="1:13" x14ac:dyDescent="0.3">
      <c r="A11" s="3">
        <v>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I11" s="5">
        <f t="shared" si="0"/>
        <v>0</v>
      </c>
      <c r="J11" s="5">
        <f t="shared" si="0"/>
        <v>0</v>
      </c>
      <c r="K11" s="5">
        <f t="shared" si="1"/>
        <v>0</v>
      </c>
      <c r="L11" s="5">
        <f t="shared" si="1"/>
        <v>0</v>
      </c>
      <c r="M11" s="5"/>
    </row>
    <row r="12" spans="1:13" x14ac:dyDescent="0.3">
      <c r="A12" s="3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I12" s="5">
        <f t="shared" si="0"/>
        <v>0</v>
      </c>
      <c r="J12" s="5">
        <f t="shared" si="0"/>
        <v>0</v>
      </c>
      <c r="K12" s="5">
        <f t="shared" si="1"/>
        <v>0</v>
      </c>
      <c r="L12" s="5">
        <f t="shared" si="1"/>
        <v>0</v>
      </c>
      <c r="M12" s="5"/>
    </row>
    <row r="13" spans="1:13" x14ac:dyDescent="0.3">
      <c r="A13" s="3">
        <v>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I13" s="5">
        <f t="shared" si="0"/>
        <v>0</v>
      </c>
      <c r="J13" s="5">
        <f t="shared" si="0"/>
        <v>0</v>
      </c>
      <c r="K13" s="5">
        <f t="shared" si="1"/>
        <v>0</v>
      </c>
      <c r="L13" s="5">
        <f t="shared" si="1"/>
        <v>0</v>
      </c>
      <c r="M13" s="5"/>
    </row>
    <row r="14" spans="1:13" x14ac:dyDescent="0.3">
      <c r="A14" s="3">
        <v>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I14" s="5">
        <f t="shared" si="0"/>
        <v>0</v>
      </c>
      <c r="J14" s="5">
        <f t="shared" si="0"/>
        <v>0</v>
      </c>
      <c r="K14" s="5">
        <f t="shared" si="1"/>
        <v>0</v>
      </c>
      <c r="L14" s="5">
        <f t="shared" si="1"/>
        <v>0</v>
      </c>
      <c r="M14" s="5"/>
    </row>
    <row r="15" spans="1:13" x14ac:dyDescent="0.3">
      <c r="A15" s="3">
        <v>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I15" s="5">
        <f t="shared" si="0"/>
        <v>0</v>
      </c>
      <c r="J15" s="5">
        <f t="shared" si="0"/>
        <v>0</v>
      </c>
      <c r="K15" s="5">
        <f t="shared" si="1"/>
        <v>0</v>
      </c>
      <c r="L15" s="5">
        <f t="shared" si="1"/>
        <v>0</v>
      </c>
      <c r="M15" s="5"/>
    </row>
    <row r="16" spans="1:13" x14ac:dyDescent="0.3">
      <c r="A16" s="3">
        <v>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I16" s="5">
        <f t="shared" si="0"/>
        <v>0</v>
      </c>
      <c r="J16" s="5">
        <f t="shared" si="0"/>
        <v>0</v>
      </c>
      <c r="K16" s="5">
        <f t="shared" si="1"/>
        <v>0</v>
      </c>
      <c r="L16" s="5">
        <f t="shared" si="1"/>
        <v>0</v>
      </c>
    </row>
    <row r="17" spans="1:12" x14ac:dyDescent="0.3">
      <c r="A17" s="3">
        <v>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I17" s="5">
        <f t="shared" si="0"/>
        <v>0</v>
      </c>
      <c r="J17" s="5">
        <f t="shared" si="0"/>
        <v>0</v>
      </c>
      <c r="K17" s="5">
        <f t="shared" si="1"/>
        <v>0</v>
      </c>
      <c r="L17" s="5">
        <f t="shared" si="1"/>
        <v>0</v>
      </c>
    </row>
    <row r="18" spans="1:12" x14ac:dyDescent="0.3">
      <c r="A18" s="3">
        <v>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I18" s="5">
        <f t="shared" si="0"/>
        <v>0</v>
      </c>
      <c r="J18" s="5">
        <f t="shared" si="0"/>
        <v>0</v>
      </c>
      <c r="K18" s="5">
        <f t="shared" si="1"/>
        <v>0</v>
      </c>
      <c r="L18" s="5">
        <f t="shared" si="1"/>
        <v>0</v>
      </c>
    </row>
    <row r="19" spans="1:12" x14ac:dyDescent="0.3">
      <c r="A19" s="3">
        <v>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I19" s="5">
        <f t="shared" si="0"/>
        <v>0</v>
      </c>
      <c r="J19" s="5">
        <f t="shared" si="0"/>
        <v>0</v>
      </c>
      <c r="K19" s="5">
        <f t="shared" si="1"/>
        <v>0</v>
      </c>
      <c r="L19" s="5">
        <f t="shared" si="1"/>
        <v>0</v>
      </c>
    </row>
    <row r="20" spans="1:12" x14ac:dyDescent="0.3">
      <c r="A20" s="3">
        <v>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I20" s="5">
        <f t="shared" si="0"/>
        <v>0</v>
      </c>
      <c r="J20" s="5">
        <f t="shared" si="0"/>
        <v>0</v>
      </c>
      <c r="K20" s="5">
        <f t="shared" si="1"/>
        <v>0</v>
      </c>
      <c r="L20" s="5">
        <f t="shared" si="1"/>
        <v>0</v>
      </c>
    </row>
    <row r="21" spans="1:12" x14ac:dyDescent="0.3">
      <c r="A21" s="3">
        <v>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I21" s="5">
        <f t="shared" si="0"/>
        <v>0</v>
      </c>
      <c r="J21" s="5">
        <f t="shared" si="0"/>
        <v>0</v>
      </c>
      <c r="K21" s="5">
        <f t="shared" si="1"/>
        <v>0</v>
      </c>
      <c r="L21" s="5">
        <f t="shared" si="1"/>
        <v>0</v>
      </c>
    </row>
  </sheetData>
  <mergeCells count="5">
    <mergeCell ref="B1:C1"/>
    <mergeCell ref="D1:E1"/>
    <mergeCell ref="F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workbookViewId="0">
      <selection activeCell="I73" sqref="I73"/>
    </sheetView>
  </sheetViews>
  <sheetFormatPr defaultRowHeight="15.6" x14ac:dyDescent="0.3"/>
  <cols>
    <col min="2" max="2" width="10.796875" customWidth="1"/>
    <col min="3" max="3" width="5.59765625" style="7" bestFit="1" customWidth="1"/>
    <col min="4" max="4" width="4.3984375" style="7" bestFit="1" customWidth="1"/>
    <col min="5" max="5" width="5.3984375" style="7" bestFit="1" customWidth="1"/>
    <col min="6" max="6" width="6.3984375" style="7" bestFit="1" customWidth="1"/>
    <col min="7" max="7" width="5.3984375" style="7" bestFit="1" customWidth="1"/>
    <col min="8" max="14" width="6.3984375" style="7" bestFit="1" customWidth="1"/>
    <col min="15" max="15" width="7.3984375" style="7" bestFit="1" customWidth="1"/>
    <col min="16" max="17" width="5.3984375" style="7" bestFit="1" customWidth="1"/>
    <col min="18" max="20" width="7.3984375" style="7" bestFit="1" customWidth="1"/>
    <col min="21" max="21" width="4.3984375" style="7" bestFit="1" customWidth="1"/>
    <col min="22" max="22" width="7.3984375" style="7" bestFit="1" customWidth="1"/>
  </cols>
  <sheetData>
    <row r="1" spans="1:22" x14ac:dyDescent="0.3">
      <c r="A1" s="22" t="s">
        <v>113</v>
      </c>
      <c r="B1" s="22"/>
      <c r="C1" s="22"/>
      <c r="D1" s="22"/>
      <c r="E1" s="22"/>
      <c r="F1" s="22"/>
    </row>
    <row r="2" spans="1:22" s="4" customFormat="1" x14ac:dyDescent="0.3">
      <c r="A2" s="10"/>
      <c r="B2" s="10"/>
      <c r="C2" s="10"/>
      <c r="D2" s="21" t="s">
        <v>104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s="4" customFormat="1" x14ac:dyDescent="0.3">
      <c r="A3" s="8" t="s">
        <v>0</v>
      </c>
      <c r="B3" s="8" t="s">
        <v>106</v>
      </c>
      <c r="C3" s="11" t="s">
        <v>103</v>
      </c>
      <c r="D3" s="11">
        <v>0</v>
      </c>
      <c r="E3" s="11">
        <v>1</v>
      </c>
      <c r="F3" s="11">
        <v>2</v>
      </c>
      <c r="G3" s="11">
        <v>3</v>
      </c>
      <c r="H3" s="11">
        <v>4</v>
      </c>
      <c r="I3" s="11">
        <v>5</v>
      </c>
      <c r="J3" s="11">
        <v>6</v>
      </c>
      <c r="K3" s="11">
        <v>7</v>
      </c>
      <c r="L3" s="11">
        <v>8</v>
      </c>
      <c r="M3" s="11">
        <v>9</v>
      </c>
      <c r="N3" s="11">
        <v>10</v>
      </c>
      <c r="O3" s="11">
        <v>11</v>
      </c>
      <c r="P3" s="11">
        <v>12</v>
      </c>
      <c r="Q3" s="11">
        <v>13</v>
      </c>
      <c r="R3" s="11">
        <v>14</v>
      </c>
      <c r="S3" s="11">
        <v>15</v>
      </c>
      <c r="T3" s="11">
        <v>16</v>
      </c>
      <c r="U3" s="11">
        <v>17</v>
      </c>
      <c r="V3" s="11">
        <v>18</v>
      </c>
    </row>
    <row r="4" spans="1:22" x14ac:dyDescent="0.3">
      <c r="A4" t="s">
        <v>3</v>
      </c>
      <c r="B4" t="s">
        <v>63</v>
      </c>
      <c r="C4" s="7">
        <v>17</v>
      </c>
      <c r="D4" s="3">
        <f>IF(ISNUMBER('Population size data'!D5),'Population size data'!D5/6,"")</f>
        <v>8.3333333333333339</v>
      </c>
      <c r="E4" s="3" t="str">
        <f>IF(ISNUMBER('Population size data'!E5),'Population size data'!E5/6,"")</f>
        <v/>
      </c>
      <c r="F4" s="3">
        <f>IF(ISNUMBER('Population size data'!F5),'Population size data'!F5/6,"")</f>
        <v>40</v>
      </c>
      <c r="G4" s="3" t="str">
        <f>IF(ISNUMBER('Population size data'!G5),'Population size data'!G5/6,"")</f>
        <v/>
      </c>
      <c r="H4" s="3">
        <f>IF(ISNUMBER('Population size data'!H5),'Population size data'!H5/6,"")</f>
        <v>170</v>
      </c>
      <c r="I4" s="3" t="str">
        <f>IF(ISNUMBER('Population size data'!I5),'Population size data'!I5/6,"")</f>
        <v/>
      </c>
      <c r="J4" s="3">
        <f>IF(ISNUMBER('Population size data'!J5),'Population size data'!J5/6,"")</f>
        <v>180</v>
      </c>
      <c r="K4" s="3">
        <f>IF(ISNUMBER('Population size data'!K5),'Population size data'!K5/6,"")</f>
        <v>200</v>
      </c>
      <c r="L4" s="3">
        <f>IF(ISNUMBER('Population size data'!L5),'Population size data'!L5/6,"")</f>
        <v>170</v>
      </c>
      <c r="M4" s="3">
        <f>IF(ISNUMBER('Population size data'!M5),'Population size data'!M5/6,"")</f>
        <v>180</v>
      </c>
      <c r="N4" s="3">
        <f>IF(ISNUMBER('Population size data'!N5),'Population size data'!N5/6,"")</f>
        <v>5.166666666666667</v>
      </c>
      <c r="O4" s="3">
        <f>IF(ISNUMBER('Population size data'!O5),'Population size data'!O5/6,"")</f>
        <v>0</v>
      </c>
      <c r="P4" s="12"/>
      <c r="Q4" s="12"/>
      <c r="R4" s="3">
        <f>IF(ISNUMBER('Population size data'!R5),'Population size data'!R5/6,"")</f>
        <v>0</v>
      </c>
      <c r="S4" s="3">
        <f>IF(ISNUMBER('Population size data'!S5),'Population size data'!S5/6,"")</f>
        <v>0</v>
      </c>
      <c r="T4" s="3">
        <f>IF(ISNUMBER('Population size data'!T5),'Population size data'!T5/6,"")</f>
        <v>0</v>
      </c>
      <c r="U4" s="3">
        <f>IF(ISNUMBER('Population size data'!U5),'Population size data'!U5/6,"")</f>
        <v>0</v>
      </c>
      <c r="V4" s="3">
        <f>IF(ISNUMBER('Population size data'!V5),'Population size data'!V5/6,"")</f>
        <v>0</v>
      </c>
    </row>
    <row r="5" spans="1:22" x14ac:dyDescent="0.3">
      <c r="A5" t="s">
        <v>4</v>
      </c>
      <c r="B5" t="s">
        <v>63</v>
      </c>
      <c r="C5" s="7">
        <v>17</v>
      </c>
      <c r="D5" s="3">
        <f>IF(ISNUMBER('Population size data'!D6),'Population size data'!D6/6,"")</f>
        <v>8.3333333333333339</v>
      </c>
      <c r="E5" s="3" t="str">
        <f>IF(ISNUMBER('Population size data'!E6),'Population size data'!E6/6,"")</f>
        <v/>
      </c>
      <c r="F5" s="3">
        <f>IF(ISNUMBER('Population size data'!F6),'Population size data'!F6/6,"")</f>
        <v>30</v>
      </c>
      <c r="G5" s="3" t="str">
        <f>IF(ISNUMBER('Population size data'!G6),'Population size data'!G6/6,"")</f>
        <v/>
      </c>
      <c r="H5" s="3">
        <f>IF(ISNUMBER('Population size data'!H6),'Population size data'!H6/6,"")</f>
        <v>60</v>
      </c>
      <c r="I5" s="3" t="str">
        <f>IF(ISNUMBER('Population size data'!I6),'Population size data'!I6/6,"")</f>
        <v/>
      </c>
      <c r="J5" s="3">
        <f>IF(ISNUMBER('Population size data'!J6),'Population size data'!J6/6,"")</f>
        <v>120</v>
      </c>
      <c r="K5" s="3">
        <f>IF(ISNUMBER('Population size data'!K6),'Population size data'!K6/6,"")</f>
        <v>80</v>
      </c>
      <c r="L5" s="3">
        <f>IF(ISNUMBER('Population size data'!L6),'Population size data'!L6/6,"")</f>
        <v>9.8333333333333339</v>
      </c>
      <c r="M5" s="3">
        <f>IF(ISNUMBER('Population size data'!M6),'Population size data'!M6/6,"")</f>
        <v>0</v>
      </c>
      <c r="N5" s="3">
        <f>IF(ISNUMBER('Population size data'!N6),'Population size data'!N6/6,"")</f>
        <v>0</v>
      </c>
      <c r="O5" s="3">
        <f>IF(ISNUMBER('Population size data'!O6),'Population size data'!O6/6,"")</f>
        <v>0</v>
      </c>
      <c r="P5" s="12"/>
      <c r="Q5" s="12"/>
      <c r="R5" s="3">
        <f>IF(ISNUMBER('Population size data'!R6),'Population size data'!R6/6,"")</f>
        <v>0</v>
      </c>
      <c r="S5" s="3">
        <f>IF(ISNUMBER('Population size data'!S6),'Population size data'!S6/6,"")</f>
        <v>0</v>
      </c>
      <c r="T5" s="3">
        <f>IF(ISNUMBER('Population size data'!T6),'Population size data'!T6/6,"")</f>
        <v>0</v>
      </c>
      <c r="U5" s="3">
        <f>IF(ISNUMBER('Population size data'!U6),'Population size data'!U6/6,"")</f>
        <v>0</v>
      </c>
      <c r="V5" s="3">
        <f>IF(ISNUMBER('Population size data'!V6),'Population size data'!V6/6,"")</f>
        <v>0</v>
      </c>
    </row>
    <row r="6" spans="1:22" x14ac:dyDescent="0.3">
      <c r="A6" t="s">
        <v>5</v>
      </c>
      <c r="B6" t="s">
        <v>63</v>
      </c>
      <c r="C6" s="7">
        <v>17</v>
      </c>
      <c r="D6" s="3">
        <f>IF(ISNUMBER('Population size data'!D7),'Population size data'!D7/6,"")</f>
        <v>8.3333333333333339</v>
      </c>
      <c r="E6" s="3" t="str">
        <f>IF(ISNUMBER('Population size data'!E7),'Population size data'!E7/6,"")</f>
        <v/>
      </c>
      <c r="F6" s="3">
        <f>IF(ISNUMBER('Population size data'!F7),'Population size data'!F7/6,"")</f>
        <v>60</v>
      </c>
      <c r="G6" s="3" t="str">
        <f>IF(ISNUMBER('Population size data'!G7),'Population size data'!G7/6,"")</f>
        <v/>
      </c>
      <c r="H6" s="3">
        <f>IF(ISNUMBER('Population size data'!H7),'Population size data'!H7/6,"")</f>
        <v>130</v>
      </c>
      <c r="I6" s="3" t="str">
        <f>IF(ISNUMBER('Population size data'!I7),'Population size data'!I7/6,"")</f>
        <v/>
      </c>
      <c r="J6" s="3">
        <f>IF(ISNUMBER('Population size data'!J7),'Population size data'!J7/6,"")</f>
        <v>260</v>
      </c>
      <c r="K6" s="3">
        <f>IF(ISNUMBER('Population size data'!K7),'Population size data'!K7/6,"")</f>
        <v>190</v>
      </c>
      <c r="L6" s="3">
        <f>IF(ISNUMBER('Population size data'!L7),'Population size data'!L7/6,"")</f>
        <v>300</v>
      </c>
      <c r="M6" s="3">
        <f>IF(ISNUMBER('Population size data'!M7),'Population size data'!M7/6,"")</f>
        <v>260</v>
      </c>
      <c r="N6" s="3">
        <f>IF(ISNUMBER('Population size data'!N7),'Population size data'!N7/6,"")</f>
        <v>600</v>
      </c>
      <c r="O6" s="3">
        <f>IF(ISNUMBER('Population size data'!O7),'Population size data'!O7/6,"")</f>
        <v>530</v>
      </c>
      <c r="P6" s="12"/>
      <c r="Q6" s="12"/>
      <c r="R6" s="3">
        <f>IF(ISNUMBER('Population size data'!R7),'Population size data'!R7/6,"")</f>
        <v>1040</v>
      </c>
      <c r="S6" s="3">
        <f>IF(ISNUMBER('Population size data'!S7),'Population size data'!S7/6,"")</f>
        <v>1260</v>
      </c>
      <c r="T6" s="3">
        <f>IF(ISNUMBER('Population size data'!T7),'Population size data'!T7/6,"")</f>
        <v>1140</v>
      </c>
      <c r="U6" s="3" t="str">
        <f>IF(ISNUMBER('Population size data'!U7),'Population size data'!U7/6,"")</f>
        <v/>
      </c>
      <c r="V6" s="3" t="str">
        <f>IF(ISNUMBER('Population size data'!V7),'Population size data'!V7/6,"")</f>
        <v/>
      </c>
    </row>
    <row r="7" spans="1:22" x14ac:dyDescent="0.3">
      <c r="A7" t="s">
        <v>6</v>
      </c>
      <c r="B7" t="s">
        <v>63</v>
      </c>
      <c r="C7" s="7">
        <v>17</v>
      </c>
      <c r="D7" s="3">
        <f>IF(ISNUMBER('Population size data'!D8),'Population size data'!D8/6,"")</f>
        <v>8.3333333333333339</v>
      </c>
      <c r="E7" s="3" t="str">
        <f>IF(ISNUMBER('Population size data'!E8),'Population size data'!E8/6,"")</f>
        <v/>
      </c>
      <c r="F7" s="3">
        <f>IF(ISNUMBER('Population size data'!F8),'Population size data'!F8/6,"")</f>
        <v>40</v>
      </c>
      <c r="G7" s="3" t="str">
        <f>IF(ISNUMBER('Population size data'!G8),'Population size data'!G8/6,"")</f>
        <v/>
      </c>
      <c r="H7" s="3">
        <f>IF(ISNUMBER('Population size data'!H8),'Population size data'!H8/6,"")</f>
        <v>60</v>
      </c>
      <c r="I7" s="3" t="str">
        <f>IF(ISNUMBER('Population size data'!I8),'Population size data'!I8/6,"")</f>
        <v/>
      </c>
      <c r="J7" s="3">
        <f>IF(ISNUMBER('Population size data'!J8),'Population size data'!J8/6,"")</f>
        <v>30</v>
      </c>
      <c r="K7" s="3">
        <f>IF(ISNUMBER('Population size data'!K8),'Population size data'!K8/6,"")</f>
        <v>2.6666666666666665</v>
      </c>
      <c r="L7" s="3">
        <f>IF(ISNUMBER('Population size data'!L8),'Population size data'!L8/6,"")</f>
        <v>0</v>
      </c>
      <c r="M7" s="3">
        <f>IF(ISNUMBER('Population size data'!M8),'Population size data'!M8/6,"")</f>
        <v>0</v>
      </c>
      <c r="N7" s="3">
        <f>IF(ISNUMBER('Population size data'!N8),'Population size data'!N8/6,"")</f>
        <v>0</v>
      </c>
      <c r="O7" s="3">
        <f>IF(ISNUMBER('Population size data'!O8),'Population size data'!O8/6,"")</f>
        <v>0</v>
      </c>
      <c r="P7" s="12"/>
      <c r="Q7" s="12"/>
      <c r="R7" s="3">
        <f>IF(ISNUMBER('Population size data'!R8),'Population size data'!R8/6,"")</f>
        <v>0</v>
      </c>
      <c r="S7" s="3">
        <f>IF(ISNUMBER('Population size data'!S8),'Population size data'!S8/6,"")</f>
        <v>0</v>
      </c>
      <c r="T7" s="3">
        <f>IF(ISNUMBER('Population size data'!T8),'Population size data'!T8/6,"")</f>
        <v>0</v>
      </c>
      <c r="U7" s="3">
        <f>IF(ISNUMBER('Population size data'!U8),'Population size data'!U8/6,"")</f>
        <v>0</v>
      </c>
      <c r="V7" s="3">
        <f>IF(ISNUMBER('Population size data'!V8),'Population size data'!V8/6,"")</f>
        <v>0</v>
      </c>
    </row>
    <row r="8" spans="1:22" x14ac:dyDescent="0.3">
      <c r="A8" t="s">
        <v>7</v>
      </c>
      <c r="B8" t="s">
        <v>63</v>
      </c>
      <c r="C8" s="7">
        <v>17</v>
      </c>
      <c r="D8" s="3">
        <f>IF(ISNUMBER('Population size data'!D9),'Population size data'!D9/6,"")</f>
        <v>8.3333333333333339</v>
      </c>
      <c r="E8" s="3" t="str">
        <f>IF(ISNUMBER('Population size data'!E9),'Population size data'!E9/6,"")</f>
        <v/>
      </c>
      <c r="F8" s="3">
        <f>IF(ISNUMBER('Population size data'!F9),'Population size data'!F9/6,"")</f>
        <v>90</v>
      </c>
      <c r="G8" s="3" t="str">
        <f>IF(ISNUMBER('Population size data'!G9),'Population size data'!G9/6,"")</f>
        <v/>
      </c>
      <c r="H8" s="3">
        <f>IF(ISNUMBER('Population size data'!H9),'Population size data'!H9/6,"")</f>
        <v>60</v>
      </c>
      <c r="I8" s="3" t="str">
        <f>IF(ISNUMBER('Population size data'!I9),'Population size data'!I9/6,"")</f>
        <v/>
      </c>
      <c r="J8" s="3">
        <f>IF(ISNUMBER('Population size data'!J9),'Population size data'!J9/6,"")</f>
        <v>140</v>
      </c>
      <c r="K8" s="3">
        <f>IF(ISNUMBER('Population size data'!K9),'Population size data'!K9/6,"")</f>
        <v>100</v>
      </c>
      <c r="L8" s="3">
        <f>IF(ISNUMBER('Population size data'!L9),'Population size data'!L9/6,"")</f>
        <v>14.916666666666666</v>
      </c>
      <c r="M8" s="3">
        <f>IF(ISNUMBER('Population size data'!M9),'Population size data'!M9/6,"")</f>
        <v>0</v>
      </c>
      <c r="N8" s="3">
        <f>IF(ISNUMBER('Population size data'!N9),'Population size data'!N9/6,"")</f>
        <v>0</v>
      </c>
      <c r="O8" s="3">
        <f>IF(ISNUMBER('Population size data'!O9),'Population size data'!O9/6,"")</f>
        <v>0</v>
      </c>
      <c r="P8" s="12"/>
      <c r="Q8" s="12"/>
      <c r="R8" s="3">
        <f>IF(ISNUMBER('Population size data'!R9),'Population size data'!R9/6,"")</f>
        <v>0</v>
      </c>
      <c r="S8" s="3">
        <f>IF(ISNUMBER('Population size data'!S9),'Population size data'!S9/6,"")</f>
        <v>0</v>
      </c>
      <c r="T8" s="3">
        <f>IF(ISNUMBER('Population size data'!T9),'Population size data'!T9/6,"")</f>
        <v>0</v>
      </c>
      <c r="U8" s="3">
        <f>IF(ISNUMBER('Population size data'!U9),'Population size data'!U9/6,"")</f>
        <v>0</v>
      </c>
      <c r="V8" s="3">
        <f>IF(ISNUMBER('Population size data'!V9),'Population size data'!V9/6,"")</f>
        <v>0</v>
      </c>
    </row>
    <row r="9" spans="1:22" x14ac:dyDescent="0.3">
      <c r="A9" t="s">
        <v>8</v>
      </c>
      <c r="B9" t="s">
        <v>63</v>
      </c>
      <c r="C9" s="7">
        <v>17</v>
      </c>
      <c r="D9" s="3">
        <f>IF(ISNUMBER('Population size data'!D10),'Population size data'!D10/6,"")</f>
        <v>8.3333333333333339</v>
      </c>
      <c r="E9" s="3" t="str">
        <f>IF(ISNUMBER('Population size data'!E10),'Population size data'!E10/6,"")</f>
        <v/>
      </c>
      <c r="F9" s="3">
        <f>IF(ISNUMBER('Population size data'!F10),'Population size data'!F10/6,"")</f>
        <v>120</v>
      </c>
      <c r="G9" s="3" t="str">
        <f>IF(ISNUMBER('Population size data'!G10),'Population size data'!G10/6,"")</f>
        <v/>
      </c>
      <c r="H9" s="3">
        <f>IF(ISNUMBER('Population size data'!H10),'Population size data'!H10/6,"")</f>
        <v>180</v>
      </c>
      <c r="I9" s="3" t="str">
        <f>IF(ISNUMBER('Population size data'!I10),'Population size data'!I10/6,"")</f>
        <v/>
      </c>
      <c r="J9" s="3">
        <f>IF(ISNUMBER('Population size data'!J10),'Population size data'!J10/6,"")</f>
        <v>100</v>
      </c>
      <c r="K9" s="3">
        <f>IF(ISNUMBER('Population size data'!K10),'Population size data'!K10/6,"")</f>
        <v>150</v>
      </c>
      <c r="L9" s="3">
        <f>IF(ISNUMBER('Population size data'!L10),'Population size data'!L10/6,"")</f>
        <v>70</v>
      </c>
      <c r="M9" s="3">
        <f>IF(ISNUMBER('Population size data'!M10),'Population size data'!M10/6,"")</f>
        <v>70</v>
      </c>
      <c r="N9" s="3">
        <f>IF(ISNUMBER('Population size data'!N10),'Population size data'!N10/6,"")</f>
        <v>9.5833333333333339</v>
      </c>
      <c r="O9" s="3">
        <f>IF(ISNUMBER('Population size data'!O10),'Population size data'!O10/6,"")</f>
        <v>0</v>
      </c>
      <c r="P9" s="12"/>
      <c r="Q9" s="12"/>
      <c r="R9" s="3">
        <f>IF(ISNUMBER('Population size data'!R10),'Population size data'!R10/6,"")</f>
        <v>0</v>
      </c>
      <c r="S9" s="3">
        <f>IF(ISNUMBER('Population size data'!S10),'Population size data'!S10/6,"")</f>
        <v>0</v>
      </c>
      <c r="T9" s="3">
        <f>IF(ISNUMBER('Population size data'!T10),'Population size data'!T10/6,"")</f>
        <v>0</v>
      </c>
      <c r="U9" s="3">
        <f>IF(ISNUMBER('Population size data'!U10),'Population size data'!U10/6,"")</f>
        <v>0</v>
      </c>
      <c r="V9" s="3">
        <f>IF(ISNUMBER('Population size data'!V10),'Population size data'!V10/6,"")</f>
        <v>0</v>
      </c>
    </row>
    <row r="10" spans="1:22" x14ac:dyDescent="0.3">
      <c r="A10" t="s">
        <v>9</v>
      </c>
      <c r="B10" t="s">
        <v>63</v>
      </c>
      <c r="C10" s="7">
        <v>20</v>
      </c>
      <c r="D10" s="3">
        <f>IF(ISNUMBER('Population size data'!D11),'Population size data'!D11/6,"")</f>
        <v>8.3333333333333339</v>
      </c>
      <c r="E10" s="3" t="str">
        <f>IF(ISNUMBER('Population size data'!E11),'Population size data'!E11/6,"")</f>
        <v/>
      </c>
      <c r="F10" s="3">
        <f>IF(ISNUMBER('Population size data'!F11),'Population size data'!F11/6,"")</f>
        <v>60</v>
      </c>
      <c r="G10" s="3" t="str">
        <f>IF(ISNUMBER('Population size data'!G11),'Population size data'!G11/6,"")</f>
        <v/>
      </c>
      <c r="H10" s="3">
        <f>IF(ISNUMBER('Population size data'!H11),'Population size data'!H11/6,"")</f>
        <v>80</v>
      </c>
      <c r="I10" s="3" t="str">
        <f>IF(ISNUMBER('Population size data'!I11),'Population size data'!I11/6,"")</f>
        <v/>
      </c>
      <c r="J10" s="3">
        <f>IF(ISNUMBER('Population size data'!J11),'Population size data'!J11/6,"")</f>
        <v>190</v>
      </c>
      <c r="K10" s="3">
        <f>IF(ISNUMBER('Population size data'!K11),'Population size data'!K11/6,"")</f>
        <v>260</v>
      </c>
      <c r="L10" s="3">
        <f>IF(ISNUMBER('Population size data'!L11),'Population size data'!L11/6,"")</f>
        <v>210</v>
      </c>
      <c r="M10" s="3">
        <f>IF(ISNUMBER('Population size data'!M11),'Population size data'!M11/6,"")</f>
        <v>20</v>
      </c>
      <c r="N10" s="3">
        <f>IF(ISNUMBER('Population size data'!N11),'Population size data'!N11/6,"")</f>
        <v>0</v>
      </c>
      <c r="O10" s="3">
        <f>IF(ISNUMBER('Population size data'!O11),'Population size data'!O11/6,"")</f>
        <v>0</v>
      </c>
      <c r="P10" s="12"/>
      <c r="Q10" s="12"/>
      <c r="R10" s="3">
        <f>IF(ISNUMBER('Population size data'!R11),'Population size data'!R11/6,"")</f>
        <v>0</v>
      </c>
      <c r="S10" s="3">
        <f>IF(ISNUMBER('Population size data'!S11),'Population size data'!S11/6,"")</f>
        <v>0</v>
      </c>
      <c r="T10" s="3">
        <f>IF(ISNUMBER('Population size data'!T11),'Population size data'!T11/6,"")</f>
        <v>0</v>
      </c>
      <c r="U10" s="3">
        <f>IF(ISNUMBER('Population size data'!U11),'Population size data'!U11/6,"")</f>
        <v>0</v>
      </c>
      <c r="V10" s="3">
        <f>IF(ISNUMBER('Population size data'!V11),'Population size data'!V11/6,"")</f>
        <v>0</v>
      </c>
    </row>
    <row r="11" spans="1:22" x14ac:dyDescent="0.3">
      <c r="A11" t="s">
        <v>10</v>
      </c>
      <c r="B11" t="s">
        <v>63</v>
      </c>
      <c r="C11" s="7">
        <v>20</v>
      </c>
      <c r="D11" s="3">
        <f>IF(ISNUMBER('Population size data'!D12),'Population size data'!D12/6,"")</f>
        <v>8.3333333333333339</v>
      </c>
      <c r="E11" s="3" t="str">
        <f>IF(ISNUMBER('Population size data'!E12),'Population size data'!E12/6,"")</f>
        <v/>
      </c>
      <c r="F11" s="3">
        <f>IF(ISNUMBER('Population size data'!F12),'Population size data'!F12/6,"")</f>
        <v>100</v>
      </c>
      <c r="G11" s="3" t="str">
        <f>IF(ISNUMBER('Population size data'!G12),'Population size data'!G12/6,"")</f>
        <v/>
      </c>
      <c r="H11" s="3">
        <f>IF(ISNUMBER('Population size data'!H12),'Population size data'!H12/6,"")</f>
        <v>130</v>
      </c>
      <c r="I11" s="3" t="str">
        <f>IF(ISNUMBER('Population size data'!I12),'Population size data'!I12/6,"")</f>
        <v/>
      </c>
      <c r="J11" s="3">
        <f>IF(ISNUMBER('Population size data'!J12),'Population size data'!J12/6,"")</f>
        <v>200</v>
      </c>
      <c r="K11" s="3">
        <f>IF(ISNUMBER('Population size data'!K12),'Population size data'!K12/6,"")</f>
        <v>50</v>
      </c>
      <c r="L11" s="3">
        <f>IF(ISNUMBER('Population size data'!L12),'Population size data'!L12/6,"")</f>
        <v>0</v>
      </c>
      <c r="M11" s="3">
        <f>IF(ISNUMBER('Population size data'!M12),'Population size data'!M12/6,"")</f>
        <v>0</v>
      </c>
      <c r="N11" s="3">
        <f>IF(ISNUMBER('Population size data'!N12),'Population size data'!N12/6,"")</f>
        <v>0</v>
      </c>
      <c r="O11" s="3">
        <f>IF(ISNUMBER('Population size data'!O12),'Population size data'!O12/6,"")</f>
        <v>0</v>
      </c>
      <c r="P11" s="12"/>
      <c r="Q11" s="12"/>
      <c r="R11" s="3">
        <f>IF(ISNUMBER('Population size data'!R12),'Population size data'!R12/6,"")</f>
        <v>0</v>
      </c>
      <c r="S11" s="3">
        <f>IF(ISNUMBER('Population size data'!S12),'Population size data'!S12/6,"")</f>
        <v>0</v>
      </c>
      <c r="T11" s="3">
        <f>IF(ISNUMBER('Population size data'!T12),'Population size data'!T12/6,"")</f>
        <v>0</v>
      </c>
      <c r="U11" s="3">
        <f>IF(ISNUMBER('Population size data'!U12),'Population size data'!U12/6,"")</f>
        <v>0</v>
      </c>
      <c r="V11" s="3">
        <f>IF(ISNUMBER('Population size data'!V12),'Population size data'!V12/6,"")</f>
        <v>0</v>
      </c>
    </row>
    <row r="12" spans="1:22" x14ac:dyDescent="0.3">
      <c r="A12" t="s">
        <v>11</v>
      </c>
      <c r="B12" t="s">
        <v>63</v>
      </c>
      <c r="C12" s="7">
        <v>20</v>
      </c>
      <c r="D12" s="3">
        <f>IF(ISNUMBER('Population size data'!D13),'Population size data'!D13/6,"")</f>
        <v>8.3333333333333339</v>
      </c>
      <c r="E12" s="3" t="str">
        <f>IF(ISNUMBER('Population size data'!E13),'Population size data'!E13/6,"")</f>
        <v/>
      </c>
      <c r="F12" s="3">
        <f>IF(ISNUMBER('Population size data'!F13),'Population size data'!F13/6,"")</f>
        <v>90</v>
      </c>
      <c r="G12" s="3" t="str">
        <f>IF(ISNUMBER('Population size data'!G13),'Population size data'!G13/6,"")</f>
        <v/>
      </c>
      <c r="H12" s="3">
        <f>IF(ISNUMBER('Population size data'!H13),'Population size data'!H13/6,"")</f>
        <v>120</v>
      </c>
      <c r="I12" s="3" t="str">
        <f>IF(ISNUMBER('Population size data'!I13),'Population size data'!I13/6,"")</f>
        <v/>
      </c>
      <c r="J12" s="3">
        <f>IF(ISNUMBER('Population size data'!J13),'Population size data'!J13/6,"")</f>
        <v>0</v>
      </c>
      <c r="K12" s="3">
        <f>IF(ISNUMBER('Population size data'!K13),'Population size data'!K13/6,"")</f>
        <v>0</v>
      </c>
      <c r="L12" s="3">
        <f>IF(ISNUMBER('Population size data'!L13),'Population size data'!L13/6,"")</f>
        <v>0</v>
      </c>
      <c r="M12" s="3">
        <f>IF(ISNUMBER('Population size data'!M13),'Population size data'!M13/6,"")</f>
        <v>0</v>
      </c>
      <c r="N12" s="3">
        <f>IF(ISNUMBER('Population size data'!N13),'Population size data'!N13/6,"")</f>
        <v>0</v>
      </c>
      <c r="O12" s="3">
        <f>IF(ISNUMBER('Population size data'!O13),'Population size data'!O13/6,"")</f>
        <v>0</v>
      </c>
      <c r="P12" s="12"/>
      <c r="Q12" s="12"/>
      <c r="R12" s="3">
        <f>IF(ISNUMBER('Population size data'!R13),'Population size data'!R13/6,"")</f>
        <v>0</v>
      </c>
      <c r="S12" s="3">
        <f>IF(ISNUMBER('Population size data'!S13),'Population size data'!S13/6,"")</f>
        <v>0</v>
      </c>
      <c r="T12" s="3">
        <f>IF(ISNUMBER('Population size data'!T13),'Population size data'!T13/6,"")</f>
        <v>0</v>
      </c>
      <c r="U12" s="3">
        <f>IF(ISNUMBER('Population size data'!U13),'Population size data'!U13/6,"")</f>
        <v>0</v>
      </c>
      <c r="V12" s="3">
        <f>IF(ISNUMBER('Population size data'!V13),'Population size data'!V13/6,"")</f>
        <v>0</v>
      </c>
    </row>
    <row r="13" spans="1:22" x14ac:dyDescent="0.3">
      <c r="A13" t="s">
        <v>12</v>
      </c>
      <c r="B13" t="s">
        <v>63</v>
      </c>
      <c r="C13" s="7">
        <v>20</v>
      </c>
      <c r="D13" s="3">
        <f>IF(ISNUMBER('Population size data'!D14),'Population size data'!D14/6,"")</f>
        <v>8.3333333333333339</v>
      </c>
      <c r="E13" s="3" t="str">
        <f>IF(ISNUMBER('Population size data'!E14),'Population size data'!E14/6,"")</f>
        <v/>
      </c>
      <c r="F13" s="3">
        <f>IF(ISNUMBER('Population size data'!F14),'Population size data'!F14/6,"")</f>
        <v>80</v>
      </c>
      <c r="G13" s="3" t="str">
        <f>IF(ISNUMBER('Population size data'!G14),'Population size data'!G14/6,"")</f>
        <v/>
      </c>
      <c r="H13" s="3">
        <f>IF(ISNUMBER('Population size data'!H14),'Population size data'!H14/6,"")</f>
        <v>80</v>
      </c>
      <c r="I13" s="3" t="str">
        <f>IF(ISNUMBER('Population size data'!I14),'Population size data'!I14/6,"")</f>
        <v/>
      </c>
      <c r="J13" s="3">
        <f>IF(ISNUMBER('Population size data'!J14),'Population size data'!J14/6,"")</f>
        <v>180</v>
      </c>
      <c r="K13" s="3">
        <f>IF(ISNUMBER('Population size data'!K14),'Population size data'!K14/6,"")</f>
        <v>170</v>
      </c>
      <c r="L13" s="3">
        <f>IF(ISNUMBER('Population size data'!L14),'Population size data'!L14/6,"")</f>
        <v>120</v>
      </c>
      <c r="M13" s="3">
        <f>IF(ISNUMBER('Population size data'!M14),'Population size data'!M14/6,"")</f>
        <v>29</v>
      </c>
      <c r="N13" s="3">
        <f>IF(ISNUMBER('Population size data'!N14),'Population size data'!N14/6,"")</f>
        <v>0</v>
      </c>
      <c r="O13" s="3">
        <f>IF(ISNUMBER('Population size data'!O14),'Population size data'!O14/6,"")</f>
        <v>0</v>
      </c>
      <c r="P13" s="12"/>
      <c r="Q13" s="12"/>
      <c r="R13" s="3">
        <f>IF(ISNUMBER('Population size data'!R14),'Population size data'!R14/6,"")</f>
        <v>0</v>
      </c>
      <c r="S13" s="3">
        <f>IF(ISNUMBER('Population size data'!S14),'Population size data'!S14/6,"")</f>
        <v>0</v>
      </c>
      <c r="T13" s="3">
        <f>IF(ISNUMBER('Population size data'!T14),'Population size data'!T14/6,"")</f>
        <v>0</v>
      </c>
      <c r="U13" s="3">
        <f>IF(ISNUMBER('Population size data'!U14),'Population size data'!U14/6,"")</f>
        <v>0</v>
      </c>
      <c r="V13" s="3">
        <f>IF(ISNUMBER('Population size data'!V14),'Population size data'!V14/6,"")</f>
        <v>0</v>
      </c>
    </row>
    <row r="14" spans="1:22" x14ac:dyDescent="0.3">
      <c r="A14" t="s">
        <v>13</v>
      </c>
      <c r="B14" t="s">
        <v>63</v>
      </c>
      <c r="C14" s="7">
        <v>20</v>
      </c>
      <c r="D14" s="3">
        <f>IF(ISNUMBER('Population size data'!D15),'Population size data'!D15/6,"")</f>
        <v>8.3333333333333339</v>
      </c>
      <c r="E14" s="3" t="str">
        <f>IF(ISNUMBER('Population size data'!E15),'Population size data'!E15/6,"")</f>
        <v/>
      </c>
      <c r="F14" s="3">
        <f>IF(ISNUMBER('Population size data'!F15),'Population size data'!F15/6,"")</f>
        <v>40</v>
      </c>
      <c r="G14" s="3" t="str">
        <f>IF(ISNUMBER('Population size data'!G15),'Population size data'!G15/6,"")</f>
        <v/>
      </c>
      <c r="H14" s="3">
        <f>IF(ISNUMBER('Population size data'!H15),'Population size data'!H15/6,"")</f>
        <v>140</v>
      </c>
      <c r="I14" s="3" t="str">
        <f>IF(ISNUMBER('Population size data'!I15),'Population size data'!I15/6,"")</f>
        <v/>
      </c>
      <c r="J14" s="3">
        <f>IF(ISNUMBER('Population size data'!J15),'Population size data'!J15/6,"")</f>
        <v>4</v>
      </c>
      <c r="K14" s="3">
        <f>IF(ISNUMBER('Population size data'!K15),'Population size data'!K15/6,"")</f>
        <v>0</v>
      </c>
      <c r="L14" s="3">
        <f>IF(ISNUMBER('Population size data'!L15),'Population size data'!L15/6,"")</f>
        <v>0</v>
      </c>
      <c r="M14" s="3">
        <f>IF(ISNUMBER('Population size data'!M15),'Population size data'!M15/6,"")</f>
        <v>0</v>
      </c>
      <c r="N14" s="3">
        <f>IF(ISNUMBER('Population size data'!N15),'Population size data'!N15/6,"")</f>
        <v>0</v>
      </c>
      <c r="O14" s="3">
        <f>IF(ISNUMBER('Population size data'!O15),'Population size data'!O15/6,"")</f>
        <v>0</v>
      </c>
      <c r="P14" s="12"/>
      <c r="Q14" s="12"/>
      <c r="R14" s="3">
        <f>IF(ISNUMBER('Population size data'!R15),'Population size data'!R15/6,"")</f>
        <v>0</v>
      </c>
      <c r="S14" s="3">
        <f>IF(ISNUMBER('Population size data'!S15),'Population size data'!S15/6,"")</f>
        <v>0</v>
      </c>
      <c r="T14" s="3">
        <f>IF(ISNUMBER('Population size data'!T15),'Population size data'!T15/6,"")</f>
        <v>0</v>
      </c>
      <c r="U14" s="3">
        <f>IF(ISNUMBER('Population size data'!U15),'Population size data'!U15/6,"")</f>
        <v>0</v>
      </c>
      <c r="V14" s="3">
        <f>IF(ISNUMBER('Population size data'!V15),'Population size data'!V15/6,"")</f>
        <v>0</v>
      </c>
    </row>
    <row r="15" spans="1:22" x14ac:dyDescent="0.3">
      <c r="A15" t="s">
        <v>14</v>
      </c>
      <c r="B15" t="s">
        <v>63</v>
      </c>
      <c r="C15" s="7">
        <v>20</v>
      </c>
      <c r="D15" s="3">
        <f>IF(ISNUMBER('Population size data'!D16),'Population size data'!D16/6,"")</f>
        <v>8.3333333333333339</v>
      </c>
      <c r="E15" s="3" t="str">
        <f>IF(ISNUMBER('Population size data'!E16),'Population size data'!E16/6,"")</f>
        <v/>
      </c>
      <c r="F15" s="3">
        <f>IF(ISNUMBER('Population size data'!F16),'Population size data'!F16/6,"")</f>
        <v>50</v>
      </c>
      <c r="G15" s="3" t="str">
        <f>IF(ISNUMBER('Population size data'!G16),'Population size data'!G16/6,"")</f>
        <v/>
      </c>
      <c r="H15" s="3">
        <f>IF(ISNUMBER('Population size data'!H16),'Population size data'!H16/6,"")</f>
        <v>80</v>
      </c>
      <c r="I15" s="3" t="str">
        <f>IF(ISNUMBER('Population size data'!I16),'Population size data'!I16/6,"")</f>
        <v/>
      </c>
      <c r="J15" s="3">
        <f>IF(ISNUMBER('Population size data'!J16),'Population size data'!J16/6,"")</f>
        <v>0</v>
      </c>
      <c r="K15" s="3">
        <f>IF(ISNUMBER('Population size data'!K16),'Population size data'!K16/6,"")</f>
        <v>0</v>
      </c>
      <c r="L15" s="3">
        <f>IF(ISNUMBER('Population size data'!L16),'Population size data'!L16/6,"")</f>
        <v>0</v>
      </c>
      <c r="M15" s="3">
        <f>IF(ISNUMBER('Population size data'!M16),'Population size data'!M16/6,"")</f>
        <v>0</v>
      </c>
      <c r="N15" s="3">
        <f>IF(ISNUMBER('Population size data'!N16),'Population size data'!N16/6,"")</f>
        <v>0</v>
      </c>
      <c r="O15" s="3">
        <f>IF(ISNUMBER('Population size data'!O16),'Population size data'!O16/6,"")</f>
        <v>0</v>
      </c>
      <c r="P15" s="12"/>
      <c r="Q15" s="12"/>
      <c r="R15" s="3">
        <f>IF(ISNUMBER('Population size data'!R16),'Population size data'!R16/6,"")</f>
        <v>0</v>
      </c>
      <c r="S15" s="3">
        <f>IF(ISNUMBER('Population size data'!S16),'Population size data'!S16/6,"")</f>
        <v>0</v>
      </c>
      <c r="T15" s="3">
        <f>IF(ISNUMBER('Population size data'!T16),'Population size data'!T16/6,"")</f>
        <v>0</v>
      </c>
      <c r="U15" s="3">
        <f>IF(ISNUMBER('Population size data'!U16),'Population size data'!U16/6,"")</f>
        <v>0</v>
      </c>
      <c r="V15" s="3">
        <f>IF(ISNUMBER('Population size data'!V16),'Population size data'!V16/6,"")</f>
        <v>0</v>
      </c>
    </row>
    <row r="16" spans="1:22" x14ac:dyDescent="0.3">
      <c r="A16" t="s">
        <v>15</v>
      </c>
      <c r="B16" t="s">
        <v>63</v>
      </c>
      <c r="C16" s="7">
        <v>23</v>
      </c>
      <c r="D16" s="3">
        <f>IF(ISNUMBER('Population size data'!D17),'Population size data'!D17/6,"")</f>
        <v>8.3333333333333339</v>
      </c>
      <c r="E16" s="3">
        <f>IF(ISNUMBER('Population size data'!E17),'Population size data'!E17/6,"")</f>
        <v>51.5</v>
      </c>
      <c r="F16" s="3">
        <f>IF(ISNUMBER('Population size data'!F17),'Population size data'!F17/6,"")</f>
        <v>80</v>
      </c>
      <c r="G16" s="3" t="str">
        <f>IF(ISNUMBER('Population size data'!G17),'Population size data'!G17/6,"")</f>
        <v/>
      </c>
      <c r="H16" s="3">
        <f>IF(ISNUMBER('Population size data'!H17),'Population size data'!H17/6,"")</f>
        <v>100</v>
      </c>
      <c r="I16" s="3">
        <f>IF(ISNUMBER('Population size data'!I17),'Population size data'!I17/6,"")</f>
        <v>30.5</v>
      </c>
      <c r="J16" s="3">
        <f>IF(ISNUMBER('Population size data'!J17),'Population size data'!J17/6,"")</f>
        <v>0</v>
      </c>
      <c r="K16" s="3">
        <f>IF(ISNUMBER('Population size data'!K17),'Population size data'!K17/6,"")</f>
        <v>0</v>
      </c>
      <c r="L16" s="3">
        <f>IF(ISNUMBER('Population size data'!L17),'Population size data'!L17/6,"")</f>
        <v>0</v>
      </c>
      <c r="M16" s="3">
        <f>IF(ISNUMBER('Population size data'!M17),'Population size data'!M17/6,"")</f>
        <v>0</v>
      </c>
      <c r="N16" s="3">
        <f>IF(ISNUMBER('Population size data'!N17),'Population size data'!N17/6,"")</f>
        <v>0</v>
      </c>
      <c r="O16" s="3">
        <f>IF(ISNUMBER('Population size data'!O17),'Population size data'!O17/6,"")</f>
        <v>0</v>
      </c>
      <c r="P16" s="12"/>
      <c r="Q16" s="12"/>
      <c r="R16" s="3">
        <f>IF(ISNUMBER('Population size data'!R17),'Population size data'!R17/6,"")</f>
        <v>0</v>
      </c>
      <c r="S16" s="3">
        <f>IF(ISNUMBER('Population size data'!S17),'Population size data'!S17/6,"")</f>
        <v>0</v>
      </c>
      <c r="T16" s="3">
        <f>IF(ISNUMBER('Population size data'!T17),'Population size data'!T17/6,"")</f>
        <v>0</v>
      </c>
      <c r="U16" s="3">
        <f>IF(ISNUMBER('Population size data'!U17),'Population size data'!U17/6,"")</f>
        <v>0</v>
      </c>
      <c r="V16" s="3">
        <f>IF(ISNUMBER('Population size data'!V17),'Population size data'!V17/6,"")</f>
        <v>0</v>
      </c>
    </row>
    <row r="17" spans="1:22" x14ac:dyDescent="0.3">
      <c r="A17" t="s">
        <v>16</v>
      </c>
      <c r="B17" t="s">
        <v>63</v>
      </c>
      <c r="C17" s="7">
        <v>23</v>
      </c>
      <c r="D17" s="3">
        <f>IF(ISNUMBER('Population size data'!D18),'Population size data'!D18/6,"")</f>
        <v>8.3333333333333339</v>
      </c>
      <c r="E17" s="3">
        <f>IF(ISNUMBER('Population size data'!E18),'Population size data'!E18/6,"")</f>
        <v>48.5</v>
      </c>
      <c r="F17" s="3">
        <f>IF(ISNUMBER('Population size data'!F18),'Population size data'!F18/6,"")</f>
        <v>70</v>
      </c>
      <c r="G17" s="3" t="str">
        <f>IF(ISNUMBER('Population size data'!G18),'Population size data'!G18/6,"")</f>
        <v/>
      </c>
      <c r="H17" s="3">
        <f>IF(ISNUMBER('Population size data'!H18),'Population size data'!H18/6,"")</f>
        <v>2.6666666666666665</v>
      </c>
      <c r="I17" s="3">
        <f>IF(ISNUMBER('Population size data'!I18),'Population size data'!I18/6,"")</f>
        <v>0</v>
      </c>
      <c r="J17" s="3">
        <f>IF(ISNUMBER('Population size data'!J18),'Population size data'!J18/6,"")</f>
        <v>0</v>
      </c>
      <c r="K17" s="3">
        <f>IF(ISNUMBER('Population size data'!K18),'Population size data'!K18/6,"")</f>
        <v>0</v>
      </c>
      <c r="L17" s="3">
        <f>IF(ISNUMBER('Population size data'!L18),'Population size data'!L18/6,"")</f>
        <v>0</v>
      </c>
      <c r="M17" s="3">
        <f>IF(ISNUMBER('Population size data'!M18),'Population size data'!M18/6,"")</f>
        <v>0</v>
      </c>
      <c r="N17" s="3">
        <f>IF(ISNUMBER('Population size data'!N18),'Population size data'!N18/6,"")</f>
        <v>0</v>
      </c>
      <c r="O17" s="3">
        <f>IF(ISNUMBER('Population size data'!O18),'Population size data'!O18/6,"")</f>
        <v>0</v>
      </c>
      <c r="P17" s="12"/>
      <c r="Q17" s="12"/>
      <c r="R17" s="3">
        <f>IF(ISNUMBER('Population size data'!R18),'Population size data'!R18/6,"")</f>
        <v>0</v>
      </c>
      <c r="S17" s="3">
        <f>IF(ISNUMBER('Population size data'!S18),'Population size data'!S18/6,"")</f>
        <v>0</v>
      </c>
      <c r="T17" s="3">
        <f>IF(ISNUMBER('Population size data'!T18),'Population size data'!T18/6,"")</f>
        <v>0</v>
      </c>
      <c r="U17" s="3">
        <f>IF(ISNUMBER('Population size data'!U18),'Population size data'!U18/6,"")</f>
        <v>0</v>
      </c>
      <c r="V17" s="3">
        <f>IF(ISNUMBER('Population size data'!V18),'Population size data'!V18/6,"")</f>
        <v>0</v>
      </c>
    </row>
    <row r="18" spans="1:22" x14ac:dyDescent="0.3">
      <c r="A18" t="s">
        <v>17</v>
      </c>
      <c r="B18" t="s">
        <v>63</v>
      </c>
      <c r="C18" s="7">
        <v>23</v>
      </c>
      <c r="D18" s="3">
        <f>IF(ISNUMBER('Population size data'!D19),'Population size data'!D19/6,"")</f>
        <v>8.3333333333333339</v>
      </c>
      <c r="E18" s="3">
        <f>IF(ISNUMBER('Population size data'!E19),'Population size data'!E19/6,"")</f>
        <v>57.166666666666664</v>
      </c>
      <c r="F18" s="3">
        <f>IF(ISNUMBER('Population size data'!F19),'Population size data'!F19/6,"")</f>
        <v>110</v>
      </c>
      <c r="G18" s="3" t="str">
        <f>IF(ISNUMBER('Population size data'!G19),'Population size data'!G19/6,"")</f>
        <v/>
      </c>
      <c r="H18" s="3">
        <f>IF(ISNUMBER('Population size data'!H19),'Population size data'!H19/6,"")</f>
        <v>220</v>
      </c>
      <c r="I18" s="3">
        <f>IF(ISNUMBER('Population size data'!I19),'Population size data'!I19/6,"")</f>
        <v>125.66666666666667</v>
      </c>
      <c r="J18" s="3">
        <f>IF(ISNUMBER('Population size data'!J19),'Population size data'!J19/6,"")</f>
        <v>230</v>
      </c>
      <c r="K18" s="3">
        <f>IF(ISNUMBER('Population size data'!K19),'Population size data'!K19/6,"")</f>
        <v>570</v>
      </c>
      <c r="L18" s="3">
        <f>IF(ISNUMBER('Population size data'!L19),'Population size data'!L19/6,"")</f>
        <v>680</v>
      </c>
      <c r="M18" s="3">
        <f>IF(ISNUMBER('Population size data'!M19),'Population size data'!M19/6,"")</f>
        <v>890</v>
      </c>
      <c r="N18" s="3">
        <f>IF(ISNUMBER('Population size data'!N19),'Population size data'!N19/6,"")</f>
        <v>900</v>
      </c>
      <c r="O18" s="3">
        <f>IF(ISNUMBER('Population size data'!O19),'Population size data'!O19/6,"")</f>
        <v>1120</v>
      </c>
      <c r="P18" s="12"/>
      <c r="Q18" s="12"/>
      <c r="R18" s="3">
        <f>IF(ISNUMBER('Population size data'!R19),'Population size data'!R19/6,"")</f>
        <v>2720</v>
      </c>
      <c r="S18" s="3">
        <f>IF(ISNUMBER('Population size data'!S19),'Population size data'!S19/6,"")</f>
        <v>1800</v>
      </c>
      <c r="T18" s="3">
        <f>IF(ISNUMBER('Population size data'!T19),'Population size data'!T19/6,"")</f>
        <v>1370</v>
      </c>
      <c r="U18" s="3" t="str">
        <f>IF(ISNUMBER('Population size data'!U19),'Population size data'!U19/6,"")</f>
        <v/>
      </c>
      <c r="V18" s="3" t="str">
        <f>IF(ISNUMBER('Population size data'!V19),'Population size data'!V19/6,"")</f>
        <v/>
      </c>
    </row>
    <row r="19" spans="1:22" x14ac:dyDescent="0.3">
      <c r="A19" t="s">
        <v>18</v>
      </c>
      <c r="B19" t="s">
        <v>63</v>
      </c>
      <c r="C19" s="7">
        <v>23</v>
      </c>
      <c r="D19" s="3">
        <f>IF(ISNUMBER('Population size data'!D20),'Population size data'!D20/6,"")</f>
        <v>8.3333333333333339</v>
      </c>
      <c r="E19" s="3">
        <f>IF(ISNUMBER('Population size data'!E20),'Population size data'!E20/6,"")</f>
        <v>49.666666666666664</v>
      </c>
      <c r="F19" s="3">
        <f>IF(ISNUMBER('Population size data'!F20),'Population size data'!F20/6,"")</f>
        <v>110</v>
      </c>
      <c r="G19" s="3" t="str">
        <f>IF(ISNUMBER('Population size data'!G20),'Population size data'!G20/6,"")</f>
        <v/>
      </c>
      <c r="H19" s="3">
        <f>IF(ISNUMBER('Population size data'!H20),'Population size data'!H20/6,"")</f>
        <v>27.083333333333332</v>
      </c>
      <c r="I19" s="3">
        <f>IF(ISNUMBER('Population size data'!I20),'Population size data'!I20/6,"")</f>
        <v>0</v>
      </c>
      <c r="J19" s="3">
        <f>IF(ISNUMBER('Population size data'!J20),'Population size data'!J20/6,"")</f>
        <v>0</v>
      </c>
      <c r="K19" s="3">
        <f>IF(ISNUMBER('Population size data'!K20),'Population size data'!K20/6,"")</f>
        <v>0</v>
      </c>
      <c r="L19" s="3">
        <f>IF(ISNUMBER('Population size data'!L20),'Population size data'!L20/6,"")</f>
        <v>0</v>
      </c>
      <c r="M19" s="3">
        <f>IF(ISNUMBER('Population size data'!M20),'Population size data'!M20/6,"")</f>
        <v>0</v>
      </c>
      <c r="N19" s="3">
        <f>IF(ISNUMBER('Population size data'!N20),'Population size data'!N20/6,"")</f>
        <v>0</v>
      </c>
      <c r="O19" s="3">
        <f>IF(ISNUMBER('Population size data'!O20),'Population size data'!O20/6,"")</f>
        <v>0</v>
      </c>
      <c r="P19" s="12"/>
      <c r="Q19" s="12"/>
      <c r="R19" s="3">
        <f>IF(ISNUMBER('Population size data'!R20),'Population size data'!R20/6,"")</f>
        <v>0</v>
      </c>
      <c r="S19" s="3">
        <f>IF(ISNUMBER('Population size data'!S20),'Population size data'!S20/6,"")</f>
        <v>0</v>
      </c>
      <c r="T19" s="3">
        <f>IF(ISNUMBER('Population size data'!T20),'Population size data'!T20/6,"")</f>
        <v>0</v>
      </c>
      <c r="U19" s="3">
        <f>IF(ISNUMBER('Population size data'!U20),'Population size data'!U20/6,"")</f>
        <v>0</v>
      </c>
      <c r="V19" s="3">
        <f>IF(ISNUMBER('Population size data'!V20),'Population size data'!V20/6,"")</f>
        <v>0</v>
      </c>
    </row>
    <row r="20" spans="1:22" x14ac:dyDescent="0.3">
      <c r="A20" t="s">
        <v>19</v>
      </c>
      <c r="B20" t="s">
        <v>63</v>
      </c>
      <c r="C20" s="7">
        <v>23</v>
      </c>
      <c r="D20" s="3">
        <f>IF(ISNUMBER('Population size data'!D21),'Population size data'!D21/6,"")</f>
        <v>8.3333333333333339</v>
      </c>
      <c r="E20" s="3">
        <f>IF(ISNUMBER('Population size data'!E21),'Population size data'!E21/6,"")</f>
        <v>58.5</v>
      </c>
      <c r="F20" s="3">
        <f>IF(ISNUMBER('Population size data'!F21),'Population size data'!F21/6,"")</f>
        <v>130</v>
      </c>
      <c r="G20" s="3" t="str">
        <f>IF(ISNUMBER('Population size data'!G21),'Population size data'!G21/6,"")</f>
        <v/>
      </c>
      <c r="H20" s="3">
        <f>IF(ISNUMBER('Population size data'!H21),'Population size data'!H21/6,"")</f>
        <v>170</v>
      </c>
      <c r="I20" s="3">
        <f>IF(ISNUMBER('Population size data'!I21),'Population size data'!I21/6,"")</f>
        <v>105.66666666666667</v>
      </c>
      <c r="J20" s="3">
        <f>IF(ISNUMBER('Population size data'!J21),'Population size data'!J21/6,"")</f>
        <v>220</v>
      </c>
      <c r="K20" s="3">
        <f>IF(ISNUMBER('Population size data'!K21),'Population size data'!K21/6,"")</f>
        <v>370</v>
      </c>
      <c r="L20" s="3">
        <f>IF(ISNUMBER('Population size data'!L21),'Population size data'!L21/6,"")</f>
        <v>240</v>
      </c>
      <c r="M20" s="3">
        <f>IF(ISNUMBER('Population size data'!M21),'Population size data'!M21/6,"")</f>
        <v>13.166666666666666</v>
      </c>
      <c r="N20" s="3">
        <f>IF(ISNUMBER('Population size data'!N21),'Population size data'!N21/6,"")</f>
        <v>0</v>
      </c>
      <c r="O20" s="3">
        <f>IF(ISNUMBER('Population size data'!O21),'Population size data'!O21/6,"")</f>
        <v>0</v>
      </c>
      <c r="P20" s="12"/>
      <c r="Q20" s="12"/>
      <c r="R20" s="3">
        <f>IF(ISNUMBER('Population size data'!R21),'Population size data'!R21/6,"")</f>
        <v>0</v>
      </c>
      <c r="S20" s="3">
        <f>IF(ISNUMBER('Population size data'!S21),'Population size data'!S21/6,"")</f>
        <v>0</v>
      </c>
      <c r="T20" s="3">
        <f>IF(ISNUMBER('Population size data'!T21),'Population size data'!T21/6,"")</f>
        <v>0</v>
      </c>
      <c r="U20" s="3">
        <f>IF(ISNUMBER('Population size data'!U21),'Population size data'!U21/6,"")</f>
        <v>0</v>
      </c>
      <c r="V20" s="3">
        <f>IF(ISNUMBER('Population size data'!V21),'Population size data'!V21/6,"")</f>
        <v>0</v>
      </c>
    </row>
    <row r="21" spans="1:22" x14ac:dyDescent="0.3">
      <c r="A21" t="s">
        <v>20</v>
      </c>
      <c r="B21" t="s">
        <v>63</v>
      </c>
      <c r="C21" s="7">
        <v>23</v>
      </c>
      <c r="D21" s="3">
        <f>IF(ISNUMBER('Population size data'!D22),'Population size data'!D22/6,"")</f>
        <v>8.3333333333333339</v>
      </c>
      <c r="E21" s="3">
        <f>IF(ISNUMBER('Population size data'!E22),'Population size data'!E22/6,"")</f>
        <v>51.833333333333336</v>
      </c>
      <c r="F21" s="3">
        <f>IF(ISNUMBER('Population size data'!F22),'Population size data'!F22/6,"")</f>
        <v>60</v>
      </c>
      <c r="G21" s="3" t="str">
        <f>IF(ISNUMBER('Population size data'!G22),'Population size data'!G22/6,"")</f>
        <v/>
      </c>
      <c r="H21" s="3">
        <f>IF(ISNUMBER('Population size data'!H22),'Population size data'!H22/6,"")</f>
        <v>5.833333333333333</v>
      </c>
      <c r="I21" s="3">
        <f>IF(ISNUMBER('Population size data'!I22),'Population size data'!I22/6,"")</f>
        <v>0</v>
      </c>
      <c r="J21" s="3">
        <f>IF(ISNUMBER('Population size data'!J22),'Population size data'!J22/6,"")</f>
        <v>0</v>
      </c>
      <c r="K21" s="3">
        <f>IF(ISNUMBER('Population size data'!K22),'Population size data'!K22/6,"")</f>
        <v>0</v>
      </c>
      <c r="L21" s="3">
        <f>IF(ISNUMBER('Population size data'!L22),'Population size data'!L22/6,"")</f>
        <v>0</v>
      </c>
      <c r="M21" s="3">
        <f>IF(ISNUMBER('Population size data'!M22),'Population size data'!M22/6,"")</f>
        <v>0</v>
      </c>
      <c r="N21" s="3">
        <f>IF(ISNUMBER('Population size data'!N22),'Population size data'!N22/6,"")</f>
        <v>0</v>
      </c>
      <c r="O21" s="3">
        <f>IF(ISNUMBER('Population size data'!O22),'Population size data'!O22/6,"")</f>
        <v>0</v>
      </c>
      <c r="P21" s="12"/>
      <c r="Q21" s="12"/>
      <c r="R21" s="3">
        <f>IF(ISNUMBER('Population size data'!R22),'Population size data'!R22/6,"")</f>
        <v>0</v>
      </c>
      <c r="S21" s="3">
        <f>IF(ISNUMBER('Population size data'!S22),'Population size data'!S22/6,"")</f>
        <v>0</v>
      </c>
      <c r="T21" s="3">
        <f>IF(ISNUMBER('Population size data'!T22),'Population size data'!T22/6,"")</f>
        <v>0</v>
      </c>
      <c r="U21" s="3">
        <f>IF(ISNUMBER('Population size data'!U22),'Population size data'!U22/6,"")</f>
        <v>0</v>
      </c>
      <c r="V21" s="3">
        <f>IF(ISNUMBER('Population size data'!V22),'Population size data'!V22/6,"")</f>
        <v>0</v>
      </c>
    </row>
    <row r="22" spans="1:22" x14ac:dyDescent="0.3">
      <c r="A22" t="s">
        <v>21</v>
      </c>
      <c r="B22" t="s">
        <v>63</v>
      </c>
      <c r="C22" s="7">
        <v>25</v>
      </c>
      <c r="D22" s="3">
        <f>IF(ISNUMBER('Population size data'!D23),'Population size data'!D23/6,"")</f>
        <v>8.3333333333333339</v>
      </c>
      <c r="E22" s="3">
        <f>IF(ISNUMBER('Population size data'!E23),'Population size data'!E23/6,"")</f>
        <v>77.666666666666671</v>
      </c>
      <c r="F22" s="3">
        <f>IF(ISNUMBER('Population size data'!F23),'Population size data'!F23/6,"")</f>
        <v>160</v>
      </c>
      <c r="G22" s="3">
        <f>IF(ISNUMBER('Population size data'!G23),'Population size data'!G23/6,"")</f>
        <v>84.166666666666671</v>
      </c>
      <c r="H22" s="3">
        <f>IF(ISNUMBER('Population size data'!H23),'Population size data'!H23/6,"")</f>
        <v>50</v>
      </c>
      <c r="I22" s="3">
        <f>IF(ISNUMBER('Population size data'!I23),'Population size data'!I23/6,"")</f>
        <v>19.833333333333332</v>
      </c>
      <c r="J22" s="3">
        <f>IF(ISNUMBER('Population size data'!J23),'Population size data'!J23/6,"")</f>
        <v>0</v>
      </c>
      <c r="K22" s="3">
        <f>IF(ISNUMBER('Population size data'!K23),'Population size data'!K23/6,"")</f>
        <v>0</v>
      </c>
      <c r="L22" s="3">
        <f>IF(ISNUMBER('Population size data'!L23),'Population size data'!L23/6,"")</f>
        <v>0</v>
      </c>
      <c r="M22" s="3">
        <f>IF(ISNUMBER('Population size data'!M23),'Population size data'!M23/6,"")</f>
        <v>0</v>
      </c>
      <c r="N22" s="3">
        <f>IF(ISNUMBER('Population size data'!N23),'Population size data'!N23/6,"")</f>
        <v>0</v>
      </c>
      <c r="O22" s="3">
        <f>IF(ISNUMBER('Population size data'!O23),'Population size data'!O23/6,"")</f>
        <v>0</v>
      </c>
      <c r="P22" s="12"/>
      <c r="Q22" s="12"/>
      <c r="R22" s="3">
        <f>IF(ISNUMBER('Population size data'!R23),'Population size data'!R23/6,"")</f>
        <v>0</v>
      </c>
      <c r="S22" s="3">
        <f>IF(ISNUMBER('Population size data'!S23),'Population size data'!S23/6,"")</f>
        <v>0</v>
      </c>
      <c r="T22" s="3">
        <f>IF(ISNUMBER('Population size data'!T23),'Population size data'!T23/6,"")</f>
        <v>0</v>
      </c>
      <c r="U22" s="3">
        <f>IF(ISNUMBER('Population size data'!U23),'Population size data'!U23/6,"")</f>
        <v>0</v>
      </c>
      <c r="V22" s="3">
        <f>IF(ISNUMBER('Population size data'!V23),'Population size data'!V23/6,"")</f>
        <v>0</v>
      </c>
    </row>
    <row r="23" spans="1:22" x14ac:dyDescent="0.3">
      <c r="A23" t="s">
        <v>22</v>
      </c>
      <c r="B23" t="s">
        <v>63</v>
      </c>
      <c r="C23" s="7">
        <v>25</v>
      </c>
      <c r="D23" s="3">
        <f>IF(ISNUMBER('Population size data'!D24),'Population size data'!D24/6,"")</f>
        <v>8.3333333333333339</v>
      </c>
      <c r="E23" s="3">
        <f>IF(ISNUMBER('Population size data'!E24),'Population size data'!E24/6,"")</f>
        <v>51.5</v>
      </c>
      <c r="F23" s="3">
        <f>IF(ISNUMBER('Population size data'!F24),'Population size data'!F24/6,"")</f>
        <v>60</v>
      </c>
      <c r="G23" s="3">
        <f>IF(ISNUMBER('Population size data'!G24),'Population size data'!G24/6,"")</f>
        <v>67.5</v>
      </c>
      <c r="H23" s="3">
        <f>IF(ISNUMBER('Population size data'!H24),'Population size data'!H24/6,"")</f>
        <v>9.8333333333333339</v>
      </c>
      <c r="I23" s="3">
        <f>IF(ISNUMBER('Population size data'!I24),'Population size data'!I24/6,"")</f>
        <v>0</v>
      </c>
      <c r="J23" s="3">
        <f>IF(ISNUMBER('Population size data'!J24),'Population size data'!J24/6,"")</f>
        <v>0</v>
      </c>
      <c r="K23" s="3">
        <f>IF(ISNUMBER('Population size data'!K24),'Population size data'!K24/6,"")</f>
        <v>0</v>
      </c>
      <c r="L23" s="3">
        <f>IF(ISNUMBER('Population size data'!L24),'Population size data'!L24/6,"")</f>
        <v>0</v>
      </c>
      <c r="M23" s="3">
        <f>IF(ISNUMBER('Population size data'!M24),'Population size data'!M24/6,"")</f>
        <v>0</v>
      </c>
      <c r="N23" s="3">
        <f>IF(ISNUMBER('Population size data'!N24),'Population size data'!N24/6,"")</f>
        <v>0</v>
      </c>
      <c r="O23" s="3">
        <f>IF(ISNUMBER('Population size data'!O24),'Population size data'!O24/6,"")</f>
        <v>0</v>
      </c>
      <c r="P23" s="12"/>
      <c r="Q23" s="12"/>
      <c r="R23" s="3">
        <f>IF(ISNUMBER('Population size data'!R24),'Population size data'!R24/6,"")</f>
        <v>0</v>
      </c>
      <c r="S23" s="3">
        <f>IF(ISNUMBER('Population size data'!S24),'Population size data'!S24/6,"")</f>
        <v>0</v>
      </c>
      <c r="T23" s="3">
        <f>IF(ISNUMBER('Population size data'!T24),'Population size data'!T24/6,"")</f>
        <v>0</v>
      </c>
      <c r="U23" s="3">
        <f>IF(ISNUMBER('Population size data'!U24),'Population size data'!U24/6,"")</f>
        <v>0</v>
      </c>
      <c r="V23" s="3">
        <f>IF(ISNUMBER('Population size data'!V24),'Population size data'!V24/6,"")</f>
        <v>0</v>
      </c>
    </row>
    <row r="24" spans="1:22" x14ac:dyDescent="0.3">
      <c r="A24" t="s">
        <v>23</v>
      </c>
      <c r="B24" t="s">
        <v>63</v>
      </c>
      <c r="C24" s="7">
        <v>25</v>
      </c>
      <c r="D24" s="3">
        <f>IF(ISNUMBER('Population size data'!D25),'Population size data'!D25/6,"")</f>
        <v>8.3333333333333339</v>
      </c>
      <c r="E24" s="3">
        <f>IF(ISNUMBER('Population size data'!E25),'Population size data'!E25/6,"")</f>
        <v>70.666666666666671</v>
      </c>
      <c r="F24" s="3">
        <f>IF(ISNUMBER('Population size data'!F25),'Population size data'!F25/6,"")</f>
        <v>120</v>
      </c>
      <c r="G24" s="3">
        <f>IF(ISNUMBER('Population size data'!G25),'Population size data'!G25/6,"")</f>
        <v>90.833333333333329</v>
      </c>
      <c r="H24" s="3">
        <f>IF(ISNUMBER('Population size data'!H25),'Population size data'!H25/6,"")</f>
        <v>110</v>
      </c>
      <c r="I24" s="3">
        <f>IF(ISNUMBER('Population size data'!I25),'Population size data'!I25/6,"")</f>
        <v>142</v>
      </c>
      <c r="J24" s="3">
        <f>IF(ISNUMBER('Population size data'!J25),'Population size data'!J25/6,"")</f>
        <v>140</v>
      </c>
      <c r="K24" s="3">
        <f>IF(ISNUMBER('Population size data'!K25),'Population size data'!K25/6,"")</f>
        <v>400</v>
      </c>
      <c r="L24" s="3">
        <f>IF(ISNUMBER('Population size data'!L25),'Population size data'!L25/6,"")</f>
        <v>450</v>
      </c>
      <c r="M24" s="3">
        <f>IF(ISNUMBER('Population size data'!M25),'Population size data'!M25/6,"")</f>
        <v>530</v>
      </c>
      <c r="N24" s="3">
        <f>IF(ISNUMBER('Population size data'!N25),'Population size data'!N25/6,"")</f>
        <v>630</v>
      </c>
      <c r="O24" s="3">
        <f>IF(ISNUMBER('Population size data'!O25),'Population size data'!O25/6,"")</f>
        <v>810</v>
      </c>
      <c r="P24" s="12"/>
      <c r="Q24" s="12"/>
      <c r="R24" s="3">
        <f>IF(ISNUMBER('Population size data'!R25),'Population size data'!R25/6,"")</f>
        <v>1100</v>
      </c>
      <c r="S24" s="3">
        <f>IF(ISNUMBER('Population size data'!S25),'Population size data'!S25/6,"")</f>
        <v>1070</v>
      </c>
      <c r="T24" s="3">
        <f>IF(ISNUMBER('Population size data'!T25),'Population size data'!T25/6,"")</f>
        <v>1140</v>
      </c>
      <c r="U24" s="3" t="str">
        <f>IF(ISNUMBER('Population size data'!U25),'Population size data'!U25/6,"")</f>
        <v/>
      </c>
      <c r="V24" s="3" t="str">
        <f>IF(ISNUMBER('Population size data'!V25),'Population size data'!V25/6,"")</f>
        <v/>
      </c>
    </row>
    <row r="25" spans="1:22" x14ac:dyDescent="0.3">
      <c r="A25" t="s">
        <v>24</v>
      </c>
      <c r="B25" t="s">
        <v>63</v>
      </c>
      <c r="C25" s="7">
        <v>25</v>
      </c>
      <c r="D25" s="3">
        <f>IF(ISNUMBER('Population size data'!D26),'Population size data'!D26/6,"")</f>
        <v>8.3333333333333339</v>
      </c>
      <c r="E25" s="3">
        <f>IF(ISNUMBER('Population size data'!E26),'Population size data'!E26/6,"")</f>
        <v>71.333333333333329</v>
      </c>
      <c r="F25" s="3">
        <f>IF(ISNUMBER('Population size data'!F26),'Population size data'!F26/6,"")</f>
        <v>40</v>
      </c>
      <c r="G25" s="3">
        <f>IF(ISNUMBER('Population size data'!G26),'Population size data'!G26/6,"")</f>
        <v>2.3333333333333335</v>
      </c>
      <c r="H25" s="3">
        <f>IF(ISNUMBER('Population size data'!H26),'Population size data'!H26/6,"")</f>
        <v>0</v>
      </c>
      <c r="I25" s="3">
        <f>IF(ISNUMBER('Population size data'!I26),'Population size data'!I26/6,"")</f>
        <v>0</v>
      </c>
      <c r="J25" s="3">
        <f>IF(ISNUMBER('Population size data'!J26),'Population size data'!J26/6,"")</f>
        <v>0</v>
      </c>
      <c r="K25" s="3">
        <f>IF(ISNUMBER('Population size data'!K26),'Population size data'!K26/6,"")</f>
        <v>0</v>
      </c>
      <c r="L25" s="3">
        <f>IF(ISNUMBER('Population size data'!L26),'Population size data'!L26/6,"")</f>
        <v>0</v>
      </c>
      <c r="M25" s="3">
        <f>IF(ISNUMBER('Population size data'!M26),'Population size data'!M26/6,"")</f>
        <v>0</v>
      </c>
      <c r="N25" s="3">
        <f>IF(ISNUMBER('Population size data'!N26),'Population size data'!N26/6,"")</f>
        <v>0</v>
      </c>
      <c r="O25" s="3">
        <f>IF(ISNUMBER('Population size data'!O26),'Population size data'!O26/6,"")</f>
        <v>0</v>
      </c>
      <c r="P25" s="12"/>
      <c r="Q25" s="12"/>
      <c r="R25" s="3">
        <f>IF(ISNUMBER('Population size data'!R26),'Population size data'!R26/6,"")</f>
        <v>0</v>
      </c>
      <c r="S25" s="3">
        <f>IF(ISNUMBER('Population size data'!S26),'Population size data'!S26/6,"")</f>
        <v>0</v>
      </c>
      <c r="T25" s="3">
        <f>IF(ISNUMBER('Population size data'!T26),'Population size data'!T26/6,"")</f>
        <v>0</v>
      </c>
      <c r="U25" s="3">
        <f>IF(ISNUMBER('Population size data'!U26),'Population size data'!U26/6,"")</f>
        <v>0</v>
      </c>
      <c r="V25" s="3">
        <f>IF(ISNUMBER('Population size data'!V26),'Population size data'!V26/6,"")</f>
        <v>0</v>
      </c>
    </row>
    <row r="26" spans="1:22" x14ac:dyDescent="0.3">
      <c r="A26" t="s">
        <v>25</v>
      </c>
      <c r="B26" t="s">
        <v>63</v>
      </c>
      <c r="C26" s="7">
        <v>25</v>
      </c>
      <c r="D26" s="3">
        <f>IF(ISNUMBER('Population size data'!D27),'Population size data'!D27/6,"")</f>
        <v>8.3333333333333339</v>
      </c>
      <c r="E26" s="3">
        <f>IF(ISNUMBER('Population size data'!E27),'Population size data'!E27/6,"")</f>
        <v>78</v>
      </c>
      <c r="F26" s="3">
        <f>IF(ISNUMBER('Population size data'!F27),'Population size data'!F27/6,"")</f>
        <v>140</v>
      </c>
      <c r="G26" s="3">
        <f>IF(ISNUMBER('Population size data'!G27),'Population size data'!G27/6,"")</f>
        <v>18.583333333333332</v>
      </c>
      <c r="H26" s="3">
        <f>IF(ISNUMBER('Population size data'!H27),'Population size data'!H27/6,"")</f>
        <v>0</v>
      </c>
      <c r="I26" s="3">
        <f>IF(ISNUMBER('Population size data'!I27),'Population size data'!I27/6,"")</f>
        <v>0</v>
      </c>
      <c r="J26" s="3">
        <f>IF(ISNUMBER('Population size data'!J27),'Population size data'!J27/6,"")</f>
        <v>0</v>
      </c>
      <c r="K26" s="3">
        <f>IF(ISNUMBER('Population size data'!K27),'Population size data'!K27/6,"")</f>
        <v>0</v>
      </c>
      <c r="L26" s="3">
        <f>IF(ISNUMBER('Population size data'!L27),'Population size data'!L27/6,"")</f>
        <v>0</v>
      </c>
      <c r="M26" s="3">
        <f>IF(ISNUMBER('Population size data'!M27),'Population size data'!M27/6,"")</f>
        <v>0</v>
      </c>
      <c r="N26" s="3">
        <f>IF(ISNUMBER('Population size data'!N27),'Population size data'!N27/6,"")</f>
        <v>0</v>
      </c>
      <c r="O26" s="3">
        <f>IF(ISNUMBER('Population size data'!O27),'Population size data'!O27/6,"")</f>
        <v>0</v>
      </c>
      <c r="P26" s="12"/>
      <c r="Q26" s="12"/>
      <c r="R26" s="3">
        <f>IF(ISNUMBER('Population size data'!R27),'Population size data'!R27/6,"")</f>
        <v>0</v>
      </c>
      <c r="S26" s="3">
        <f>IF(ISNUMBER('Population size data'!S27),'Population size data'!S27/6,"")</f>
        <v>0</v>
      </c>
      <c r="T26" s="3">
        <f>IF(ISNUMBER('Population size data'!T27),'Population size data'!T27/6,"")</f>
        <v>0</v>
      </c>
      <c r="U26" s="3">
        <f>IF(ISNUMBER('Population size data'!U27),'Population size data'!U27/6,"")</f>
        <v>0</v>
      </c>
      <c r="V26" s="3">
        <f>IF(ISNUMBER('Population size data'!V27),'Population size data'!V27/6,"")</f>
        <v>0</v>
      </c>
    </row>
    <row r="27" spans="1:22" x14ac:dyDescent="0.3">
      <c r="A27" t="s">
        <v>26</v>
      </c>
      <c r="B27" t="s">
        <v>63</v>
      </c>
      <c r="C27" s="7">
        <v>25</v>
      </c>
      <c r="D27" s="3">
        <f>IF(ISNUMBER('Population size data'!D28),'Population size data'!D28/6,"")</f>
        <v>8.3333333333333339</v>
      </c>
      <c r="E27" s="3">
        <f>IF(ISNUMBER('Population size data'!E28),'Population size data'!E28/6,"")</f>
        <v>80</v>
      </c>
      <c r="F27" s="3">
        <f>IF(ISNUMBER('Population size data'!F28),'Population size data'!F28/6,"")</f>
        <v>60</v>
      </c>
      <c r="G27" s="3">
        <f>IF(ISNUMBER('Population size data'!G28),'Population size data'!G28/6,"")</f>
        <v>43.083333333333336</v>
      </c>
      <c r="H27" s="3">
        <f>IF(ISNUMBER('Population size data'!H28),'Population size data'!H28/6,"")</f>
        <v>0.16666666666666666</v>
      </c>
      <c r="I27" s="3">
        <f>IF(ISNUMBER('Population size data'!I28),'Population size data'!I28/6,"")</f>
        <v>0</v>
      </c>
      <c r="J27" s="3">
        <f>IF(ISNUMBER('Population size data'!J28),'Population size data'!J28/6,"")</f>
        <v>0</v>
      </c>
      <c r="K27" s="3">
        <f>IF(ISNUMBER('Population size data'!K28),'Population size data'!K28/6,"")</f>
        <v>0</v>
      </c>
      <c r="L27" s="3">
        <f>IF(ISNUMBER('Population size data'!L28),'Population size data'!L28/6,"")</f>
        <v>0</v>
      </c>
      <c r="M27" s="3">
        <f>IF(ISNUMBER('Population size data'!M28),'Population size data'!M28/6,"")</f>
        <v>0</v>
      </c>
      <c r="N27" s="3">
        <f>IF(ISNUMBER('Population size data'!N28),'Population size data'!N28/6,"")</f>
        <v>0</v>
      </c>
      <c r="O27" s="3">
        <f>IF(ISNUMBER('Population size data'!O28),'Population size data'!O28/6,"")</f>
        <v>0</v>
      </c>
      <c r="P27" s="12"/>
      <c r="Q27" s="12"/>
      <c r="R27" s="3">
        <f>IF(ISNUMBER('Population size data'!R28),'Population size data'!R28/6,"")</f>
        <v>0</v>
      </c>
      <c r="S27" s="3">
        <f>IF(ISNUMBER('Population size data'!S28),'Population size data'!S28/6,"")</f>
        <v>0</v>
      </c>
      <c r="T27" s="3">
        <f>IF(ISNUMBER('Population size data'!T28),'Population size data'!T28/6,"")</f>
        <v>0</v>
      </c>
      <c r="U27" s="3">
        <f>IF(ISNUMBER('Population size data'!U28),'Population size data'!U28/6,"")</f>
        <v>0</v>
      </c>
      <c r="V27" s="3">
        <f>IF(ISNUMBER('Population size data'!V28),'Population size data'!V28/6,"")</f>
        <v>0</v>
      </c>
    </row>
    <row r="28" spans="1:22" x14ac:dyDescent="0.3">
      <c r="A28" t="s">
        <v>27</v>
      </c>
      <c r="B28" t="s">
        <v>63</v>
      </c>
      <c r="C28" s="7">
        <v>27</v>
      </c>
      <c r="D28" s="3">
        <f>IF(ISNUMBER('Population size data'!D29),'Population size data'!D29/6,"")</f>
        <v>8.3333333333333339</v>
      </c>
      <c r="E28" s="3">
        <f>IF(ISNUMBER('Population size data'!E29),'Population size data'!E29/6,"")</f>
        <v>71.166666666666671</v>
      </c>
      <c r="F28" s="3">
        <f>IF(ISNUMBER('Population size data'!F29),'Population size data'!F29/6,"")</f>
        <v>80</v>
      </c>
      <c r="G28" s="3">
        <f>IF(ISNUMBER('Population size data'!G29),'Population size data'!G29/6,"")</f>
        <v>7.416666666666667</v>
      </c>
      <c r="H28" s="3">
        <f>IF(ISNUMBER('Population size data'!H29),'Population size data'!H29/6,"")</f>
        <v>0</v>
      </c>
      <c r="I28" s="3">
        <f>IF(ISNUMBER('Population size data'!I29),'Population size data'!I29/6,"")</f>
        <v>0</v>
      </c>
      <c r="J28" s="3">
        <f>IF(ISNUMBER('Population size data'!J29),'Population size data'!J29/6,"")</f>
        <v>0</v>
      </c>
      <c r="K28" s="3">
        <f>IF(ISNUMBER('Population size data'!K29),'Population size data'!K29/6,"")</f>
        <v>0</v>
      </c>
      <c r="L28" s="3">
        <f>IF(ISNUMBER('Population size data'!L29),'Population size data'!L29/6,"")</f>
        <v>0</v>
      </c>
      <c r="M28" s="3">
        <f>IF(ISNUMBER('Population size data'!M29),'Population size data'!M29/6,"")</f>
        <v>0</v>
      </c>
      <c r="N28" s="3">
        <f>IF(ISNUMBER('Population size data'!N29),'Population size data'!N29/6,"")</f>
        <v>0</v>
      </c>
      <c r="O28" s="3">
        <f>IF(ISNUMBER('Population size data'!O29),'Population size data'!O29/6,"")</f>
        <v>0</v>
      </c>
      <c r="P28" s="12"/>
      <c r="Q28" s="12"/>
      <c r="R28" s="3">
        <f>IF(ISNUMBER('Population size data'!R29),'Population size data'!R29/6,"")</f>
        <v>0</v>
      </c>
      <c r="S28" s="3">
        <f>IF(ISNUMBER('Population size data'!S29),'Population size data'!S29/6,"")</f>
        <v>0</v>
      </c>
      <c r="T28" s="3">
        <f>IF(ISNUMBER('Population size data'!T29),'Population size data'!T29/6,"")</f>
        <v>0</v>
      </c>
      <c r="U28" s="3">
        <f>IF(ISNUMBER('Population size data'!U29),'Population size data'!U29/6,"")</f>
        <v>0</v>
      </c>
      <c r="V28" s="3">
        <f>IF(ISNUMBER('Population size data'!V29),'Population size data'!V29/6,"")</f>
        <v>0</v>
      </c>
    </row>
    <row r="29" spans="1:22" x14ac:dyDescent="0.3">
      <c r="A29" t="s">
        <v>28</v>
      </c>
      <c r="B29" t="s">
        <v>63</v>
      </c>
      <c r="C29" s="7">
        <v>27</v>
      </c>
      <c r="D29" s="3">
        <f>IF(ISNUMBER('Population size data'!D30),'Population size data'!D30/6,"")</f>
        <v>8.3333333333333339</v>
      </c>
      <c r="E29" s="3">
        <f>IF(ISNUMBER('Population size data'!E30),'Population size data'!E30/6,"")</f>
        <v>64.333333333333329</v>
      </c>
      <c r="F29" s="3">
        <f>IF(ISNUMBER('Population size data'!F30),'Population size data'!F30/6,"")</f>
        <v>60.666666666666664</v>
      </c>
      <c r="G29" s="3">
        <f>IF(ISNUMBER('Population size data'!G30),'Population size data'!G30/6,"")</f>
        <v>67.333333333333329</v>
      </c>
      <c r="H29" s="3">
        <f>IF(ISNUMBER('Population size data'!H30),'Population size data'!H30/6,"")</f>
        <v>31.833333333333332</v>
      </c>
      <c r="I29" s="3">
        <f>IF(ISNUMBER('Population size data'!I30),'Population size data'!I30/6,"")</f>
        <v>2.1666666666666665</v>
      </c>
      <c r="J29" s="3">
        <f>IF(ISNUMBER('Population size data'!J30),'Population size data'!J30/6,"")</f>
        <v>0</v>
      </c>
      <c r="K29" s="3">
        <f>IF(ISNUMBER('Population size data'!K30),'Population size data'!K30/6,"")</f>
        <v>0</v>
      </c>
      <c r="L29" s="3">
        <f>IF(ISNUMBER('Population size data'!L30),'Population size data'!L30/6,"")</f>
        <v>0</v>
      </c>
      <c r="M29" s="3">
        <f>IF(ISNUMBER('Population size data'!M30),'Population size data'!M30/6,"")</f>
        <v>0</v>
      </c>
      <c r="N29" s="3">
        <f>IF(ISNUMBER('Population size data'!N30),'Population size data'!N30/6,"")</f>
        <v>0</v>
      </c>
      <c r="O29" s="3">
        <f>IF(ISNUMBER('Population size data'!O30),'Population size data'!O30/6,"")</f>
        <v>0</v>
      </c>
      <c r="P29" s="12"/>
      <c r="Q29" s="12"/>
      <c r="R29" s="3">
        <f>IF(ISNUMBER('Population size data'!R30),'Population size data'!R30/6,"")</f>
        <v>0</v>
      </c>
      <c r="S29" s="3">
        <f>IF(ISNUMBER('Population size data'!S30),'Population size data'!S30/6,"")</f>
        <v>0</v>
      </c>
      <c r="T29" s="3">
        <f>IF(ISNUMBER('Population size data'!T30),'Population size data'!T30/6,"")</f>
        <v>0</v>
      </c>
      <c r="U29" s="3">
        <f>IF(ISNUMBER('Population size data'!U30),'Population size data'!U30/6,"")</f>
        <v>0</v>
      </c>
      <c r="V29" s="3">
        <f>IF(ISNUMBER('Population size data'!V30),'Population size data'!V30/6,"")</f>
        <v>0</v>
      </c>
    </row>
    <row r="30" spans="1:22" x14ac:dyDescent="0.3">
      <c r="A30" t="s">
        <v>29</v>
      </c>
      <c r="B30" t="s">
        <v>63</v>
      </c>
      <c r="C30" s="7">
        <v>27</v>
      </c>
      <c r="D30" s="3">
        <f>IF(ISNUMBER('Population size data'!D31),'Population size data'!D31/6,"")</f>
        <v>8.3333333333333339</v>
      </c>
      <c r="E30" s="3">
        <f>IF(ISNUMBER('Population size data'!E31),'Population size data'!E31/6,"")</f>
        <v>69.5</v>
      </c>
      <c r="F30" s="3">
        <f>IF(ISNUMBER('Population size data'!F31),'Population size data'!F31/6,"")</f>
        <v>34.5</v>
      </c>
      <c r="G30" s="3">
        <f>IF(ISNUMBER('Population size data'!G31),'Population size data'!G31/6,"")</f>
        <v>0</v>
      </c>
      <c r="H30" s="3">
        <f>IF(ISNUMBER('Population size data'!H31),'Population size data'!H31/6,"")</f>
        <v>0</v>
      </c>
      <c r="I30" s="3">
        <f>IF(ISNUMBER('Population size data'!I31),'Population size data'!I31/6,"")</f>
        <v>0</v>
      </c>
      <c r="J30" s="3">
        <f>IF(ISNUMBER('Population size data'!J31),'Population size data'!J31/6,"")</f>
        <v>0</v>
      </c>
      <c r="K30" s="3">
        <f>IF(ISNUMBER('Population size data'!K31),'Population size data'!K31/6,"")</f>
        <v>0</v>
      </c>
      <c r="L30" s="3">
        <f>IF(ISNUMBER('Population size data'!L31),'Population size data'!L31/6,"")</f>
        <v>0</v>
      </c>
      <c r="M30" s="3">
        <f>IF(ISNUMBER('Population size data'!M31),'Population size data'!M31/6,"")</f>
        <v>0</v>
      </c>
      <c r="N30" s="3">
        <f>IF(ISNUMBER('Population size data'!N31),'Population size data'!N31/6,"")</f>
        <v>0</v>
      </c>
      <c r="O30" s="3">
        <f>IF(ISNUMBER('Population size data'!O31),'Population size data'!O31/6,"")</f>
        <v>0</v>
      </c>
      <c r="P30" s="12"/>
      <c r="Q30" s="12"/>
      <c r="R30" s="3">
        <f>IF(ISNUMBER('Population size data'!R31),'Population size data'!R31/6,"")</f>
        <v>0</v>
      </c>
      <c r="S30" s="3">
        <f>IF(ISNUMBER('Population size data'!S31),'Population size data'!S31/6,"")</f>
        <v>0</v>
      </c>
      <c r="T30" s="3">
        <f>IF(ISNUMBER('Population size data'!T31),'Population size data'!T31/6,"")</f>
        <v>0</v>
      </c>
      <c r="U30" s="3">
        <f>IF(ISNUMBER('Population size data'!U31),'Population size data'!U31/6,"")</f>
        <v>0</v>
      </c>
      <c r="V30" s="3">
        <f>IF(ISNUMBER('Population size data'!V31),'Population size data'!V31/6,"")</f>
        <v>0</v>
      </c>
    </row>
    <row r="31" spans="1:22" x14ac:dyDescent="0.3">
      <c r="A31" t="s">
        <v>30</v>
      </c>
      <c r="B31" t="s">
        <v>63</v>
      </c>
      <c r="C31" s="7">
        <v>27</v>
      </c>
      <c r="D31" s="3">
        <f>IF(ISNUMBER('Population size data'!D32),'Population size data'!D32/6,"")</f>
        <v>8.3333333333333339</v>
      </c>
      <c r="E31" s="3">
        <f>IF(ISNUMBER('Population size data'!E32),'Population size data'!E32/6,"")</f>
        <v>59.333333333333336</v>
      </c>
      <c r="F31" s="3">
        <f>IF(ISNUMBER('Population size data'!F32),'Population size data'!F32/6,"")</f>
        <v>80.166666666666671</v>
      </c>
      <c r="G31" s="3">
        <f>IF(ISNUMBER('Population size data'!G32),'Population size data'!G32/6,"")</f>
        <v>46.916666666666664</v>
      </c>
      <c r="H31" s="3">
        <f>IF(ISNUMBER('Population size data'!H32),'Population size data'!H32/6,"")</f>
        <v>0</v>
      </c>
      <c r="I31" s="3">
        <f>IF(ISNUMBER('Population size data'!I32),'Population size data'!I32/6,"")</f>
        <v>0</v>
      </c>
      <c r="J31" s="3">
        <f>IF(ISNUMBER('Population size data'!J32),'Population size data'!J32/6,"")</f>
        <v>0</v>
      </c>
      <c r="K31" s="3">
        <f>IF(ISNUMBER('Population size data'!K32),'Population size data'!K32/6,"")</f>
        <v>0</v>
      </c>
      <c r="L31" s="3">
        <f>IF(ISNUMBER('Population size data'!L32),'Population size data'!L32/6,"")</f>
        <v>0</v>
      </c>
      <c r="M31" s="3">
        <f>IF(ISNUMBER('Population size data'!M32),'Population size data'!M32/6,"")</f>
        <v>0</v>
      </c>
      <c r="N31" s="3">
        <f>IF(ISNUMBER('Population size data'!N32),'Population size data'!N32/6,"")</f>
        <v>0</v>
      </c>
      <c r="O31" s="3">
        <f>IF(ISNUMBER('Population size data'!O32),'Population size data'!O32/6,"")</f>
        <v>0</v>
      </c>
      <c r="P31" s="12"/>
      <c r="Q31" s="12"/>
      <c r="R31" s="3">
        <f>IF(ISNUMBER('Population size data'!R32),'Population size data'!R32/6,"")</f>
        <v>0</v>
      </c>
      <c r="S31" s="3">
        <f>IF(ISNUMBER('Population size data'!S32),'Population size data'!S32/6,"")</f>
        <v>0</v>
      </c>
      <c r="T31" s="3">
        <f>IF(ISNUMBER('Population size data'!T32),'Population size data'!T32/6,"")</f>
        <v>0</v>
      </c>
      <c r="U31" s="3">
        <f>IF(ISNUMBER('Population size data'!U32),'Population size data'!U32/6,"")</f>
        <v>0</v>
      </c>
      <c r="V31" s="3">
        <f>IF(ISNUMBER('Population size data'!V32),'Population size data'!V32/6,"")</f>
        <v>0</v>
      </c>
    </row>
    <row r="32" spans="1:22" x14ac:dyDescent="0.3">
      <c r="A32" t="s">
        <v>31</v>
      </c>
      <c r="B32" t="s">
        <v>63</v>
      </c>
      <c r="C32" s="7">
        <v>27</v>
      </c>
      <c r="D32" s="3">
        <f>IF(ISNUMBER('Population size data'!D33),'Population size data'!D33/6,"")</f>
        <v>8.3333333333333339</v>
      </c>
      <c r="E32" s="3">
        <f>IF(ISNUMBER('Population size data'!E33),'Population size data'!E33/6,"")</f>
        <v>70.5</v>
      </c>
      <c r="F32" s="3">
        <f>IF(ISNUMBER('Population size data'!F33),'Population size data'!F33/6,"")</f>
        <v>110</v>
      </c>
      <c r="G32" s="3">
        <f>IF(ISNUMBER('Population size data'!G33),'Population size data'!G33/6,"")</f>
        <v>38</v>
      </c>
      <c r="H32" s="3">
        <f>IF(ISNUMBER('Population size data'!H33),'Population size data'!H33/6,"")</f>
        <v>0</v>
      </c>
      <c r="I32" s="3">
        <f>IF(ISNUMBER('Population size data'!I33),'Population size data'!I33/6,"")</f>
        <v>0</v>
      </c>
      <c r="J32" s="3">
        <f>IF(ISNUMBER('Population size data'!J33),'Population size data'!J33/6,"")</f>
        <v>0</v>
      </c>
      <c r="K32" s="3">
        <f>IF(ISNUMBER('Population size data'!K33),'Population size data'!K33/6,"")</f>
        <v>0</v>
      </c>
      <c r="L32" s="3">
        <f>IF(ISNUMBER('Population size data'!L33),'Population size data'!L33/6,"")</f>
        <v>0</v>
      </c>
      <c r="M32" s="3">
        <f>IF(ISNUMBER('Population size data'!M33),'Population size data'!M33/6,"")</f>
        <v>0</v>
      </c>
      <c r="N32" s="3">
        <f>IF(ISNUMBER('Population size data'!N33),'Population size data'!N33/6,"")</f>
        <v>0</v>
      </c>
      <c r="O32" s="3">
        <f>IF(ISNUMBER('Population size data'!O33),'Population size data'!O33/6,"")</f>
        <v>0</v>
      </c>
      <c r="P32" s="12"/>
      <c r="Q32" s="12"/>
      <c r="R32" s="3">
        <f>IF(ISNUMBER('Population size data'!R33),'Population size data'!R33/6,"")</f>
        <v>0</v>
      </c>
      <c r="S32" s="3">
        <f>IF(ISNUMBER('Population size data'!S33),'Population size data'!S33/6,"")</f>
        <v>0</v>
      </c>
      <c r="T32" s="3">
        <f>IF(ISNUMBER('Population size data'!T33),'Population size data'!T33/6,"")</f>
        <v>0</v>
      </c>
      <c r="U32" s="3">
        <f>IF(ISNUMBER('Population size data'!U33),'Population size data'!U33/6,"")</f>
        <v>0</v>
      </c>
      <c r="V32" s="3">
        <f>IF(ISNUMBER('Population size data'!V33),'Population size data'!V33/6,"")</f>
        <v>0</v>
      </c>
    </row>
    <row r="33" spans="1:22" x14ac:dyDescent="0.3">
      <c r="A33" t="s">
        <v>32</v>
      </c>
      <c r="B33" t="s">
        <v>63</v>
      </c>
      <c r="C33" s="7">
        <v>27</v>
      </c>
      <c r="D33" s="3">
        <f>IF(ISNUMBER('Population size data'!D34),'Population size data'!D34/6,"")</f>
        <v>8.3333333333333339</v>
      </c>
      <c r="E33" s="3">
        <f>IF(ISNUMBER('Population size data'!E34),'Population size data'!E34/6,"")</f>
        <v>53.333333333333336</v>
      </c>
      <c r="F33" s="3">
        <f>IF(ISNUMBER('Population size data'!F34),'Population size data'!F34/6,"")</f>
        <v>47.833333333333336</v>
      </c>
      <c r="G33" s="3">
        <f>IF(ISNUMBER('Population size data'!G34),'Population size data'!G34/6,"")</f>
        <v>0</v>
      </c>
      <c r="H33" s="3">
        <f>IF(ISNUMBER('Population size data'!H34),'Population size data'!H34/6,"")</f>
        <v>0</v>
      </c>
      <c r="I33" s="3">
        <f>IF(ISNUMBER('Population size data'!I34),'Population size data'!I34/6,"")</f>
        <v>0</v>
      </c>
      <c r="J33" s="3">
        <f>IF(ISNUMBER('Population size data'!J34),'Population size data'!J34/6,"")</f>
        <v>0</v>
      </c>
      <c r="K33" s="3">
        <f>IF(ISNUMBER('Population size data'!K34),'Population size data'!K34/6,"")</f>
        <v>0</v>
      </c>
      <c r="L33" s="3">
        <f>IF(ISNUMBER('Population size data'!L34),'Population size data'!L34/6,"")</f>
        <v>0</v>
      </c>
      <c r="M33" s="3">
        <f>IF(ISNUMBER('Population size data'!M34),'Population size data'!M34/6,"")</f>
        <v>0</v>
      </c>
      <c r="N33" s="3">
        <f>IF(ISNUMBER('Population size data'!N34),'Population size data'!N34/6,"")</f>
        <v>0</v>
      </c>
      <c r="O33" s="3">
        <f>IF(ISNUMBER('Population size data'!O34),'Population size data'!O34/6,"")</f>
        <v>0</v>
      </c>
      <c r="P33" s="12"/>
      <c r="Q33" s="12"/>
      <c r="R33" s="3">
        <f>IF(ISNUMBER('Population size data'!R34),'Population size data'!R34/6,"")</f>
        <v>0</v>
      </c>
      <c r="S33" s="3">
        <f>IF(ISNUMBER('Population size data'!S34),'Population size data'!S34/6,"")</f>
        <v>0</v>
      </c>
      <c r="T33" s="3">
        <f>IF(ISNUMBER('Population size data'!T34),'Population size data'!T34/6,"")</f>
        <v>0</v>
      </c>
      <c r="U33" s="3">
        <f>IF(ISNUMBER('Population size data'!U34),'Population size data'!U34/6,"")</f>
        <v>0</v>
      </c>
      <c r="V33" s="3">
        <f>IF(ISNUMBER('Population size data'!V34),'Population size data'!V34/6,"")</f>
        <v>0</v>
      </c>
    </row>
    <row r="34" spans="1:22" x14ac:dyDescent="0.3">
      <c r="A34" t="s">
        <v>33</v>
      </c>
      <c r="B34" t="s">
        <v>63</v>
      </c>
      <c r="C34" s="7">
        <v>31</v>
      </c>
      <c r="D34" s="3">
        <f>IF(ISNUMBER('Population size data'!D35),'Population size data'!D35/6,"")</f>
        <v>8.3333333333333339</v>
      </c>
      <c r="E34" s="3">
        <f>IF(ISNUMBER('Population size data'!E35),'Population size data'!E35/6,"")</f>
        <v>63.666666666666664</v>
      </c>
      <c r="F34" s="3">
        <f>IF(ISNUMBER('Population size data'!F35),'Population size data'!F35/6,"")</f>
        <v>24.416666666666668</v>
      </c>
      <c r="G34" s="3">
        <f>IF(ISNUMBER('Population size data'!G35),'Population size data'!G35/6,"")</f>
        <v>0</v>
      </c>
      <c r="H34" s="3">
        <f>IF(ISNUMBER('Population size data'!H35),'Population size data'!H35/6,"")</f>
        <v>0</v>
      </c>
      <c r="I34" s="3">
        <f>IF(ISNUMBER('Population size data'!I35),'Population size data'!I35/6,"")</f>
        <v>0</v>
      </c>
      <c r="J34" s="3">
        <f>IF(ISNUMBER('Population size data'!J35),'Population size data'!J35/6,"")</f>
        <v>0</v>
      </c>
      <c r="K34" s="3">
        <f>IF(ISNUMBER('Population size data'!K35),'Population size data'!K35/6,"")</f>
        <v>0</v>
      </c>
      <c r="L34" s="3">
        <f>IF(ISNUMBER('Population size data'!L35),'Population size data'!L35/6,"")</f>
        <v>0</v>
      </c>
      <c r="M34" s="3">
        <f>IF(ISNUMBER('Population size data'!M35),'Population size data'!M35/6,"")</f>
        <v>0</v>
      </c>
      <c r="N34" s="3">
        <f>IF(ISNUMBER('Population size data'!N35),'Population size data'!N35/6,"")</f>
        <v>0</v>
      </c>
      <c r="O34" s="3">
        <f>IF(ISNUMBER('Population size data'!O35),'Population size data'!O35/6,"")</f>
        <v>0</v>
      </c>
      <c r="P34" s="12"/>
      <c r="Q34" s="12"/>
      <c r="R34" s="3">
        <f>IF(ISNUMBER('Population size data'!R35),'Population size data'!R35/6,"")</f>
        <v>0</v>
      </c>
      <c r="S34" s="3">
        <f>IF(ISNUMBER('Population size data'!S35),'Population size data'!S35/6,"")</f>
        <v>0</v>
      </c>
      <c r="T34" s="3">
        <f>IF(ISNUMBER('Population size data'!T35),'Population size data'!T35/6,"")</f>
        <v>0</v>
      </c>
      <c r="U34" s="3">
        <f>IF(ISNUMBER('Population size data'!U35),'Population size data'!U35/6,"")</f>
        <v>0</v>
      </c>
      <c r="V34" s="3">
        <f>IF(ISNUMBER('Population size data'!V35),'Population size data'!V35/6,"")</f>
        <v>0</v>
      </c>
    </row>
    <row r="35" spans="1:22" x14ac:dyDescent="0.3">
      <c r="A35" t="s">
        <v>34</v>
      </c>
      <c r="B35" t="s">
        <v>63</v>
      </c>
      <c r="C35" s="7">
        <v>31</v>
      </c>
      <c r="D35" s="3">
        <f>IF(ISNUMBER('Population size data'!D36),'Population size data'!D36/6,"")</f>
        <v>8.3333333333333339</v>
      </c>
      <c r="E35" s="3">
        <f>IF(ISNUMBER('Population size data'!E36),'Population size data'!E36/6,"")</f>
        <v>52</v>
      </c>
      <c r="F35" s="3">
        <f>IF(ISNUMBER('Population size data'!F36),'Population size data'!F36/6,"")</f>
        <v>52.166666666666664</v>
      </c>
      <c r="G35" s="3">
        <f>IF(ISNUMBER('Population size data'!G36),'Population size data'!G36/6,"")</f>
        <v>45</v>
      </c>
      <c r="H35" s="3">
        <f>IF(ISNUMBER('Population size data'!H36),'Population size data'!H36/6,"")</f>
        <v>50</v>
      </c>
      <c r="I35" s="3">
        <f>IF(ISNUMBER('Population size data'!I36),'Population size data'!I36/6,"")</f>
        <v>68.166666666666671</v>
      </c>
      <c r="J35" s="3">
        <f>IF(ISNUMBER('Population size data'!J36),'Population size data'!J36/6,"")</f>
        <v>180</v>
      </c>
      <c r="K35" s="3">
        <f>IF(ISNUMBER('Population size data'!K36),'Population size data'!K36/6,"")</f>
        <v>140</v>
      </c>
      <c r="L35" s="3">
        <f>IF(ISNUMBER('Population size data'!L36),'Population size data'!L36/6,"")</f>
        <v>210</v>
      </c>
      <c r="M35" s="3">
        <f>IF(ISNUMBER('Population size data'!M36),'Population size data'!M36/6,"")</f>
        <v>270</v>
      </c>
      <c r="N35" s="3">
        <f>IF(ISNUMBER('Population size data'!N36),'Population size data'!N36/6,"")</f>
        <v>420</v>
      </c>
      <c r="O35" s="3">
        <f>IF(ISNUMBER('Population size data'!O36),'Population size data'!O36/6,"")</f>
        <v>380</v>
      </c>
      <c r="P35" s="12"/>
      <c r="Q35" s="12"/>
      <c r="R35" s="3">
        <f>IF(ISNUMBER('Population size data'!R36),'Population size data'!R36/6,"")</f>
        <v>510</v>
      </c>
      <c r="S35" s="3">
        <f>IF(ISNUMBER('Population size data'!S36),'Population size data'!S36/6,"")</f>
        <v>570</v>
      </c>
      <c r="T35" s="3">
        <f>IF(ISNUMBER('Population size data'!T36),'Population size data'!T36/6,"")</f>
        <v>750</v>
      </c>
      <c r="U35" s="3" t="str">
        <f>IF(ISNUMBER('Population size data'!U36),'Population size data'!U36/6,"")</f>
        <v/>
      </c>
      <c r="V35" s="3" t="str">
        <f>IF(ISNUMBER('Population size data'!V36),'Population size data'!V36/6,"")</f>
        <v/>
      </c>
    </row>
    <row r="36" spans="1:22" x14ac:dyDescent="0.3">
      <c r="A36" t="s">
        <v>35</v>
      </c>
      <c r="B36" t="s">
        <v>63</v>
      </c>
      <c r="C36" s="7">
        <v>31</v>
      </c>
      <c r="D36" s="3">
        <f>IF(ISNUMBER('Population size data'!D37),'Population size data'!D37/6,"")</f>
        <v>8.3333333333333339</v>
      </c>
      <c r="E36" s="3">
        <f>IF(ISNUMBER('Population size data'!E37),'Population size data'!E37/6,"")</f>
        <v>57.25</v>
      </c>
      <c r="F36" s="3">
        <f>IF(ISNUMBER('Population size data'!F37),'Population size data'!F37/6,"")</f>
        <v>70</v>
      </c>
      <c r="G36" s="3">
        <f>IF(ISNUMBER('Population size data'!G37),'Population size data'!G37/6,"")</f>
        <v>63.833333333333336</v>
      </c>
      <c r="H36" s="3">
        <f>IF(ISNUMBER('Population size data'!H37),'Population size data'!H37/6,"")</f>
        <v>90</v>
      </c>
      <c r="I36" s="3">
        <f>IF(ISNUMBER('Population size data'!I37),'Population size data'!I37/6,"")</f>
        <v>92.166666666666671</v>
      </c>
      <c r="J36" s="3">
        <f>IF(ISNUMBER('Population size data'!J37),'Population size data'!J37/6,"")</f>
        <v>170</v>
      </c>
      <c r="K36" s="3">
        <f>IF(ISNUMBER('Population size data'!K37),'Population size data'!K37/6,"")</f>
        <v>160</v>
      </c>
      <c r="L36" s="3">
        <f>IF(ISNUMBER('Population size data'!L37),'Population size data'!L37/6,"")</f>
        <v>190</v>
      </c>
      <c r="M36" s="3">
        <f>IF(ISNUMBER('Population size data'!M37),'Population size data'!M37/6,"")</f>
        <v>250</v>
      </c>
      <c r="N36" s="3">
        <f>IF(ISNUMBER('Population size data'!N37),'Population size data'!N37/6,"")</f>
        <v>250</v>
      </c>
      <c r="O36" s="3">
        <f>IF(ISNUMBER('Population size data'!O37),'Population size data'!O37/6,"")</f>
        <v>440</v>
      </c>
      <c r="P36" s="12"/>
      <c r="Q36" s="12"/>
      <c r="R36" s="3">
        <f>IF(ISNUMBER('Population size data'!R37),'Population size data'!R37/6,"")</f>
        <v>500</v>
      </c>
      <c r="S36" s="3">
        <f>IF(ISNUMBER('Population size data'!S37),'Population size data'!S37/6,"")</f>
        <v>460</v>
      </c>
      <c r="T36" s="3">
        <f>IF(ISNUMBER('Population size data'!T37),'Population size data'!T37/6,"")</f>
        <v>640</v>
      </c>
      <c r="U36" s="3" t="str">
        <f>IF(ISNUMBER('Population size data'!U37),'Population size data'!U37/6,"")</f>
        <v/>
      </c>
      <c r="V36" s="3" t="str">
        <f>IF(ISNUMBER('Population size data'!V37),'Population size data'!V37/6,"")</f>
        <v/>
      </c>
    </row>
    <row r="37" spans="1:22" x14ac:dyDescent="0.3">
      <c r="A37" t="s">
        <v>36</v>
      </c>
      <c r="B37" t="s">
        <v>63</v>
      </c>
      <c r="C37" s="7">
        <v>31</v>
      </c>
      <c r="D37" s="3">
        <f>IF(ISNUMBER('Population size data'!D38),'Population size data'!D38/6,"")</f>
        <v>8.3333333333333339</v>
      </c>
      <c r="E37" s="3">
        <f>IF(ISNUMBER('Population size data'!E38),'Population size data'!E38/6,"")</f>
        <v>52</v>
      </c>
      <c r="F37" s="3">
        <f>IF(ISNUMBER('Population size data'!F38),'Population size data'!F38/6,"")</f>
        <v>1.1666666666666667</v>
      </c>
      <c r="G37" s="3">
        <f>IF(ISNUMBER('Population size data'!G38),'Population size data'!G38/6,"")</f>
        <v>0</v>
      </c>
      <c r="H37" s="3">
        <f>IF(ISNUMBER('Population size data'!H38),'Population size data'!H38/6,"")</f>
        <v>0</v>
      </c>
      <c r="I37" s="3">
        <f>IF(ISNUMBER('Population size data'!I38),'Population size data'!I38/6,"")</f>
        <v>0</v>
      </c>
      <c r="J37" s="3">
        <f>IF(ISNUMBER('Population size data'!J38),'Population size data'!J38/6,"")</f>
        <v>0</v>
      </c>
      <c r="K37" s="3">
        <f>IF(ISNUMBER('Population size data'!K38),'Population size data'!K38/6,"")</f>
        <v>0</v>
      </c>
      <c r="L37" s="3">
        <f>IF(ISNUMBER('Population size data'!L38),'Population size data'!L38/6,"")</f>
        <v>0</v>
      </c>
      <c r="M37" s="3">
        <f>IF(ISNUMBER('Population size data'!M38),'Population size data'!M38/6,"")</f>
        <v>0</v>
      </c>
      <c r="N37" s="3">
        <f>IF(ISNUMBER('Population size data'!N38),'Population size data'!N38/6,"")</f>
        <v>0</v>
      </c>
      <c r="O37" s="3">
        <f>IF(ISNUMBER('Population size data'!O38),'Population size data'!O38/6,"")</f>
        <v>0</v>
      </c>
      <c r="P37" s="12"/>
      <c r="Q37" s="12"/>
      <c r="R37" s="3">
        <f>IF(ISNUMBER('Population size data'!R38),'Population size data'!R38/6,"")</f>
        <v>0</v>
      </c>
      <c r="S37" s="3">
        <f>IF(ISNUMBER('Population size data'!S38),'Population size data'!S38/6,"")</f>
        <v>0</v>
      </c>
      <c r="T37" s="3">
        <f>IF(ISNUMBER('Population size data'!T38),'Population size data'!T38/6,"")</f>
        <v>0</v>
      </c>
      <c r="U37" s="3">
        <f>IF(ISNUMBER('Population size data'!U38),'Population size data'!U38/6,"")</f>
        <v>0</v>
      </c>
      <c r="V37" s="3">
        <f>IF(ISNUMBER('Population size data'!V38),'Population size data'!V38/6,"")</f>
        <v>0</v>
      </c>
    </row>
    <row r="38" spans="1:22" x14ac:dyDescent="0.3">
      <c r="A38" t="s">
        <v>37</v>
      </c>
      <c r="B38" t="s">
        <v>63</v>
      </c>
      <c r="C38" s="7">
        <v>31</v>
      </c>
      <c r="D38" s="3">
        <f>IF(ISNUMBER('Population size data'!D39),'Population size data'!D39/6,"")</f>
        <v>8.3333333333333339</v>
      </c>
      <c r="E38" s="3">
        <f>IF(ISNUMBER('Population size data'!E39),'Population size data'!E39/6,"")</f>
        <v>47</v>
      </c>
      <c r="F38" s="3">
        <f>IF(ISNUMBER('Population size data'!F39),'Population size data'!F39/6,"")</f>
        <v>13.25</v>
      </c>
      <c r="G38" s="3">
        <f>IF(ISNUMBER('Population size data'!G39),'Population size data'!G39/6,"")</f>
        <v>0</v>
      </c>
      <c r="H38" s="3">
        <f>IF(ISNUMBER('Population size data'!H39),'Population size data'!H39/6,"")</f>
        <v>0</v>
      </c>
      <c r="I38" s="3">
        <f>IF(ISNUMBER('Population size data'!I39),'Population size data'!I39/6,"")</f>
        <v>0</v>
      </c>
      <c r="J38" s="3">
        <f>IF(ISNUMBER('Population size data'!J39),'Population size data'!J39/6,"")</f>
        <v>0</v>
      </c>
      <c r="K38" s="3">
        <f>IF(ISNUMBER('Population size data'!K39),'Population size data'!K39/6,"")</f>
        <v>0</v>
      </c>
      <c r="L38" s="3">
        <f>IF(ISNUMBER('Population size data'!L39),'Population size data'!L39/6,"")</f>
        <v>0</v>
      </c>
      <c r="M38" s="3">
        <f>IF(ISNUMBER('Population size data'!M39),'Population size data'!M39/6,"")</f>
        <v>0</v>
      </c>
      <c r="N38" s="3">
        <f>IF(ISNUMBER('Population size data'!N39),'Population size data'!N39/6,"")</f>
        <v>0</v>
      </c>
      <c r="O38" s="3">
        <f>IF(ISNUMBER('Population size data'!O39),'Population size data'!O39/6,"")</f>
        <v>0</v>
      </c>
      <c r="P38" s="12"/>
      <c r="Q38" s="12"/>
      <c r="R38" s="3">
        <f>IF(ISNUMBER('Population size data'!R39),'Population size data'!R39/6,"")</f>
        <v>0</v>
      </c>
      <c r="S38" s="3">
        <f>IF(ISNUMBER('Population size data'!S39),'Population size data'!S39/6,"")</f>
        <v>0</v>
      </c>
      <c r="T38" s="3">
        <f>IF(ISNUMBER('Population size data'!T39),'Population size data'!T39/6,"")</f>
        <v>0</v>
      </c>
      <c r="U38" s="3">
        <f>IF(ISNUMBER('Population size data'!U39),'Population size data'!U39/6,"")</f>
        <v>0</v>
      </c>
      <c r="V38" s="3">
        <f>IF(ISNUMBER('Population size data'!V39),'Population size data'!V39/6,"")</f>
        <v>0</v>
      </c>
    </row>
    <row r="39" spans="1:22" x14ac:dyDescent="0.3">
      <c r="A39" t="s">
        <v>38</v>
      </c>
      <c r="B39" t="s">
        <v>63</v>
      </c>
      <c r="C39" s="7">
        <v>31</v>
      </c>
      <c r="D39" s="3">
        <f>IF(ISNUMBER('Population size data'!D40),'Population size data'!D40/6,"")</f>
        <v>8.3333333333333339</v>
      </c>
      <c r="E39" s="3">
        <f>IF(ISNUMBER('Population size data'!E40),'Population size data'!E40/6,"")</f>
        <v>57.333333333333336</v>
      </c>
      <c r="F39" s="3">
        <f>IF(ISNUMBER('Population size data'!F40),'Population size data'!F40/6,"")</f>
        <v>67.666666666666671</v>
      </c>
      <c r="G39" s="3">
        <f>IF(ISNUMBER('Population size data'!G40),'Population size data'!G40/6,"")</f>
        <v>70.666666666666671</v>
      </c>
      <c r="H39" s="3">
        <f>IF(ISNUMBER('Population size data'!H40),'Population size data'!H40/6,"")</f>
        <v>90</v>
      </c>
      <c r="I39" s="3">
        <f>IF(ISNUMBER('Population size data'!I40),'Population size data'!I40/6,"")</f>
        <v>38.666666666666664</v>
      </c>
      <c r="J39" s="3">
        <f>IF(ISNUMBER('Population size data'!J40),'Population size data'!J40/6,"")</f>
        <v>120</v>
      </c>
      <c r="K39" s="3">
        <f>IF(ISNUMBER('Population size data'!K40),'Population size data'!K40/6,"")</f>
        <v>120</v>
      </c>
      <c r="L39" s="3">
        <f>IF(ISNUMBER('Population size data'!L40),'Population size data'!L40/6,"")</f>
        <v>110</v>
      </c>
      <c r="M39" s="3">
        <f>IF(ISNUMBER('Population size data'!M40),'Population size data'!M40/6,"")</f>
        <v>160</v>
      </c>
      <c r="N39" s="3">
        <f>IF(ISNUMBER('Population size data'!N40),'Population size data'!N40/6,"")</f>
        <v>240</v>
      </c>
      <c r="O39" s="3">
        <f>IF(ISNUMBER('Population size data'!O40),'Population size data'!O40/6,"")</f>
        <v>290</v>
      </c>
      <c r="P39" s="12"/>
      <c r="Q39" s="12"/>
      <c r="R39" s="3">
        <f>IF(ISNUMBER('Population size data'!R40),'Population size data'!R40/6,"")</f>
        <v>480</v>
      </c>
      <c r="S39" s="3">
        <f>IF(ISNUMBER('Population size data'!S40),'Population size data'!S40/6,"")</f>
        <v>350</v>
      </c>
      <c r="T39" s="3">
        <f>IF(ISNUMBER('Population size data'!T40),'Population size data'!T40/6,"")</f>
        <v>590</v>
      </c>
      <c r="U39" s="3" t="str">
        <f>IF(ISNUMBER('Population size data'!U40),'Population size data'!U40/6,"")</f>
        <v/>
      </c>
      <c r="V39" s="3" t="str">
        <f>IF(ISNUMBER('Population size data'!V40),'Population size data'!V40/6,"")</f>
        <v/>
      </c>
    </row>
    <row r="40" spans="1:22" x14ac:dyDescent="0.3">
      <c r="A40" t="s">
        <v>39</v>
      </c>
      <c r="B40" t="s">
        <v>107</v>
      </c>
      <c r="C40" s="7">
        <v>17</v>
      </c>
      <c r="D40" s="3">
        <f>IF(ISNUMBER('Population size data'!D41),'Population size data'!D41/6,"")</f>
        <v>8.3333333333333339</v>
      </c>
      <c r="E40" s="3" t="str">
        <f>IF(ISNUMBER('Population size data'!E41),'Population size data'!E41/6,"")</f>
        <v/>
      </c>
      <c r="F40" s="3">
        <f>IF(ISNUMBER('Population size data'!F41),'Population size data'!F41/6,"")</f>
        <v>2.6666666666666665</v>
      </c>
      <c r="G40" s="3" t="str">
        <f>IF(ISNUMBER('Population size data'!G41),'Population size data'!G41/6,"")</f>
        <v/>
      </c>
      <c r="H40" s="3">
        <f>IF(ISNUMBER('Population size data'!H41),'Population size data'!H41/6,"")</f>
        <v>7.25</v>
      </c>
      <c r="I40" s="3" t="str">
        <f>IF(ISNUMBER('Population size data'!I41),'Population size data'!I41/6,"")</f>
        <v/>
      </c>
      <c r="J40" s="3">
        <f>IF(ISNUMBER('Population size data'!J41),'Population size data'!J41/6,"")</f>
        <v>27</v>
      </c>
      <c r="K40" s="3">
        <f>IF(ISNUMBER('Population size data'!K41),'Population size data'!K41/6,"")</f>
        <v>27.333333333333332</v>
      </c>
      <c r="L40" s="3">
        <f>IF(ISNUMBER('Population size data'!L41),'Population size data'!L41/6,"")</f>
        <v>38</v>
      </c>
      <c r="M40" s="3">
        <f>IF(ISNUMBER('Population size data'!M41),'Population size data'!M41/6,"")</f>
        <v>45</v>
      </c>
      <c r="N40" s="3">
        <f>IF(ISNUMBER('Population size data'!N41),'Population size data'!N41/6,"")</f>
        <v>49.166666666666664</v>
      </c>
      <c r="O40" s="3">
        <f>IF(ISNUMBER('Population size data'!O41),'Population size data'!O41/6,"")</f>
        <v>62.833333333333336</v>
      </c>
      <c r="P40" s="12"/>
      <c r="Q40" s="12"/>
      <c r="R40" s="3">
        <f>IF(ISNUMBER('Population size data'!R41),'Population size data'!R41/6,"")</f>
        <v>181.5</v>
      </c>
      <c r="S40" s="3">
        <f>IF(ISNUMBER('Population size data'!S41),'Population size data'!S41/6,"")</f>
        <v>181.5</v>
      </c>
      <c r="T40" s="3">
        <f>IF(ISNUMBER('Population size data'!T41),'Population size data'!T41/6,"")</f>
        <v>393.25</v>
      </c>
      <c r="U40" s="3" t="str">
        <f>IF(ISNUMBER('Population size data'!U41),'Population size data'!U41/6,"")</f>
        <v/>
      </c>
      <c r="V40" s="3">
        <f>IF(ISNUMBER('Population size data'!V41),'Population size data'!V41/6,"")</f>
        <v>171.41666666666666</v>
      </c>
    </row>
    <row r="41" spans="1:22" x14ac:dyDescent="0.3">
      <c r="A41" t="s">
        <v>40</v>
      </c>
      <c r="B41" t="s">
        <v>107</v>
      </c>
      <c r="C41" s="7">
        <v>17</v>
      </c>
      <c r="D41" s="3">
        <f>IF(ISNUMBER('Population size data'!D42),'Population size data'!D42/6,"")</f>
        <v>8.3333333333333339</v>
      </c>
      <c r="E41" s="3" t="str">
        <f>IF(ISNUMBER('Population size data'!E42),'Population size data'!E42/6,"")</f>
        <v/>
      </c>
      <c r="F41" s="3">
        <f>IF(ISNUMBER('Population size data'!F42),'Population size data'!F42/6,"")</f>
        <v>2</v>
      </c>
      <c r="G41" s="3" t="str">
        <f>IF(ISNUMBER('Population size data'!G42),'Population size data'!G42/6,"")</f>
        <v/>
      </c>
      <c r="H41" s="3">
        <f>IF(ISNUMBER('Population size data'!H42),'Population size data'!H42/6,"")</f>
        <v>4.75</v>
      </c>
      <c r="I41" s="3" t="str">
        <f>IF(ISNUMBER('Population size data'!I42),'Population size data'!I42/6,"")</f>
        <v/>
      </c>
      <c r="J41" s="3">
        <f>IF(ISNUMBER('Population size data'!J42),'Population size data'!J42/6,"")</f>
        <v>23.333333333333332</v>
      </c>
      <c r="K41" s="3">
        <f>IF(ISNUMBER('Population size data'!K42),'Population size data'!K42/6,"")</f>
        <v>20.833333333333332</v>
      </c>
      <c r="L41" s="3">
        <f>IF(ISNUMBER('Population size data'!L42),'Population size data'!L42/6,"")</f>
        <v>23.833333333333332</v>
      </c>
      <c r="M41" s="3">
        <f>IF(ISNUMBER('Population size data'!M42),'Population size data'!M42/6,"")</f>
        <v>30.333333333333332</v>
      </c>
      <c r="N41" s="3">
        <f>IF(ISNUMBER('Population size data'!N42),'Population size data'!N42/6,"")</f>
        <v>38.666666666666664</v>
      </c>
      <c r="O41" s="3">
        <f>IF(ISNUMBER('Population size data'!O42),'Population size data'!O42/6,"")</f>
        <v>44.833333333333336</v>
      </c>
      <c r="P41" s="12"/>
      <c r="Q41" s="12"/>
      <c r="R41" s="3">
        <f>IF(ISNUMBER('Population size data'!R42),'Population size data'!R42/6,"")</f>
        <v>121</v>
      </c>
      <c r="S41" s="3">
        <f>IF(ISNUMBER('Population size data'!S42),'Population size data'!S42/6,"")</f>
        <v>302.5</v>
      </c>
      <c r="T41" s="3">
        <f>IF(ISNUMBER('Population size data'!T42),'Population size data'!T42/6,"")</f>
        <v>292.41666666666669</v>
      </c>
      <c r="U41" s="3" t="str">
        <f>IF(ISNUMBER('Population size data'!U42),'Population size data'!U42/6,"")</f>
        <v/>
      </c>
      <c r="V41" s="3">
        <f>IF(ISNUMBER('Population size data'!V42),'Population size data'!V42/6,"")</f>
        <v>272.25</v>
      </c>
    </row>
    <row r="42" spans="1:22" x14ac:dyDescent="0.3">
      <c r="A42" t="s">
        <v>41</v>
      </c>
      <c r="B42" t="s">
        <v>107</v>
      </c>
      <c r="C42" s="7">
        <v>17</v>
      </c>
      <c r="D42" s="3">
        <f>IF(ISNUMBER('Population size data'!D43),'Population size data'!D43/6,"")</f>
        <v>8.3333333333333339</v>
      </c>
      <c r="E42" s="3" t="str">
        <f>IF(ISNUMBER('Population size data'!E43),'Population size data'!E43/6,"")</f>
        <v/>
      </c>
      <c r="F42" s="3">
        <f>IF(ISNUMBER('Population size data'!F43),'Population size data'!F43/6,"")</f>
        <v>2.3333333333333335</v>
      </c>
      <c r="G42" s="3" t="str">
        <f>IF(ISNUMBER('Population size data'!G43),'Population size data'!G43/6,"")</f>
        <v/>
      </c>
      <c r="H42" s="3">
        <f>IF(ISNUMBER('Population size data'!H43),'Population size data'!H43/6,"")</f>
        <v>6.5</v>
      </c>
      <c r="I42" s="3" t="str">
        <f>IF(ISNUMBER('Population size data'!I43),'Population size data'!I43/6,"")</f>
        <v/>
      </c>
      <c r="J42" s="3">
        <f>IF(ISNUMBER('Population size data'!J43),'Population size data'!J43/6,"")</f>
        <v>18.666666666666668</v>
      </c>
      <c r="K42" s="3">
        <f>IF(ISNUMBER('Population size data'!K43),'Population size data'!K43/6,"")</f>
        <v>21.666666666666668</v>
      </c>
      <c r="L42" s="3">
        <f>IF(ISNUMBER('Population size data'!L43),'Population size data'!L43/6,"")</f>
        <v>25.833333333333332</v>
      </c>
      <c r="M42" s="3">
        <f>IF(ISNUMBER('Population size data'!M43),'Population size data'!M43/6,"")</f>
        <v>35</v>
      </c>
      <c r="N42" s="3">
        <f>IF(ISNUMBER('Population size data'!N43),'Population size data'!N43/6,"")</f>
        <v>47.166666666666664</v>
      </c>
      <c r="O42" s="3">
        <f>IF(ISNUMBER('Population size data'!O43),'Population size data'!O43/6,"")</f>
        <v>63.5</v>
      </c>
      <c r="P42" s="12"/>
      <c r="Q42" s="12"/>
      <c r="R42" s="3">
        <f>IF(ISNUMBER('Population size data'!R43),'Population size data'!R43/6,"")</f>
        <v>100.83333333333333</v>
      </c>
      <c r="S42" s="3">
        <f>IF(ISNUMBER('Population size data'!S43),'Population size data'!S43/6,"")</f>
        <v>201.66666666666666</v>
      </c>
      <c r="T42" s="3">
        <f>IF(ISNUMBER('Population size data'!T43),'Population size data'!T43/6,"")</f>
        <v>252.08333333333334</v>
      </c>
      <c r="U42" s="3" t="str">
        <f>IF(ISNUMBER('Population size data'!U43),'Population size data'!U43/6,"")</f>
        <v/>
      </c>
      <c r="V42" s="3">
        <f>IF(ISNUMBER('Population size data'!V43),'Population size data'!V43/6,"")</f>
        <v>131.08333333333334</v>
      </c>
    </row>
    <row r="43" spans="1:22" x14ac:dyDescent="0.3">
      <c r="A43" t="s">
        <v>42</v>
      </c>
      <c r="B43" t="s">
        <v>107</v>
      </c>
      <c r="C43" s="7">
        <v>17</v>
      </c>
      <c r="D43" s="3">
        <f>IF(ISNUMBER('Population size data'!D44),'Population size data'!D44/6,"")</f>
        <v>8.3333333333333339</v>
      </c>
      <c r="E43" s="3" t="str">
        <f>IF(ISNUMBER('Population size data'!E44),'Population size data'!E44/6,"")</f>
        <v/>
      </c>
      <c r="F43" s="3">
        <f>IF(ISNUMBER('Population size data'!F44),'Population size data'!F44/6,"")</f>
        <v>2.1666666666666665</v>
      </c>
      <c r="G43" s="3" t="str">
        <f>IF(ISNUMBER('Population size data'!G44),'Population size data'!G44/6,"")</f>
        <v/>
      </c>
      <c r="H43" s="3">
        <f>IF(ISNUMBER('Population size data'!H44),'Population size data'!H44/6,"")</f>
        <v>9</v>
      </c>
      <c r="I43" s="3" t="str">
        <f>IF(ISNUMBER('Population size data'!I44),'Population size data'!I44/6,"")</f>
        <v/>
      </c>
      <c r="J43" s="3">
        <f>IF(ISNUMBER('Population size data'!J44),'Population size data'!J44/6,"")</f>
        <v>19.666666666666668</v>
      </c>
      <c r="K43" s="3">
        <f>IF(ISNUMBER('Population size data'!K44),'Population size data'!K44/6,"")</f>
        <v>27.333333333333332</v>
      </c>
      <c r="L43" s="3">
        <f>IF(ISNUMBER('Population size data'!L44),'Population size data'!L44/6,"")</f>
        <v>36.333333333333336</v>
      </c>
      <c r="M43" s="3">
        <f>IF(ISNUMBER('Population size data'!M44),'Population size data'!M44/6,"")</f>
        <v>40.166666666666664</v>
      </c>
      <c r="N43" s="3">
        <f>IF(ISNUMBER('Population size data'!N44),'Population size data'!N44/6,"")</f>
        <v>55.833333333333336</v>
      </c>
      <c r="O43" s="3">
        <f>IF(ISNUMBER('Population size data'!O44),'Population size data'!O44/6,"")</f>
        <v>70.333333333333329</v>
      </c>
      <c r="P43" s="12"/>
      <c r="Q43" s="12"/>
      <c r="R43" s="3">
        <f>IF(ISNUMBER('Population size data'!R44),'Population size data'!R44/6,"")</f>
        <v>121</v>
      </c>
      <c r="S43" s="3">
        <f>IF(ISNUMBER('Population size data'!S44),'Population size data'!S44/6,"")</f>
        <v>262.16666666666669</v>
      </c>
      <c r="T43" s="3">
        <f>IF(ISNUMBER('Population size data'!T44),'Population size data'!T44/6,"")</f>
        <v>312.58333333333331</v>
      </c>
      <c r="U43" s="3" t="str">
        <f>IF(ISNUMBER('Population size data'!U44),'Population size data'!U44/6,"")</f>
        <v/>
      </c>
      <c r="V43" s="3">
        <f>IF(ISNUMBER('Population size data'!V44),'Population size data'!V44/6,"")</f>
        <v>171.41666666666666</v>
      </c>
    </row>
    <row r="44" spans="1:22" x14ac:dyDescent="0.3">
      <c r="A44" t="s">
        <v>43</v>
      </c>
      <c r="B44" t="s">
        <v>107</v>
      </c>
      <c r="C44" s="7">
        <v>20</v>
      </c>
      <c r="D44" s="3">
        <f>IF(ISNUMBER('Population size data'!D45),'Population size data'!D45/6,"")</f>
        <v>8.3333333333333339</v>
      </c>
      <c r="E44" s="3" t="str">
        <f>IF(ISNUMBER('Population size data'!E45),'Population size data'!E45/6,"")</f>
        <v/>
      </c>
      <c r="F44" s="3">
        <f>IF(ISNUMBER('Population size data'!F45),'Population size data'!F45/6,"")</f>
        <v>4.5</v>
      </c>
      <c r="G44" s="3" t="str">
        <f>IF(ISNUMBER('Population size data'!G45),'Population size data'!G45/6,"")</f>
        <v/>
      </c>
      <c r="H44" s="3">
        <f>IF(ISNUMBER('Population size data'!H45),'Population size data'!H45/6,"")</f>
        <v>13</v>
      </c>
      <c r="I44" s="3" t="str">
        <f>IF(ISNUMBER('Population size data'!I45),'Population size data'!I45/6,"")</f>
        <v/>
      </c>
      <c r="J44" s="3">
        <f>IF(ISNUMBER('Population size data'!J45),'Population size data'!J45/6,"")</f>
        <v>26.833333333333332</v>
      </c>
      <c r="K44" s="3">
        <f>IF(ISNUMBER('Population size data'!K45),'Population size data'!K45/6,"")</f>
        <v>31.666666666666668</v>
      </c>
      <c r="L44" s="3">
        <f>IF(ISNUMBER('Population size data'!L45),'Population size data'!L45/6,"")</f>
        <v>55.333333333333336</v>
      </c>
      <c r="M44" s="3">
        <f>IF(ISNUMBER('Population size data'!M45),'Population size data'!M45/6,"")</f>
        <v>40.333333333333336</v>
      </c>
      <c r="N44" s="3">
        <f>IF(ISNUMBER('Population size data'!N45),'Population size data'!N45/6,"")</f>
        <v>161.33333333333334</v>
      </c>
      <c r="O44" s="3">
        <f>IF(ISNUMBER('Population size data'!O45),'Population size data'!O45/6,"")</f>
        <v>242</v>
      </c>
      <c r="P44" s="12"/>
      <c r="Q44" s="12"/>
      <c r="R44" s="3">
        <f>IF(ISNUMBER('Population size data'!R45),'Population size data'!R45/6,"")</f>
        <v>534.41666666666663</v>
      </c>
      <c r="S44" s="3">
        <f>IF(ISNUMBER('Population size data'!S45),'Population size data'!S45/6,"")</f>
        <v>736.08333333333337</v>
      </c>
      <c r="T44" s="3">
        <f>IF(ISNUMBER('Population size data'!T45),'Population size data'!T45/6,"")</f>
        <v>554.58333333333337</v>
      </c>
      <c r="U44" s="3" t="str">
        <f>IF(ISNUMBER('Population size data'!U45),'Population size data'!U45/6,"")</f>
        <v/>
      </c>
      <c r="V44" s="3">
        <f>IF(ISNUMBER('Population size data'!V45),'Population size data'!V45/6,"")</f>
        <v>403.33333333333331</v>
      </c>
    </row>
    <row r="45" spans="1:22" x14ac:dyDescent="0.3">
      <c r="A45" t="s">
        <v>44</v>
      </c>
      <c r="B45" t="s">
        <v>107</v>
      </c>
      <c r="C45" s="7">
        <v>20</v>
      </c>
      <c r="D45" s="3">
        <f>IF(ISNUMBER('Population size data'!D46),'Population size data'!D46/6,"")</f>
        <v>8.3333333333333339</v>
      </c>
      <c r="E45" s="3" t="str">
        <f>IF(ISNUMBER('Population size data'!E46),'Population size data'!E46/6,"")</f>
        <v/>
      </c>
      <c r="F45" s="3">
        <f>IF(ISNUMBER('Population size data'!F46),'Population size data'!F46/6,"")</f>
        <v>3.0833333333333335</v>
      </c>
      <c r="G45" s="3" t="str">
        <f>IF(ISNUMBER('Population size data'!G46),'Population size data'!G46/6,"")</f>
        <v/>
      </c>
      <c r="H45" s="3">
        <f>IF(ISNUMBER('Population size data'!H46),'Population size data'!H46/6,"")</f>
        <v>11.5</v>
      </c>
      <c r="I45" s="3" t="str">
        <f>IF(ISNUMBER('Population size data'!I46),'Population size data'!I46/6,"")</f>
        <v/>
      </c>
      <c r="J45" s="3">
        <f>IF(ISNUMBER('Population size data'!J46),'Population size data'!J46/6,"")</f>
        <v>21.833333333333332</v>
      </c>
      <c r="K45" s="3">
        <f>IF(ISNUMBER('Population size data'!K46),'Population size data'!K46/6,"")</f>
        <v>28.833333333333332</v>
      </c>
      <c r="L45" s="3">
        <f>IF(ISNUMBER('Population size data'!L46),'Population size data'!L46/6,"")</f>
        <v>41.833333333333336</v>
      </c>
      <c r="M45" s="3">
        <f>IF(ISNUMBER('Population size data'!M46),'Population size data'!M46/6,"")</f>
        <v>90.75</v>
      </c>
      <c r="N45" s="3">
        <f>IF(ISNUMBER('Population size data'!N46),'Population size data'!N46/6,"")</f>
        <v>141.16666666666666</v>
      </c>
      <c r="O45" s="3">
        <f>IF(ISNUMBER('Population size data'!O46),'Population size data'!O46/6,"")</f>
        <v>121</v>
      </c>
      <c r="P45" s="12"/>
      <c r="Q45" s="12"/>
      <c r="R45" s="3">
        <f>IF(ISNUMBER('Population size data'!R46),'Population size data'!R46/6,"")</f>
        <v>221.83333333333334</v>
      </c>
      <c r="S45" s="3">
        <f>IF(ISNUMBER('Population size data'!S46),'Population size data'!S46/6,"")</f>
        <v>363</v>
      </c>
      <c r="T45" s="3">
        <f>IF(ISNUMBER('Population size data'!T46),'Population size data'!T46/6,"")</f>
        <v>403.33333333333331</v>
      </c>
      <c r="U45" s="3" t="str">
        <f>IF(ISNUMBER('Population size data'!U46),'Population size data'!U46/6,"")</f>
        <v/>
      </c>
      <c r="V45" s="3">
        <f>IF(ISNUMBER('Population size data'!V46),'Population size data'!V46/6,"")</f>
        <v>473.91666666666669</v>
      </c>
    </row>
    <row r="46" spans="1:22" x14ac:dyDescent="0.3">
      <c r="A46" t="s">
        <v>45</v>
      </c>
      <c r="B46" t="s">
        <v>107</v>
      </c>
      <c r="C46" s="7">
        <v>20</v>
      </c>
      <c r="D46" s="3">
        <f>IF(ISNUMBER('Population size data'!D47),'Population size data'!D47/6,"")</f>
        <v>8.3333333333333339</v>
      </c>
      <c r="E46" s="3" t="str">
        <f>IF(ISNUMBER('Population size data'!E47),'Population size data'!E47/6,"")</f>
        <v/>
      </c>
      <c r="F46" s="3">
        <f>IF(ISNUMBER('Population size data'!F47),'Population size data'!F47/6,"")</f>
        <v>2.8333333333333335</v>
      </c>
      <c r="G46" s="3" t="str">
        <f>IF(ISNUMBER('Population size data'!G47),'Population size data'!G47/6,"")</f>
        <v/>
      </c>
      <c r="H46" s="3">
        <f>IF(ISNUMBER('Population size data'!H47),'Population size data'!H47/6,"")</f>
        <v>10.333333333333334</v>
      </c>
      <c r="I46" s="3" t="str">
        <f>IF(ISNUMBER('Population size data'!I47),'Population size data'!I47/6,"")</f>
        <v/>
      </c>
      <c r="J46" s="3">
        <f>IF(ISNUMBER('Population size data'!J47),'Population size data'!J47/6,"")</f>
        <v>20.5</v>
      </c>
      <c r="K46" s="3">
        <f>IF(ISNUMBER('Population size data'!K47),'Population size data'!K47/6,"")</f>
        <v>23.166666666666668</v>
      </c>
      <c r="L46" s="3">
        <f>IF(ISNUMBER('Population size data'!L47),'Population size data'!L47/6,"")</f>
        <v>35</v>
      </c>
      <c r="M46" s="3">
        <f>IF(ISNUMBER('Population size data'!M47),'Population size data'!M47/6,"")</f>
        <v>51.166666666666664</v>
      </c>
      <c r="N46" s="3">
        <f>IF(ISNUMBER('Population size data'!N47),'Population size data'!N47/6,"")</f>
        <v>79.333333333333329</v>
      </c>
      <c r="O46" s="3">
        <f>IF(ISNUMBER('Population size data'!O47),'Population size data'!O47/6,"")</f>
        <v>181.5</v>
      </c>
      <c r="P46" s="12"/>
      <c r="Q46" s="12"/>
      <c r="R46" s="3">
        <f>IF(ISNUMBER('Population size data'!R47),'Population size data'!R47/6,"")</f>
        <v>322.66666666666669</v>
      </c>
      <c r="S46" s="3">
        <f>IF(ISNUMBER('Population size data'!S47),'Population size data'!S47/6,"")</f>
        <v>494.08333333333331</v>
      </c>
      <c r="T46" s="3">
        <f>IF(ISNUMBER('Population size data'!T47),'Population size data'!T47/6,"")</f>
        <v>443.66666666666669</v>
      </c>
      <c r="U46" s="3" t="str">
        <f>IF(ISNUMBER('Population size data'!U47),'Population size data'!U47/6,"")</f>
        <v/>
      </c>
      <c r="V46" s="3">
        <f>IF(ISNUMBER('Population size data'!V47),'Population size data'!V47/6,"")</f>
        <v>463.83333333333331</v>
      </c>
    </row>
    <row r="47" spans="1:22" x14ac:dyDescent="0.3">
      <c r="A47" t="s">
        <v>46</v>
      </c>
      <c r="B47" t="s">
        <v>107</v>
      </c>
      <c r="C47" s="7">
        <v>20</v>
      </c>
      <c r="D47" s="3">
        <f>IF(ISNUMBER('Population size data'!D48),'Population size data'!D48/6,"")</f>
        <v>8.3333333333333339</v>
      </c>
      <c r="E47" s="3" t="str">
        <f>IF(ISNUMBER('Population size data'!E48),'Population size data'!E48/6,"")</f>
        <v/>
      </c>
      <c r="F47" s="3">
        <f>IF(ISNUMBER('Population size data'!F48),'Population size data'!F48/6,"")</f>
        <v>3.8333333333333335</v>
      </c>
      <c r="G47" s="3" t="str">
        <f>IF(ISNUMBER('Population size data'!G48),'Population size data'!G48/6,"")</f>
        <v/>
      </c>
      <c r="H47" s="3">
        <f>IF(ISNUMBER('Population size data'!H48),'Population size data'!H48/6,"")</f>
        <v>12.5</v>
      </c>
      <c r="I47" s="3" t="str">
        <f>IF(ISNUMBER('Population size data'!I48),'Population size data'!I48/6,"")</f>
        <v/>
      </c>
      <c r="J47" s="3">
        <f>IF(ISNUMBER('Population size data'!J48),'Population size data'!J48/6,"")</f>
        <v>23.833333333333332</v>
      </c>
      <c r="K47" s="3">
        <f>IF(ISNUMBER('Population size data'!K48),'Population size data'!K48/6,"")</f>
        <v>23.833333333333332</v>
      </c>
      <c r="L47" s="3">
        <f>IF(ISNUMBER('Population size data'!L48),'Population size data'!L48/6,"")</f>
        <v>31.833333333333332</v>
      </c>
      <c r="M47" s="3">
        <f>IF(ISNUMBER('Population size data'!M48),'Population size data'!M48/6,"")</f>
        <v>47</v>
      </c>
      <c r="N47" s="3">
        <f>IF(ISNUMBER('Population size data'!N48),'Population size data'!N48/6,"")</f>
        <v>64.833333333333329</v>
      </c>
      <c r="O47" s="3">
        <f>IF(ISNUMBER('Population size data'!O48),'Population size data'!O48/6,"")</f>
        <v>83.5</v>
      </c>
      <c r="P47" s="12"/>
      <c r="Q47" s="12"/>
      <c r="R47" s="3">
        <f>IF(ISNUMBER('Population size data'!R48),'Population size data'!R48/6,"")</f>
        <v>312.58333333333331</v>
      </c>
      <c r="S47" s="3">
        <f>IF(ISNUMBER('Population size data'!S48),'Population size data'!S48/6,"")</f>
        <v>665.5</v>
      </c>
      <c r="T47" s="3">
        <f>IF(ISNUMBER('Population size data'!T48),'Population size data'!T48/6,"")</f>
        <v>665.5</v>
      </c>
      <c r="U47" s="3" t="str">
        <f>IF(ISNUMBER('Population size data'!U48),'Population size data'!U48/6,"")</f>
        <v/>
      </c>
      <c r="V47" s="3">
        <f>IF(ISNUMBER('Population size data'!V48),'Population size data'!V48/6,"")</f>
        <v>615.08333333333337</v>
      </c>
    </row>
    <row r="48" spans="1:22" x14ac:dyDescent="0.3">
      <c r="A48" t="s">
        <v>47</v>
      </c>
      <c r="B48" t="s">
        <v>107</v>
      </c>
      <c r="C48" s="7">
        <v>23</v>
      </c>
      <c r="D48" s="3">
        <f>IF(ISNUMBER('Population size data'!D49),'Population size data'!D49/6,"")</f>
        <v>8.3333333333333339</v>
      </c>
      <c r="E48" s="3">
        <f>IF(ISNUMBER('Population size data'!E49),'Population size data'!E49/6,"")</f>
        <v>1.6666666666666667</v>
      </c>
      <c r="F48" s="3">
        <f>IF(ISNUMBER('Population size data'!F49),'Population size data'!F49/6,"")</f>
        <v>7.5</v>
      </c>
      <c r="G48" s="3" t="str">
        <f>IF(ISNUMBER('Population size data'!G49),'Population size data'!G49/6,"")</f>
        <v/>
      </c>
      <c r="H48" s="3">
        <f>IF(ISNUMBER('Population size data'!H49),'Population size data'!H49/6,"")</f>
        <v>30.166666666666668</v>
      </c>
      <c r="I48" s="3">
        <f>IF(ISNUMBER('Population size data'!I49),'Population size data'!I49/6,"")</f>
        <v>23</v>
      </c>
      <c r="J48" s="3">
        <f>IF(ISNUMBER('Population size data'!J49),'Population size data'!J49/6,"")</f>
        <v>41</v>
      </c>
      <c r="K48" s="3">
        <f>IF(ISNUMBER('Population size data'!K49),'Population size data'!K49/6,"")</f>
        <v>70.583333333333329</v>
      </c>
      <c r="L48" s="3">
        <f>IF(ISNUMBER('Population size data'!L49),'Population size data'!L49/6,"")</f>
        <v>60.5</v>
      </c>
      <c r="M48" s="3">
        <f>IF(ISNUMBER('Population size data'!M49),'Population size data'!M49/6,"")</f>
        <v>171.41666666666666</v>
      </c>
      <c r="N48" s="3">
        <f>IF(ISNUMBER('Population size data'!N49),'Population size data'!N49/6,"")</f>
        <v>191.58333333333334</v>
      </c>
      <c r="O48" s="3">
        <f>IF(ISNUMBER('Population size data'!O49),'Population size data'!O49/6,"")</f>
        <v>181.5</v>
      </c>
      <c r="P48" s="12"/>
      <c r="Q48" s="12"/>
      <c r="R48" s="3">
        <f>IF(ISNUMBER('Population size data'!R49),'Population size data'!R49/6,"")</f>
        <v>1300.75</v>
      </c>
      <c r="S48" s="3">
        <f>IF(ISNUMBER('Population size data'!S49),'Population size data'!S49/6,"")</f>
        <v>1048.6666666666667</v>
      </c>
      <c r="T48" s="3">
        <f>IF(ISNUMBER('Population size data'!T49),'Population size data'!T49/6,"")</f>
        <v>776.41666666666663</v>
      </c>
      <c r="U48" s="3" t="str">
        <f>IF(ISNUMBER('Population size data'!U49),'Population size data'!U49/6,"")</f>
        <v/>
      </c>
      <c r="V48" s="3">
        <f>IF(ISNUMBER('Population size data'!V49),'Population size data'!V49/6,"")</f>
        <v>1694</v>
      </c>
    </row>
    <row r="49" spans="1:22" x14ac:dyDescent="0.3">
      <c r="A49" t="s">
        <v>48</v>
      </c>
      <c r="B49" t="s">
        <v>107</v>
      </c>
      <c r="C49" s="7">
        <v>23</v>
      </c>
      <c r="D49" s="3">
        <f>IF(ISNUMBER('Population size data'!D50),'Population size data'!D50/6,"")</f>
        <v>8.3333333333333339</v>
      </c>
      <c r="E49" s="3">
        <f>IF(ISNUMBER('Population size data'!E50),'Population size data'!E50/6,"")</f>
        <v>1.4166666666666667</v>
      </c>
      <c r="F49" s="3">
        <f>IF(ISNUMBER('Population size data'!F50),'Population size data'!F50/6,"")</f>
        <v>4.916666666666667</v>
      </c>
      <c r="G49" s="3" t="str">
        <f>IF(ISNUMBER('Population size data'!G50),'Population size data'!G50/6,"")</f>
        <v/>
      </c>
      <c r="H49" s="3">
        <f>IF(ISNUMBER('Population size data'!H50),'Population size data'!H50/6,"")</f>
        <v>24.833333333333332</v>
      </c>
      <c r="I49" s="3">
        <f>IF(ISNUMBER('Population size data'!I50),'Population size data'!I50/6,"")</f>
        <v>34.5</v>
      </c>
      <c r="J49" s="3">
        <f>IF(ISNUMBER('Population size data'!J50),'Population size data'!J50/6,"")</f>
        <v>33.833333333333336</v>
      </c>
      <c r="K49" s="3">
        <f>IF(ISNUMBER('Population size data'!K50),'Population size data'!K50/6,"")</f>
        <v>40.333333333333336</v>
      </c>
      <c r="L49" s="3">
        <f>IF(ISNUMBER('Population size data'!L50),'Population size data'!L50/6,"")</f>
        <v>70.583333333333329</v>
      </c>
      <c r="M49" s="3">
        <f>IF(ISNUMBER('Population size data'!M50),'Population size data'!M50/6,"")</f>
        <v>161.33333333333334</v>
      </c>
      <c r="N49" s="3">
        <f>IF(ISNUMBER('Population size data'!N50),'Population size data'!N50/6,"")</f>
        <v>221.83333333333334</v>
      </c>
      <c r="O49" s="3">
        <f>IF(ISNUMBER('Population size data'!O50),'Population size data'!O50/6,"")</f>
        <v>302.5</v>
      </c>
      <c r="P49" s="12"/>
      <c r="Q49" s="12"/>
      <c r="R49" s="3">
        <f>IF(ISNUMBER('Population size data'!R50),'Population size data'!R50/6,"")</f>
        <v>544.5</v>
      </c>
      <c r="S49" s="3">
        <f>IF(ISNUMBER('Population size data'!S50),'Population size data'!S50/6,"")</f>
        <v>736.08333333333337</v>
      </c>
      <c r="T49" s="3">
        <f>IF(ISNUMBER('Population size data'!T50),'Population size data'!T50/6,"")</f>
        <v>695.75</v>
      </c>
      <c r="U49" s="3" t="str">
        <f>IF(ISNUMBER('Population size data'!U50),'Population size data'!U50/6,"")</f>
        <v/>
      </c>
      <c r="V49" s="3">
        <f>IF(ISNUMBER('Population size data'!V50),'Population size data'!V50/6,"")</f>
        <v>786.5</v>
      </c>
    </row>
    <row r="50" spans="1:22" x14ac:dyDescent="0.3">
      <c r="A50" t="s">
        <v>49</v>
      </c>
      <c r="B50" t="s">
        <v>107</v>
      </c>
      <c r="C50" s="7">
        <v>23</v>
      </c>
      <c r="D50" s="3">
        <f>IF(ISNUMBER('Population size data'!D51),'Population size data'!D51/6,"")</f>
        <v>8.3333333333333339</v>
      </c>
      <c r="E50" s="3">
        <f>IF(ISNUMBER('Population size data'!E51),'Population size data'!E51/6,"")</f>
        <v>1.5833333333333333</v>
      </c>
      <c r="F50" s="3">
        <f>IF(ISNUMBER('Population size data'!F51),'Population size data'!F51/6,"")</f>
        <v>5.666666666666667</v>
      </c>
      <c r="G50" s="3" t="str">
        <f>IF(ISNUMBER('Population size data'!G51),'Population size data'!G51/6,"")</f>
        <v/>
      </c>
      <c r="H50" s="3">
        <f>IF(ISNUMBER('Population size data'!H51),'Population size data'!H51/6,"")</f>
        <v>23.833333333333332</v>
      </c>
      <c r="I50" s="3">
        <f>IF(ISNUMBER('Population size data'!I51),'Population size data'!I51/6,"")</f>
        <v>19.833333333333332</v>
      </c>
      <c r="J50" s="3">
        <f>IF(ISNUMBER('Population size data'!J51),'Population size data'!J51/6,"")</f>
        <v>33.333333333333336</v>
      </c>
      <c r="K50" s="3">
        <f>IF(ISNUMBER('Population size data'!K51),'Population size data'!K51/6,"")</f>
        <v>40.333333333333336</v>
      </c>
      <c r="L50" s="3">
        <f>IF(ISNUMBER('Population size data'!L51),'Population size data'!L51/6,"")</f>
        <v>80.666666666666671</v>
      </c>
      <c r="M50" s="3">
        <f>IF(ISNUMBER('Population size data'!M51),'Population size data'!M51/6,"")</f>
        <v>171.41666666666666</v>
      </c>
      <c r="N50" s="3">
        <f>IF(ISNUMBER('Population size data'!N51),'Population size data'!N51/6,"")</f>
        <v>211.75</v>
      </c>
      <c r="O50" s="3">
        <f>IF(ISNUMBER('Population size data'!O51),'Population size data'!O51/6,"")</f>
        <v>211.75</v>
      </c>
      <c r="P50" s="12"/>
      <c r="Q50" s="12"/>
      <c r="R50" s="3">
        <f>IF(ISNUMBER('Population size data'!R51),'Population size data'!R51/6,"")</f>
        <v>766.33333333333337</v>
      </c>
      <c r="S50" s="3">
        <f>IF(ISNUMBER('Population size data'!S51),'Population size data'!S51/6,"")</f>
        <v>998.25</v>
      </c>
      <c r="T50" s="3">
        <f>IF(ISNUMBER('Population size data'!T51),'Population size data'!T51/6,"")</f>
        <v>836.91666666666663</v>
      </c>
      <c r="U50" s="3" t="str">
        <f>IF(ISNUMBER('Population size data'!U51),'Population size data'!U51/6,"")</f>
        <v/>
      </c>
      <c r="V50" s="3">
        <f>IF(ISNUMBER('Population size data'!V51),'Population size data'!V51/6,"")</f>
        <v>1653.6666666666667</v>
      </c>
    </row>
    <row r="51" spans="1:22" x14ac:dyDescent="0.3">
      <c r="A51" t="s">
        <v>50</v>
      </c>
      <c r="B51" t="s">
        <v>107</v>
      </c>
      <c r="C51" s="7">
        <v>23</v>
      </c>
      <c r="D51" s="3">
        <f>IF(ISNUMBER('Population size data'!D52),'Population size data'!D52/6,"")</f>
        <v>8.3333333333333339</v>
      </c>
      <c r="E51" s="3">
        <f>IF(ISNUMBER('Population size data'!E52),'Population size data'!E52/6,"")</f>
        <v>1.75</v>
      </c>
      <c r="F51" s="3">
        <f>IF(ISNUMBER('Population size data'!F52),'Population size data'!F52/6,"")</f>
        <v>5.75</v>
      </c>
      <c r="G51" s="3" t="str">
        <f>IF(ISNUMBER('Population size data'!G52),'Population size data'!G52/6,"")</f>
        <v/>
      </c>
      <c r="H51" s="3">
        <f>IF(ISNUMBER('Population size data'!H52),'Population size data'!H52/6,"")</f>
        <v>21.666666666666668</v>
      </c>
      <c r="I51" s="3">
        <f>IF(ISNUMBER('Population size data'!I52),'Population size data'!I52/6,"")</f>
        <v>17.833333333333332</v>
      </c>
      <c r="J51" s="3">
        <f>IF(ISNUMBER('Population size data'!J52),'Population size data'!J52/6,"")</f>
        <v>30.833333333333332</v>
      </c>
      <c r="K51" s="3">
        <f>IF(ISNUMBER('Population size data'!K52),'Population size data'!K52/6,"")</f>
        <v>141.16666666666666</v>
      </c>
      <c r="L51" s="3">
        <f>IF(ISNUMBER('Population size data'!L52),'Population size data'!L52/6,"")</f>
        <v>30.25</v>
      </c>
      <c r="M51" s="3">
        <f>IF(ISNUMBER('Population size data'!M52),'Population size data'!M52/6,"")</f>
        <v>90.75</v>
      </c>
      <c r="N51" s="3">
        <f>IF(ISNUMBER('Population size data'!N52),'Population size data'!N52/6,"")</f>
        <v>131.08333333333334</v>
      </c>
      <c r="O51" s="3">
        <f>IF(ISNUMBER('Population size data'!O52),'Population size data'!O52/6,"")</f>
        <v>110.91666666666667</v>
      </c>
      <c r="P51" s="12"/>
      <c r="Q51" s="12"/>
      <c r="R51" s="3">
        <f>IF(ISNUMBER('Population size data'!R52),'Population size data'!R52/6,"")</f>
        <v>443.66666666666669</v>
      </c>
      <c r="S51" s="3">
        <f>IF(ISNUMBER('Population size data'!S52),'Population size data'!S52/6,"")</f>
        <v>524.33333333333337</v>
      </c>
      <c r="T51" s="3">
        <f>IF(ISNUMBER('Population size data'!T52),'Population size data'!T52/6,"")</f>
        <v>675.58333333333337</v>
      </c>
      <c r="U51" s="3" t="str">
        <f>IF(ISNUMBER('Population size data'!U52),'Population size data'!U52/6,"")</f>
        <v/>
      </c>
      <c r="V51" s="3">
        <f>IF(ISNUMBER('Population size data'!V52),'Population size data'!V52/6,"")</f>
        <v>494.08333333333331</v>
      </c>
    </row>
    <row r="52" spans="1:22" x14ac:dyDescent="0.3">
      <c r="A52" t="s">
        <v>51</v>
      </c>
      <c r="B52" t="s">
        <v>107</v>
      </c>
      <c r="C52" s="7">
        <v>25</v>
      </c>
      <c r="D52" s="3">
        <f>IF(ISNUMBER('Population size data'!D53),'Population size data'!D53/6,"")</f>
        <v>8.3333333333333339</v>
      </c>
      <c r="E52" s="3">
        <f>IF(ISNUMBER('Population size data'!E53),'Population size data'!E53/6,"")</f>
        <v>2.0833333333333335</v>
      </c>
      <c r="F52" s="3">
        <f>IF(ISNUMBER('Population size data'!F53),'Population size data'!F53/6,"")</f>
        <v>8.8333333333333339</v>
      </c>
      <c r="G52" s="3">
        <f>IF(ISNUMBER('Population size data'!G53),'Population size data'!G53/6,"")</f>
        <v>21.666666666666668</v>
      </c>
      <c r="H52" s="3">
        <f>IF(ISNUMBER('Population size data'!H53),'Population size data'!H53/6,"")</f>
        <v>32.666666666666664</v>
      </c>
      <c r="I52" s="3">
        <f>IF(ISNUMBER('Population size data'!I53),'Population size data'!I53/6,"")</f>
        <v>38</v>
      </c>
      <c r="J52" s="3">
        <f>IF(ISNUMBER('Population size data'!J53),'Population size data'!J53/6,"")</f>
        <v>44.5</v>
      </c>
      <c r="K52" s="3">
        <f>IF(ISNUMBER('Population size data'!K53),'Population size data'!K53/6,"")</f>
        <v>70.583333333333329</v>
      </c>
      <c r="L52" s="3">
        <f>IF(ISNUMBER('Population size data'!L53),'Population size data'!L53/6,"")</f>
        <v>110.91666666666667</v>
      </c>
      <c r="M52" s="3">
        <f>IF(ISNUMBER('Population size data'!M53),'Population size data'!M53/6,"")</f>
        <v>201.66666666666666</v>
      </c>
      <c r="N52" s="3">
        <f>IF(ISNUMBER('Population size data'!N53),'Population size data'!N53/6,"")</f>
        <v>110.91666666666667</v>
      </c>
      <c r="O52" s="3">
        <f>IF(ISNUMBER('Population size data'!O53),'Population size data'!O53/6,"")</f>
        <v>141.16666666666666</v>
      </c>
      <c r="P52" s="12"/>
      <c r="Q52" s="12"/>
      <c r="R52" s="3">
        <f>IF(ISNUMBER('Population size data'!R53),'Population size data'!R53/6,"")</f>
        <v>403.33333333333331</v>
      </c>
      <c r="S52" s="3">
        <f>IF(ISNUMBER('Population size data'!S53),'Population size data'!S53/6,"")</f>
        <v>393.25</v>
      </c>
      <c r="T52" s="3">
        <f>IF(ISNUMBER('Population size data'!T53),'Population size data'!T53/6,"")</f>
        <v>494.08333333333331</v>
      </c>
      <c r="U52" s="3" t="str">
        <f>IF(ISNUMBER('Population size data'!U53),'Population size data'!U53/6,"")</f>
        <v/>
      </c>
      <c r="V52" s="3">
        <f>IF(ISNUMBER('Population size data'!V53),'Population size data'!V53/6,"")</f>
        <v>423.5</v>
      </c>
    </row>
    <row r="53" spans="1:22" x14ac:dyDescent="0.3">
      <c r="A53" t="s">
        <v>52</v>
      </c>
      <c r="B53" t="s">
        <v>107</v>
      </c>
      <c r="C53" s="7">
        <v>25</v>
      </c>
      <c r="D53" s="3">
        <f>IF(ISNUMBER('Population size data'!D54),'Population size data'!D54/6,"")</f>
        <v>8.3333333333333339</v>
      </c>
      <c r="E53" s="3">
        <f>IF(ISNUMBER('Population size data'!E54),'Population size data'!E54/6,"")</f>
        <v>1.75</v>
      </c>
      <c r="F53" s="3">
        <f>IF(ISNUMBER('Population size data'!F54),'Population size data'!F54/6,"")</f>
        <v>8.9166666666666661</v>
      </c>
      <c r="G53" s="3">
        <f>IF(ISNUMBER('Population size data'!G54),'Population size data'!G54/6,"")</f>
        <v>21.5</v>
      </c>
      <c r="H53" s="3">
        <f>IF(ISNUMBER('Population size data'!H54),'Population size data'!H54/6,"")</f>
        <v>19.75</v>
      </c>
      <c r="I53" s="3">
        <f>IF(ISNUMBER('Population size data'!I54),'Population size data'!I54/6,"")</f>
        <v>39.333333333333336</v>
      </c>
      <c r="J53" s="3">
        <f>IF(ISNUMBER('Population size data'!J54),'Population size data'!J54/6,"")</f>
        <v>48</v>
      </c>
      <c r="K53" s="3">
        <f>IF(ISNUMBER('Population size data'!K54),'Population size data'!K54/6,"")</f>
        <v>50.416666666666664</v>
      </c>
      <c r="L53" s="3">
        <f>IF(ISNUMBER('Population size data'!L54),'Population size data'!L54/6,"")</f>
        <v>80.666666666666671</v>
      </c>
      <c r="M53" s="3">
        <f>IF(ISNUMBER('Population size data'!M54),'Population size data'!M54/6,"")</f>
        <v>131.08333333333334</v>
      </c>
      <c r="N53" s="3">
        <f>IF(ISNUMBER('Population size data'!N54),'Population size data'!N54/6,"")</f>
        <v>80.666666666666671</v>
      </c>
      <c r="O53" s="3">
        <f>IF(ISNUMBER('Population size data'!O54),'Population size data'!O54/6,"")</f>
        <v>151.25</v>
      </c>
      <c r="P53" s="12"/>
      <c r="Q53" s="12"/>
      <c r="R53" s="3">
        <f>IF(ISNUMBER('Population size data'!R54),'Population size data'!R54/6,"")</f>
        <v>242</v>
      </c>
      <c r="S53" s="3">
        <f>IF(ISNUMBER('Population size data'!S54),'Population size data'!S54/6,"")</f>
        <v>242</v>
      </c>
      <c r="T53" s="3">
        <f>IF(ISNUMBER('Population size data'!T54),'Population size data'!T54/6,"")</f>
        <v>201.66666666666666</v>
      </c>
      <c r="U53" s="3" t="str">
        <f>IF(ISNUMBER('Population size data'!U54),'Population size data'!U54/6,"")</f>
        <v/>
      </c>
      <c r="V53" s="3">
        <f>IF(ISNUMBER('Population size data'!V54),'Population size data'!V54/6,"")</f>
        <v>282.33333333333331</v>
      </c>
    </row>
    <row r="54" spans="1:22" x14ac:dyDescent="0.3">
      <c r="A54" t="s">
        <v>53</v>
      </c>
      <c r="B54" t="s">
        <v>107</v>
      </c>
      <c r="C54" s="7">
        <v>25</v>
      </c>
      <c r="D54" s="3">
        <f>IF(ISNUMBER('Population size data'!D55),'Population size data'!D55/6,"")</f>
        <v>8.3333333333333339</v>
      </c>
      <c r="E54" s="3">
        <f>IF(ISNUMBER('Population size data'!E55),'Population size data'!E55/6,"")</f>
        <v>1.8333333333333333</v>
      </c>
      <c r="F54" s="3">
        <f>IF(ISNUMBER('Population size data'!F55),'Population size data'!F55/6,"")</f>
        <v>8.5</v>
      </c>
      <c r="G54" s="3">
        <f>IF(ISNUMBER('Population size data'!G55),'Population size data'!G55/6,"")</f>
        <v>18.833333333333332</v>
      </c>
      <c r="H54" s="3">
        <f>IF(ISNUMBER('Population size data'!H55),'Population size data'!H55/6,"")</f>
        <v>32.833333333333336</v>
      </c>
      <c r="I54" s="3">
        <f>IF(ISNUMBER('Population size data'!I55),'Population size data'!I55/6,"")</f>
        <v>39.5</v>
      </c>
      <c r="J54" s="3">
        <f>IF(ISNUMBER('Population size data'!J55),'Population size data'!J55/6,"")</f>
        <v>38.5</v>
      </c>
      <c r="K54" s="3">
        <f>IF(ISNUMBER('Population size data'!K55),'Population size data'!K55/6,"")</f>
        <v>70.583333333333329</v>
      </c>
      <c r="L54" s="3">
        <f>IF(ISNUMBER('Population size data'!L55),'Population size data'!L55/6,"")</f>
        <v>70.583333333333329</v>
      </c>
      <c r="M54" s="3">
        <f>IF(ISNUMBER('Population size data'!M55),'Population size data'!M55/6,"")</f>
        <v>131.08333333333334</v>
      </c>
      <c r="N54" s="3">
        <f>IF(ISNUMBER('Population size data'!N55),'Population size data'!N55/6,"")</f>
        <v>131.08333333333334</v>
      </c>
      <c r="O54" s="3">
        <f>IF(ISNUMBER('Population size data'!O55),'Population size data'!O55/6,"")</f>
        <v>100.83333333333333</v>
      </c>
      <c r="P54" s="12"/>
      <c r="Q54" s="12"/>
      <c r="R54" s="3">
        <f>IF(ISNUMBER('Population size data'!R55),'Population size data'!R55/6,"")</f>
        <v>312.58333333333331</v>
      </c>
      <c r="S54" s="3">
        <f>IF(ISNUMBER('Population size data'!S55),'Population size data'!S55/6,"")</f>
        <v>262.16666666666669</v>
      </c>
      <c r="T54" s="3">
        <f>IF(ISNUMBER('Population size data'!T55),'Population size data'!T55/6,"")</f>
        <v>151.25</v>
      </c>
      <c r="U54" s="3" t="str">
        <f>IF(ISNUMBER('Population size data'!U55),'Population size data'!U55/6,"")</f>
        <v/>
      </c>
      <c r="V54" s="3">
        <f>IF(ISNUMBER('Population size data'!V55),'Population size data'!V55/6,"")</f>
        <v>312.58333333333331</v>
      </c>
    </row>
    <row r="55" spans="1:22" x14ac:dyDescent="0.3">
      <c r="A55" t="s">
        <v>54</v>
      </c>
      <c r="B55" t="s">
        <v>107</v>
      </c>
      <c r="C55" s="7">
        <v>25</v>
      </c>
      <c r="D55" s="3">
        <f>IF(ISNUMBER('Population size data'!D56),'Population size data'!D56/6,"")</f>
        <v>8.3333333333333339</v>
      </c>
      <c r="E55" s="3">
        <f>IF(ISNUMBER('Population size data'!E56),'Population size data'!E56/6,"")</f>
        <v>1.75</v>
      </c>
      <c r="F55" s="3">
        <f>IF(ISNUMBER('Population size data'!F56),'Population size data'!F56/6,"")</f>
        <v>8.1666666666666661</v>
      </c>
      <c r="G55" s="3">
        <f>IF(ISNUMBER('Population size data'!G56),'Population size data'!G56/6,"")</f>
        <v>17.833333333333332</v>
      </c>
      <c r="H55" s="3">
        <f>IF(ISNUMBER('Population size data'!H56),'Population size data'!H56/6,"")</f>
        <v>25.5</v>
      </c>
      <c r="I55" s="3">
        <f>IF(ISNUMBER('Population size data'!I56),'Population size data'!I56/6,"")</f>
        <v>35.166666666666664</v>
      </c>
      <c r="J55" s="3">
        <f>IF(ISNUMBER('Population size data'!J56),'Population size data'!J56/6,"")</f>
        <v>40.833333333333336</v>
      </c>
      <c r="K55" s="3">
        <f>IF(ISNUMBER('Population size data'!K56),'Population size data'!K56/6,"")</f>
        <v>40.333333333333336</v>
      </c>
      <c r="L55" s="3">
        <f>IF(ISNUMBER('Population size data'!L56),'Population size data'!L56/6,"")</f>
        <v>110.91666666666667</v>
      </c>
      <c r="M55" s="3">
        <f>IF(ISNUMBER('Population size data'!M56),'Population size data'!M56/6,"")</f>
        <v>161.33333333333334</v>
      </c>
      <c r="N55" s="3">
        <f>IF(ISNUMBER('Population size data'!N56),'Population size data'!N56/6,"")</f>
        <v>50.416666666666664</v>
      </c>
      <c r="O55" s="3">
        <f>IF(ISNUMBER('Population size data'!O56),'Population size data'!O56/6,"")</f>
        <v>151.25</v>
      </c>
      <c r="P55" s="12"/>
      <c r="Q55" s="12"/>
      <c r="R55" s="3">
        <f>IF(ISNUMBER('Population size data'!R56),'Population size data'!R56/6,"")</f>
        <v>252.08333333333334</v>
      </c>
      <c r="S55" s="3">
        <f>IF(ISNUMBER('Population size data'!S56),'Population size data'!S56/6,"")</f>
        <v>514.25</v>
      </c>
      <c r="T55" s="3">
        <f>IF(ISNUMBER('Population size data'!T56),'Population size data'!T56/6,"")</f>
        <v>363</v>
      </c>
      <c r="U55" s="3" t="str">
        <f>IF(ISNUMBER('Population size data'!U56),'Population size data'!U56/6,"")</f>
        <v/>
      </c>
      <c r="V55" s="3">
        <f>IF(ISNUMBER('Population size data'!V56),'Population size data'!V56/6,"")</f>
        <v>423.5</v>
      </c>
    </row>
    <row r="56" spans="1:22" x14ac:dyDescent="0.3">
      <c r="A56" t="s">
        <v>55</v>
      </c>
      <c r="B56" t="s">
        <v>107</v>
      </c>
      <c r="C56" s="7">
        <v>27</v>
      </c>
      <c r="D56" s="3">
        <f>IF(ISNUMBER('Population size data'!D57),'Population size data'!D57/6,"")</f>
        <v>8.3333333333333339</v>
      </c>
      <c r="E56" s="3">
        <f>IF(ISNUMBER('Population size data'!E57),'Population size data'!E57/6,"")</f>
        <v>2.0833333333333335</v>
      </c>
      <c r="F56" s="3">
        <f>IF(ISNUMBER('Population size data'!F57),'Population size data'!F57/6,"")</f>
        <v>5.5</v>
      </c>
      <c r="G56" s="3">
        <f>IF(ISNUMBER('Population size data'!G57),'Population size data'!G57/6,"")</f>
        <v>11.166666666666666</v>
      </c>
      <c r="H56" s="3">
        <f>IF(ISNUMBER('Population size data'!H57),'Population size data'!H57/6,"")</f>
        <v>15.5</v>
      </c>
      <c r="I56" s="3">
        <f>IF(ISNUMBER('Population size data'!I57),'Population size data'!I57/6,"")</f>
        <v>25.166666666666668</v>
      </c>
      <c r="J56" s="3">
        <f>IF(ISNUMBER('Population size data'!J57),'Population size data'!J57/6,"")</f>
        <v>37.5</v>
      </c>
      <c r="K56" s="3">
        <f>IF(ISNUMBER('Population size data'!K57),'Population size data'!K57/6,"")</f>
        <v>57.166666666666664</v>
      </c>
      <c r="L56" s="3">
        <f>IF(ISNUMBER('Population size data'!L57),'Population size data'!L57/6,"")</f>
        <v>131.08333333333334</v>
      </c>
      <c r="M56" s="3">
        <f>IF(ISNUMBER('Population size data'!M57),'Population size data'!M57/6,"")</f>
        <v>363</v>
      </c>
      <c r="N56" s="3">
        <f>IF(ISNUMBER('Population size data'!N57),'Population size data'!N57/6,"")</f>
        <v>514.25</v>
      </c>
      <c r="O56" s="3">
        <f>IF(ISNUMBER('Population size data'!O57),'Population size data'!O57/6,"")</f>
        <v>816.75</v>
      </c>
      <c r="P56" s="12"/>
      <c r="Q56" s="12"/>
      <c r="R56" s="3">
        <f>IF(ISNUMBER('Population size data'!R57),'Population size data'!R57/6,"")</f>
        <v>1250.3333333333333</v>
      </c>
      <c r="S56" s="3">
        <f>IF(ISNUMBER('Population size data'!S57),'Population size data'!S57/6,"")</f>
        <v>766.33333333333337</v>
      </c>
      <c r="T56" s="3">
        <f>IF(ISNUMBER('Population size data'!T57),'Population size data'!T57/6,"")</f>
        <v>615.08333333333337</v>
      </c>
      <c r="U56" s="3" t="str">
        <f>IF(ISNUMBER('Population size data'!U57),'Population size data'!U57/6,"")</f>
        <v/>
      </c>
      <c r="V56" s="3">
        <f>IF(ISNUMBER('Population size data'!V57),'Population size data'!V57/6,"")</f>
        <v>766.33333333333337</v>
      </c>
    </row>
    <row r="57" spans="1:22" x14ac:dyDescent="0.3">
      <c r="A57" t="s">
        <v>56</v>
      </c>
      <c r="B57" t="s">
        <v>107</v>
      </c>
      <c r="C57" s="7">
        <v>27</v>
      </c>
      <c r="D57" s="3">
        <f>IF(ISNUMBER('Population size data'!D58),'Population size data'!D58/6,"")</f>
        <v>8.3333333333333339</v>
      </c>
      <c r="E57" s="3">
        <f>IF(ISNUMBER('Population size data'!E58),'Population size data'!E58/6,"")</f>
        <v>3.4166666666666665</v>
      </c>
      <c r="F57" s="3">
        <f>IF(ISNUMBER('Population size data'!F58),'Population size data'!F58/6,"")</f>
        <v>10.166666666666666</v>
      </c>
      <c r="G57" s="3">
        <f>IF(ISNUMBER('Population size data'!G58),'Population size data'!G58/6,"")</f>
        <v>22.583333333333332</v>
      </c>
      <c r="H57" s="3">
        <f>IF(ISNUMBER('Population size data'!H58),'Population size data'!H58/6,"")</f>
        <v>27.083333333333332</v>
      </c>
      <c r="I57" s="3">
        <f>IF(ISNUMBER('Population size data'!I58),'Population size data'!I58/6,"")</f>
        <v>22.333333333333332</v>
      </c>
      <c r="J57" s="3">
        <f>IF(ISNUMBER('Population size data'!J58),'Population size data'!J58/6,"")</f>
        <v>49.666666666666664</v>
      </c>
      <c r="K57" s="3">
        <f>IF(ISNUMBER('Population size data'!K58),'Population size data'!K58/6,"")</f>
        <v>60</v>
      </c>
      <c r="L57" s="3">
        <f>IF(ISNUMBER('Population size data'!L58),'Population size data'!L58/6,"")</f>
        <v>141.16666666666666</v>
      </c>
      <c r="M57" s="3">
        <f>IF(ISNUMBER('Population size data'!M58),'Population size data'!M58/6,"")</f>
        <v>181.5</v>
      </c>
      <c r="N57" s="3">
        <f>IF(ISNUMBER('Population size data'!N58),'Population size data'!N58/6,"")</f>
        <v>453.75</v>
      </c>
      <c r="O57" s="3">
        <f>IF(ISNUMBER('Population size data'!O58),'Population size data'!O58/6,"")</f>
        <v>363</v>
      </c>
      <c r="P57" s="12"/>
      <c r="Q57" s="12"/>
      <c r="R57" s="3">
        <f>IF(ISNUMBER('Population size data'!R58),'Population size data'!R58/6,"")</f>
        <v>978.08333333333337</v>
      </c>
      <c r="S57" s="3">
        <f>IF(ISNUMBER('Population size data'!S58),'Population size data'!S58/6,"")</f>
        <v>665.5</v>
      </c>
      <c r="T57" s="3">
        <f>IF(ISNUMBER('Population size data'!T58),'Population size data'!T58/6,"")</f>
        <v>715.91666666666663</v>
      </c>
      <c r="U57" s="3" t="str">
        <f>IF(ISNUMBER('Population size data'!U58),'Population size data'!U58/6,"")</f>
        <v/>
      </c>
      <c r="V57" s="3">
        <f>IF(ISNUMBER('Population size data'!V58),'Population size data'!V58/6,"")</f>
        <v>302.5</v>
      </c>
    </row>
    <row r="58" spans="1:22" x14ac:dyDescent="0.3">
      <c r="A58" t="s">
        <v>57</v>
      </c>
      <c r="B58" t="s">
        <v>107</v>
      </c>
      <c r="C58" s="7">
        <v>27</v>
      </c>
      <c r="D58" s="3">
        <f>IF(ISNUMBER('Population size data'!D59),'Population size data'!D59/6,"")</f>
        <v>8.3333333333333339</v>
      </c>
      <c r="E58" s="3">
        <f>IF(ISNUMBER('Population size data'!E59),'Population size data'!E59/6,"")</f>
        <v>1.6666666666666667</v>
      </c>
      <c r="F58" s="3">
        <f>IF(ISNUMBER('Population size data'!F59),'Population size data'!F59/6,"")</f>
        <v>4.416666666666667</v>
      </c>
      <c r="G58" s="3">
        <f>IF(ISNUMBER('Population size data'!G59),'Population size data'!G59/6,"")</f>
        <v>7.5</v>
      </c>
      <c r="H58" s="3">
        <f>IF(ISNUMBER('Population size data'!H59),'Population size data'!H59/6,"")</f>
        <v>9.1666666666666661</v>
      </c>
      <c r="I58" s="3">
        <f>IF(ISNUMBER('Population size data'!I59),'Population size data'!I59/6,"")</f>
        <v>12.833333333333334</v>
      </c>
      <c r="J58" s="3">
        <f>IF(ISNUMBER('Population size data'!J59),'Population size data'!J59/6,"")</f>
        <v>12</v>
      </c>
      <c r="K58" s="3">
        <f>IF(ISNUMBER('Population size data'!K59),'Population size data'!K59/6,"")</f>
        <v>24.333333333333332</v>
      </c>
      <c r="L58" s="3">
        <f>IF(ISNUMBER('Population size data'!L59),'Population size data'!L59/6,"")</f>
        <v>21.833333333333332</v>
      </c>
      <c r="M58" s="3">
        <f>IF(ISNUMBER('Population size data'!M59),'Population size data'!M59/6,"")</f>
        <v>34.333333333333336</v>
      </c>
      <c r="N58" s="3">
        <f>IF(ISNUMBER('Population size data'!N59),'Population size data'!N59/6,"")</f>
        <v>141.16666666666666</v>
      </c>
      <c r="O58" s="3">
        <f>IF(ISNUMBER('Population size data'!O59),'Population size data'!O59/6,"")</f>
        <v>110.91666666666667</v>
      </c>
      <c r="P58" s="12"/>
      <c r="Q58" s="12"/>
      <c r="R58" s="3">
        <f>IF(ISNUMBER('Population size data'!R59),'Population size data'!R59/6,"")</f>
        <v>262.16666666666669</v>
      </c>
      <c r="S58" s="3">
        <f>IF(ISNUMBER('Population size data'!S59),'Population size data'!S59/6,"")</f>
        <v>514.25</v>
      </c>
      <c r="T58" s="3">
        <f>IF(ISNUMBER('Population size data'!T59),'Population size data'!T59/6,"")</f>
        <v>342.83333333333331</v>
      </c>
      <c r="U58" s="3" t="str">
        <f>IF(ISNUMBER('Population size data'!U59),'Population size data'!U59/6,"")</f>
        <v/>
      </c>
      <c r="V58" s="3">
        <f>IF(ISNUMBER('Population size data'!V59),'Population size data'!V59/6,"")</f>
        <v>625.16666666666663</v>
      </c>
    </row>
    <row r="59" spans="1:22" x14ac:dyDescent="0.3">
      <c r="A59" t="s">
        <v>58</v>
      </c>
      <c r="B59" t="s">
        <v>107</v>
      </c>
      <c r="C59" s="7">
        <v>27</v>
      </c>
      <c r="D59" s="3">
        <f>IF(ISNUMBER('Population size data'!D60),'Population size data'!D60/6,"")</f>
        <v>8.3333333333333339</v>
      </c>
      <c r="E59" s="3">
        <f>IF(ISNUMBER('Population size data'!E60),'Population size data'!E60/6,"")</f>
        <v>1.8333333333333333</v>
      </c>
      <c r="F59" s="3">
        <f>IF(ISNUMBER('Population size data'!F60),'Population size data'!F60/6,"")</f>
        <v>5.666666666666667</v>
      </c>
      <c r="G59" s="3">
        <f>IF(ISNUMBER('Population size data'!G60),'Population size data'!G60/6,"")</f>
        <v>9.5833333333333339</v>
      </c>
      <c r="H59" s="3">
        <f>IF(ISNUMBER('Population size data'!H60),'Population size data'!H60/6,"")</f>
        <v>12</v>
      </c>
      <c r="I59" s="3">
        <f>IF(ISNUMBER('Population size data'!I60),'Population size data'!I60/6,"")</f>
        <v>14.833333333333334</v>
      </c>
      <c r="J59" s="3">
        <f>IF(ISNUMBER('Population size data'!J60),'Population size data'!J60/6,"")</f>
        <v>12.666666666666666</v>
      </c>
      <c r="K59" s="3">
        <f>IF(ISNUMBER('Population size data'!K60),'Population size data'!K60/6,"")</f>
        <v>17.333333333333332</v>
      </c>
      <c r="L59" s="3">
        <f>IF(ISNUMBER('Population size data'!L60),'Population size data'!L60/6,"")</f>
        <v>26.166666666666668</v>
      </c>
      <c r="M59" s="3">
        <f>IF(ISNUMBER('Population size data'!M60),'Population size data'!M60/6,"")</f>
        <v>90.75</v>
      </c>
      <c r="N59" s="3">
        <f>IF(ISNUMBER('Population size data'!N60),'Population size data'!N60/6,"")</f>
        <v>110.91666666666667</v>
      </c>
      <c r="O59" s="3">
        <f>IF(ISNUMBER('Population size data'!O60),'Population size data'!O60/6,"")</f>
        <v>181.5</v>
      </c>
      <c r="P59" s="12"/>
      <c r="Q59" s="12"/>
      <c r="R59" s="3">
        <f>IF(ISNUMBER('Population size data'!R60),'Population size data'!R60/6,"")</f>
        <v>302.5</v>
      </c>
      <c r="S59" s="3">
        <f>IF(ISNUMBER('Population size data'!S60),'Population size data'!S60/6,"")</f>
        <v>443.66666666666669</v>
      </c>
      <c r="T59" s="3">
        <f>IF(ISNUMBER('Population size data'!T60),'Population size data'!T60/6,"")</f>
        <v>463.83333333333331</v>
      </c>
      <c r="U59" s="3" t="str">
        <f>IF(ISNUMBER('Population size data'!U60),'Population size data'!U60/6,"")</f>
        <v/>
      </c>
      <c r="V59" s="3">
        <f>IF(ISNUMBER('Population size data'!V60),'Population size data'!V60/6,"")</f>
        <v>342.83333333333331</v>
      </c>
    </row>
    <row r="60" spans="1:22" x14ac:dyDescent="0.3">
      <c r="A60" t="s">
        <v>59</v>
      </c>
      <c r="B60" t="s">
        <v>107</v>
      </c>
      <c r="C60" s="7">
        <v>31</v>
      </c>
      <c r="D60" s="3">
        <f>IF(ISNUMBER('Population size data'!D61),'Population size data'!D61/6,"")</f>
        <v>8.3333333333333339</v>
      </c>
      <c r="E60" s="3">
        <f>IF(ISNUMBER('Population size data'!E61),'Population size data'!E61/6,"")</f>
        <v>2.5833333333333335</v>
      </c>
      <c r="F60" s="3">
        <f>IF(ISNUMBER('Population size data'!F61),'Population size data'!F61/6,"")</f>
        <v>7.25</v>
      </c>
      <c r="G60" s="3">
        <f>IF(ISNUMBER('Population size data'!G61),'Population size data'!G61/6,"")</f>
        <v>7.666666666666667</v>
      </c>
      <c r="H60" s="3">
        <f>IF(ISNUMBER('Population size data'!H61),'Population size data'!H61/6,"")</f>
        <v>9.4166666666666661</v>
      </c>
      <c r="I60" s="3">
        <f>IF(ISNUMBER('Population size data'!I61),'Population size data'!I61/6,"")</f>
        <v>8.1666666666666661</v>
      </c>
      <c r="J60" s="3">
        <f>IF(ISNUMBER('Population size data'!J61),'Population size data'!J61/6,"")</f>
        <v>13.083333333333334</v>
      </c>
      <c r="K60" s="3">
        <f>IF(ISNUMBER('Population size data'!K61),'Population size data'!K61/6,"")</f>
        <v>21.25</v>
      </c>
      <c r="L60" s="3">
        <f>IF(ISNUMBER('Population size data'!L61),'Population size data'!L61/6,"")</f>
        <v>40.833333333333336</v>
      </c>
      <c r="M60" s="3">
        <f>IF(ISNUMBER('Population size data'!M61),'Population size data'!M61/6,"")</f>
        <v>66.666666666666671</v>
      </c>
      <c r="N60" s="3">
        <f>IF(ISNUMBER('Population size data'!N61),'Population size data'!N61/6,"")</f>
        <v>93.666666666666671</v>
      </c>
      <c r="O60" s="3">
        <f>IF(ISNUMBER('Population size data'!O61),'Population size data'!O61/6,"")</f>
        <v>181.5</v>
      </c>
      <c r="P60" s="12"/>
      <c r="Q60" s="12"/>
      <c r="R60" s="3">
        <f>IF(ISNUMBER('Population size data'!R61),'Population size data'!R61/6,"")</f>
        <v>242</v>
      </c>
      <c r="S60" s="3">
        <f>IF(ISNUMBER('Population size data'!S61),'Population size data'!S61/6,"")</f>
        <v>312.58333333333331</v>
      </c>
      <c r="T60" s="3">
        <f>IF(ISNUMBER('Population size data'!T61),'Population size data'!T61/6,"")</f>
        <v>413.41666666666669</v>
      </c>
      <c r="U60" s="3" t="str">
        <f>IF(ISNUMBER('Population size data'!U61),'Population size data'!U61/6,"")</f>
        <v/>
      </c>
      <c r="V60" s="3">
        <f>IF(ISNUMBER('Population size data'!V61),'Population size data'!V61/6,"")</f>
        <v>302.5</v>
      </c>
    </row>
    <row r="61" spans="1:22" x14ac:dyDescent="0.3">
      <c r="A61" t="s">
        <v>60</v>
      </c>
      <c r="B61" t="s">
        <v>107</v>
      </c>
      <c r="C61" s="7">
        <v>31</v>
      </c>
      <c r="D61" s="3">
        <f>IF(ISNUMBER('Population size data'!D62),'Population size data'!D62/6,"")</f>
        <v>8.3333333333333339</v>
      </c>
      <c r="E61" s="3">
        <f>IF(ISNUMBER('Population size data'!E62),'Population size data'!E62/6,"")</f>
        <v>2.5833333333333335</v>
      </c>
      <c r="F61" s="3">
        <f>IF(ISNUMBER('Population size data'!F62),'Population size data'!F62/6,"")</f>
        <v>5.833333333333333</v>
      </c>
      <c r="G61" s="3">
        <f>IF(ISNUMBER('Population size data'!G62),'Population size data'!G62/6,"")</f>
        <v>6.916666666666667</v>
      </c>
      <c r="H61" s="3">
        <f>IF(ISNUMBER('Population size data'!H62),'Population size data'!H62/6,"")</f>
        <v>8.4166666666666661</v>
      </c>
      <c r="I61" s="3">
        <f>IF(ISNUMBER('Population size data'!I62),'Population size data'!I62/6,"")</f>
        <v>8.1666666666666661</v>
      </c>
      <c r="J61" s="3">
        <f>IF(ISNUMBER('Population size data'!J62),'Population size data'!J62/6,"")</f>
        <v>10.333333333333334</v>
      </c>
      <c r="K61" s="3">
        <f>IF(ISNUMBER('Population size data'!K62),'Population size data'!K62/6,"")</f>
        <v>18.583333333333332</v>
      </c>
      <c r="L61" s="3">
        <f>IF(ISNUMBER('Population size data'!L62),'Population size data'!L62/6,"")</f>
        <v>36.333333333333336</v>
      </c>
      <c r="M61" s="3">
        <f>IF(ISNUMBER('Population size data'!M62),'Population size data'!M62/6,"")</f>
        <v>59.166666666666664</v>
      </c>
      <c r="N61" s="3">
        <f>IF(ISNUMBER('Population size data'!N62),'Population size data'!N62/6,"")</f>
        <v>201.66666666666666</v>
      </c>
      <c r="O61" s="3">
        <f>IF(ISNUMBER('Population size data'!O62),'Population size data'!O62/6,"")</f>
        <v>131.08333333333334</v>
      </c>
      <c r="P61" s="12"/>
      <c r="Q61" s="12"/>
      <c r="R61" s="3">
        <f>IF(ISNUMBER('Population size data'!R62),'Population size data'!R62/6,"")</f>
        <v>322.66666666666669</v>
      </c>
      <c r="S61" s="3">
        <f>IF(ISNUMBER('Population size data'!S62),'Population size data'!S62/6,"")</f>
        <v>352.91666666666669</v>
      </c>
      <c r="T61" s="3">
        <f>IF(ISNUMBER('Population size data'!T62),'Population size data'!T62/6,"")</f>
        <v>393.25</v>
      </c>
      <c r="U61" s="3" t="str">
        <f>IF(ISNUMBER('Population size data'!U62),'Population size data'!U62/6,"")</f>
        <v/>
      </c>
      <c r="V61" s="3">
        <f>IF(ISNUMBER('Population size data'!V62),'Population size data'!V62/6,"")</f>
        <v>252.08333333333334</v>
      </c>
    </row>
    <row r="62" spans="1:22" x14ac:dyDescent="0.3">
      <c r="A62" t="s">
        <v>61</v>
      </c>
      <c r="B62" t="s">
        <v>107</v>
      </c>
      <c r="C62" s="7">
        <v>31</v>
      </c>
      <c r="D62" s="3">
        <f>IF(ISNUMBER('Population size data'!D63),'Population size data'!D63/6,"")</f>
        <v>8.3333333333333339</v>
      </c>
      <c r="E62" s="3">
        <f>IF(ISNUMBER('Population size data'!E63),'Population size data'!E63/6,"")</f>
        <v>3.3333333333333335</v>
      </c>
      <c r="F62" s="3">
        <f>IF(ISNUMBER('Population size data'!F63),'Population size data'!F63/6,"")</f>
        <v>9.1666666666666661</v>
      </c>
      <c r="G62" s="3">
        <f>IF(ISNUMBER('Population size data'!G63),'Population size data'!G63/6,"")</f>
        <v>9.9166666666666661</v>
      </c>
      <c r="H62" s="3">
        <f>IF(ISNUMBER('Population size data'!H63),'Population size data'!H63/6,"")</f>
        <v>9.0833333333333339</v>
      </c>
      <c r="I62" s="3">
        <f>IF(ISNUMBER('Population size data'!I63),'Population size data'!I63/6,"")</f>
        <v>8.0833333333333339</v>
      </c>
      <c r="J62" s="3">
        <f>IF(ISNUMBER('Population size data'!J63),'Population size data'!J63/6,"")</f>
        <v>7.833333333333333</v>
      </c>
      <c r="K62" s="3">
        <f>IF(ISNUMBER('Population size data'!K63),'Population size data'!K63/6,"")</f>
        <v>5.166666666666667</v>
      </c>
      <c r="L62" s="3">
        <f>IF(ISNUMBER('Population size data'!L63),'Population size data'!L63/6,"")</f>
        <v>5.583333333333333</v>
      </c>
      <c r="M62" s="3">
        <f>IF(ISNUMBER('Population size data'!M63),'Population size data'!M63/6,"")</f>
        <v>3.6666666666666665</v>
      </c>
      <c r="N62" s="3">
        <f>IF(ISNUMBER('Population size data'!N63),'Population size data'!N63/6,"")</f>
        <v>4.75</v>
      </c>
      <c r="O62" s="3">
        <f>IF(ISNUMBER('Population size data'!O63),'Population size data'!O63/6,"")</f>
        <v>5.083333333333333</v>
      </c>
      <c r="P62" s="12"/>
      <c r="Q62" s="12"/>
      <c r="R62" s="3">
        <f>IF(ISNUMBER('Population size data'!R63),'Population size data'!R63/6,"")</f>
        <v>9.3333333333333339</v>
      </c>
      <c r="S62" s="3">
        <f>IF(ISNUMBER('Population size data'!S63),'Population size data'!S63/6,"")</f>
        <v>13</v>
      </c>
      <c r="T62" s="3">
        <f>IF(ISNUMBER('Population size data'!T63),'Population size data'!T63/6,"")</f>
        <v>20</v>
      </c>
      <c r="U62" s="3" t="str">
        <f>IF(ISNUMBER('Population size data'!U63),'Population size data'!U63/6,"")</f>
        <v/>
      </c>
      <c r="V62" s="3">
        <f>IF(ISNUMBER('Population size data'!V63),'Population size data'!V63/6,"")</f>
        <v>30.25</v>
      </c>
    </row>
    <row r="63" spans="1:22" x14ac:dyDescent="0.3">
      <c r="A63" t="s">
        <v>62</v>
      </c>
      <c r="B63" t="s">
        <v>107</v>
      </c>
      <c r="C63" s="7">
        <v>31</v>
      </c>
      <c r="D63" s="3">
        <f>IF(ISNUMBER('Population size data'!D64),'Population size data'!D64/6,"")</f>
        <v>8.3333333333333339</v>
      </c>
      <c r="E63" s="3">
        <f>IF(ISNUMBER('Population size data'!E64),'Population size data'!E64/6,"")</f>
        <v>3.8333333333333335</v>
      </c>
      <c r="F63" s="3">
        <f>IF(ISNUMBER('Population size data'!F64),'Population size data'!F64/6,"")</f>
        <v>9.25</v>
      </c>
      <c r="G63" s="3">
        <f>IF(ISNUMBER('Population size data'!G64),'Population size data'!G64/6,"")</f>
        <v>9</v>
      </c>
      <c r="H63" s="3">
        <f>IF(ISNUMBER('Population size data'!H64),'Population size data'!H64/6,"")</f>
        <v>9.1666666666666661</v>
      </c>
      <c r="I63" s="3">
        <f>IF(ISNUMBER('Population size data'!I64),'Population size data'!I64/6,"")</f>
        <v>9</v>
      </c>
      <c r="J63" s="3">
        <f>IF(ISNUMBER('Population size data'!J64),'Population size data'!J64/6,"")</f>
        <v>7.583333333333333</v>
      </c>
      <c r="K63" s="3">
        <f>IF(ISNUMBER('Population size data'!K64),'Population size data'!K64/6,"")</f>
        <v>4.166666666666667</v>
      </c>
      <c r="L63" s="3">
        <f>IF(ISNUMBER('Population size data'!L64),'Population size data'!L64/6,"")</f>
        <v>5.5</v>
      </c>
      <c r="M63" s="3">
        <f>IF(ISNUMBER('Population size data'!M64),'Population size data'!M64/6,"")</f>
        <v>4.5</v>
      </c>
      <c r="N63" s="3">
        <f>IF(ISNUMBER('Population size data'!N64),'Population size data'!N64/6,"")</f>
        <v>4.583333333333333</v>
      </c>
      <c r="O63" s="3">
        <f>IF(ISNUMBER('Population size data'!O64),'Population size data'!O64/6,"")</f>
        <v>3.9166666666666665</v>
      </c>
      <c r="P63" s="12"/>
      <c r="Q63" s="12"/>
      <c r="R63" s="3">
        <f>IF(ISNUMBER('Population size data'!R64),'Population size data'!R64/6,"")</f>
        <v>9.1666666666666661</v>
      </c>
      <c r="S63" s="3">
        <f>IF(ISNUMBER('Population size data'!S64),'Population size data'!S64/6,"")</f>
        <v>13.666666666666666</v>
      </c>
      <c r="T63" s="3">
        <f>IF(ISNUMBER('Population size data'!T64),'Population size data'!T64/6,"")</f>
        <v>16.333333333333332</v>
      </c>
      <c r="U63" s="3" t="str">
        <f>IF(ISNUMBER('Population size data'!U64),'Population size data'!U64/6,"")</f>
        <v/>
      </c>
      <c r="V63" s="3">
        <f>IF(ISNUMBER('Population size data'!V64),'Population size data'!V64/6,"")</f>
        <v>50.416666666666664</v>
      </c>
    </row>
    <row r="64" spans="1:22" s="9" customFormat="1" x14ac:dyDescent="0.3">
      <c r="C64" s="1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2"/>
      <c r="Q64" s="12"/>
      <c r="R64" s="3"/>
      <c r="S64" s="3"/>
      <c r="T64" s="3"/>
      <c r="U64" s="3"/>
      <c r="V64" s="3"/>
    </row>
    <row r="65" spans="1:22" x14ac:dyDescent="0.3">
      <c r="A65" s="22" t="s">
        <v>112</v>
      </c>
      <c r="B65" s="22"/>
      <c r="C65" s="22"/>
      <c r="D65" s="22"/>
      <c r="E65" s="22"/>
      <c r="F65" s="22"/>
    </row>
    <row r="66" spans="1:22" s="4" customFormat="1" x14ac:dyDescent="0.3">
      <c r="A66" s="10"/>
      <c r="B66" s="10"/>
      <c r="C66" s="10"/>
      <c r="D66" s="21" t="s">
        <v>104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s="4" customFormat="1" x14ac:dyDescent="0.3">
      <c r="A67" s="8" t="s">
        <v>0</v>
      </c>
      <c r="B67" s="8" t="s">
        <v>106</v>
      </c>
      <c r="C67" s="11" t="s">
        <v>103</v>
      </c>
      <c r="D67" s="11">
        <v>0</v>
      </c>
      <c r="E67" s="11">
        <v>1</v>
      </c>
      <c r="F67" s="11">
        <v>2</v>
      </c>
      <c r="G67" s="11">
        <v>3</v>
      </c>
      <c r="H67" s="11">
        <v>4</v>
      </c>
      <c r="I67" s="11">
        <v>5</v>
      </c>
      <c r="J67" s="11">
        <v>6</v>
      </c>
      <c r="K67" s="11">
        <v>7</v>
      </c>
      <c r="L67" s="11">
        <v>8</v>
      </c>
      <c r="M67" s="11">
        <v>9</v>
      </c>
      <c r="N67" s="11">
        <v>10</v>
      </c>
      <c r="O67" s="11">
        <v>11</v>
      </c>
      <c r="P67" s="11">
        <v>12</v>
      </c>
      <c r="Q67" s="11">
        <v>13</v>
      </c>
      <c r="R67" s="11">
        <v>14</v>
      </c>
      <c r="S67" s="11">
        <v>15</v>
      </c>
      <c r="T67" s="11">
        <v>16</v>
      </c>
      <c r="U67" s="11">
        <v>17</v>
      </c>
      <c r="V67" s="11">
        <v>18</v>
      </c>
    </row>
    <row r="68" spans="1:22" x14ac:dyDescent="0.3">
      <c r="A68" t="s">
        <v>3</v>
      </c>
      <c r="B68" t="s">
        <v>63</v>
      </c>
      <c r="C68" s="7">
        <v>17</v>
      </c>
      <c r="D68" s="3">
        <f>IF(ISNUMBER('Population size data'!D69),'Population size data'!D69/6,"")</f>
        <v>0.33333333333333331</v>
      </c>
      <c r="E68" s="3" t="str">
        <f>IF(ISNUMBER('Population size data'!E69),'Population size data'!E69/6,"")</f>
        <v/>
      </c>
      <c r="F68" s="3">
        <f>IF(ISNUMBER('Population size data'!F69),'Population size data'!F69/6,"")</f>
        <v>0.33333333333333331</v>
      </c>
      <c r="G68" s="3" t="str">
        <f>IF(ISNUMBER('Population size data'!G69),'Population size data'!G69/6,"")</f>
        <v/>
      </c>
      <c r="H68" s="3">
        <f>IF(ISNUMBER('Population size data'!H69),'Population size data'!H69/6,"")</f>
        <v>0.16666666666666666</v>
      </c>
      <c r="I68" s="3" t="str">
        <f>IF(ISNUMBER('Population size data'!I69),'Population size data'!I69/6,"")</f>
        <v/>
      </c>
      <c r="J68" s="3">
        <f>IF(ISNUMBER('Population size data'!J69),'Population size data'!J69/6,"")</f>
        <v>1.5833333333333333</v>
      </c>
      <c r="K68" s="3">
        <f>IF(ISNUMBER('Population size data'!K69),'Population size data'!K69/6,"")</f>
        <v>2.5</v>
      </c>
      <c r="L68" s="3">
        <f>IF(ISNUMBER('Population size data'!L69),'Population size data'!L69/6,"")</f>
        <v>4.5</v>
      </c>
      <c r="M68" s="3">
        <f>IF(ISNUMBER('Population size data'!M69),'Population size data'!M69/6,"")</f>
        <v>9.0833333333333339</v>
      </c>
      <c r="N68" s="3">
        <f>IF(ISNUMBER('Population size data'!N69),'Population size data'!N69/6,"")</f>
        <v>20.166666666666668</v>
      </c>
      <c r="O68" s="3">
        <f>IF(ISNUMBER('Population size data'!O69),'Population size data'!O69/6,"")</f>
        <v>26.416666666666668</v>
      </c>
      <c r="P68" s="3" t="str">
        <f>IF(ISNUMBER('Population size data'!P69),'Population size data'!P69/6,"")</f>
        <v/>
      </c>
      <c r="Q68" s="3">
        <f>IF(ISNUMBER('Population size data'!Q69),'Population size data'!Q69/6,"")</f>
        <v>25.666666666666668</v>
      </c>
      <c r="R68" s="3">
        <f>IF(ISNUMBER('Population size data'!R69),'Population size data'!R69/6,"")</f>
        <v>24.583333333333332</v>
      </c>
      <c r="S68" s="3">
        <f>IF(ISNUMBER('Population size data'!S69),'Population size data'!S69/6,"")</f>
        <v>23.5</v>
      </c>
      <c r="T68" s="3">
        <f>IF(ISNUMBER('Population size data'!T69),'Population size data'!T69/6,"")</f>
        <v>23</v>
      </c>
      <c r="U68" s="3" t="str">
        <f>IF(ISNUMBER('Population size data'!U69),'Population size data'!U69/6,"")</f>
        <v/>
      </c>
      <c r="V68" s="3">
        <f>IF(ISNUMBER('Population size data'!V69),'Population size data'!V69/6,"")</f>
        <v>9.5</v>
      </c>
    </row>
    <row r="69" spans="1:22" x14ac:dyDescent="0.3">
      <c r="A69" t="s">
        <v>4</v>
      </c>
      <c r="B69" t="s">
        <v>63</v>
      </c>
      <c r="C69" s="7">
        <v>17</v>
      </c>
      <c r="D69" s="3">
        <f>IF(ISNUMBER('Population size data'!D70),'Population size data'!D70/6,"")</f>
        <v>0.33333333333333331</v>
      </c>
      <c r="E69" s="3" t="str">
        <f>IF(ISNUMBER('Population size data'!E70),'Population size data'!E70/6,"")</f>
        <v/>
      </c>
      <c r="F69" s="3">
        <f>IF(ISNUMBER('Population size data'!F70),'Population size data'!F70/6,"")</f>
        <v>0.5</v>
      </c>
      <c r="G69" s="3" t="str">
        <f>IF(ISNUMBER('Population size data'!G70),'Population size data'!G70/6,"")</f>
        <v/>
      </c>
      <c r="H69" s="3">
        <f>IF(ISNUMBER('Population size data'!H70),'Population size data'!H70/6,"")</f>
        <v>1</v>
      </c>
      <c r="I69" s="3" t="str">
        <f>IF(ISNUMBER('Population size data'!I70),'Population size data'!I70/6,"")</f>
        <v/>
      </c>
      <c r="J69" s="3">
        <f>IF(ISNUMBER('Population size data'!J70),'Population size data'!J70/6,"")</f>
        <v>3.4166666666666665</v>
      </c>
      <c r="K69" s="3">
        <f>IF(ISNUMBER('Population size data'!K70),'Population size data'!K70/6,"")</f>
        <v>5.333333333333333</v>
      </c>
      <c r="L69" s="3">
        <f>IF(ISNUMBER('Population size data'!L70),'Population size data'!L70/6,"")</f>
        <v>9.9166666666666661</v>
      </c>
      <c r="M69" s="3">
        <f>IF(ISNUMBER('Population size data'!M70),'Population size data'!M70/6,"")</f>
        <v>16.666666666666668</v>
      </c>
      <c r="N69" s="3">
        <f>IF(ISNUMBER('Population size data'!N70),'Population size data'!N70/6,"")</f>
        <v>16.5</v>
      </c>
      <c r="O69" s="3">
        <f>IF(ISNUMBER('Population size data'!O70),'Population size data'!O70/6,"")</f>
        <v>15.083333333333334</v>
      </c>
      <c r="P69" s="3">
        <f>IF(ISNUMBER('Population size data'!P70),'Population size data'!P70/6,"")</f>
        <v>19.833333333333332</v>
      </c>
      <c r="Q69" s="3">
        <f>IF(ISNUMBER('Population size data'!Q70),'Population size data'!Q70/6,"")</f>
        <v>17</v>
      </c>
      <c r="R69" s="3">
        <f>IF(ISNUMBER('Population size data'!R70),'Population size data'!R70/6,"")</f>
        <v>15.083333333333334</v>
      </c>
      <c r="S69" s="3">
        <f>IF(ISNUMBER('Population size data'!S70),'Population size data'!S70/6,"")</f>
        <v>13.666666666666666</v>
      </c>
      <c r="T69" s="3">
        <f>IF(ISNUMBER('Population size data'!T70),'Population size data'!T70/6,"")</f>
        <v>9.9166666666666661</v>
      </c>
      <c r="U69" s="3" t="str">
        <f>IF(ISNUMBER('Population size data'!U70),'Population size data'!U70/6,"")</f>
        <v/>
      </c>
      <c r="V69" s="3">
        <f>IF(ISNUMBER('Population size data'!V70),'Population size data'!V70/6,"")</f>
        <v>0</v>
      </c>
    </row>
    <row r="70" spans="1:22" x14ac:dyDescent="0.3">
      <c r="A70" s="2" t="s">
        <v>5</v>
      </c>
      <c r="B70" s="2" t="s">
        <v>63</v>
      </c>
      <c r="C70" s="14">
        <v>17</v>
      </c>
      <c r="D70" s="15">
        <f>IF(ISNUMBER('Population size data'!D71),'Population size data'!D71/6,"")</f>
        <v>0.33333333333333331</v>
      </c>
      <c r="E70" s="15" t="str">
        <f>IF(ISNUMBER('Population size data'!E71),'Population size data'!E71/6,"")</f>
        <v/>
      </c>
      <c r="F70" s="15">
        <f>IF(ISNUMBER('Population size data'!F71),'Population size data'!F71/6,"")</f>
        <v>0.33333333333333331</v>
      </c>
      <c r="G70" s="15" t="str">
        <f>IF(ISNUMBER('Population size data'!G71),'Population size data'!G71/6,"")</f>
        <v/>
      </c>
      <c r="H70" s="15">
        <f>IF(ISNUMBER('Population size data'!H71),'Population size data'!H71/6,"")</f>
        <v>0.16666666666666666</v>
      </c>
      <c r="I70" s="15" t="str">
        <f>IF(ISNUMBER('Population size data'!I71),'Population size data'!I71/6,"")</f>
        <v/>
      </c>
      <c r="J70" s="15">
        <f>IF(ISNUMBER('Population size data'!J71),'Population size data'!J71/6,"")</f>
        <v>0</v>
      </c>
      <c r="K70" s="15">
        <f>IF(ISNUMBER('Population size data'!K71),'Population size data'!K71/6,"")</f>
        <v>0</v>
      </c>
      <c r="L70" s="15">
        <f>IF(ISNUMBER('Population size data'!L71),'Population size data'!L71/6,"")</f>
        <v>0.16666666666666666</v>
      </c>
      <c r="M70" s="15">
        <f>IF(ISNUMBER('Population size data'!M71),'Population size data'!M71/6,"")</f>
        <v>0.16666666666666666</v>
      </c>
      <c r="N70" s="15">
        <f>IF(ISNUMBER('Population size data'!N71),'Population size data'!N71/6,"")</f>
        <v>0</v>
      </c>
      <c r="O70" s="15">
        <f>IF(ISNUMBER('Population size data'!O71),'Population size data'!O71/6,"")</f>
        <v>0</v>
      </c>
      <c r="P70" s="15">
        <f>IF(ISNUMBER('Population size data'!P71),'Population size data'!P71/6,"")</f>
        <v>0</v>
      </c>
      <c r="Q70" s="15">
        <f>IF(ISNUMBER('Population size data'!Q71),'Population size data'!Q71/6,"")</f>
        <v>0</v>
      </c>
      <c r="R70" s="15">
        <f>IF(ISNUMBER('Population size data'!R71),'Population size data'!R71/6,"")</f>
        <v>0</v>
      </c>
      <c r="S70" s="15">
        <f>IF(ISNUMBER('Population size data'!S71),'Population size data'!S71/6,"")</f>
        <v>0</v>
      </c>
      <c r="T70" s="15">
        <f>IF(ISNUMBER('Population size data'!T71),'Population size data'!T71/6,"")</f>
        <v>0</v>
      </c>
      <c r="U70" s="15" t="str">
        <f>IF(ISNUMBER('Population size data'!U71),'Population size data'!U71/6,"")</f>
        <v/>
      </c>
      <c r="V70" s="15">
        <f>IF(ISNUMBER('Population size data'!V71),'Population size data'!V71/6,"")</f>
        <v>0</v>
      </c>
    </row>
    <row r="71" spans="1:22" x14ac:dyDescent="0.3">
      <c r="A71" t="s">
        <v>6</v>
      </c>
      <c r="B71" t="s">
        <v>63</v>
      </c>
      <c r="C71" s="7">
        <v>17</v>
      </c>
      <c r="D71" s="3">
        <f>IF(ISNUMBER('Population size data'!D72),'Population size data'!D72/6,"")</f>
        <v>0.33333333333333331</v>
      </c>
      <c r="E71" s="3" t="str">
        <f>IF(ISNUMBER('Population size data'!E72),'Population size data'!E72/6,"")</f>
        <v/>
      </c>
      <c r="F71" s="3">
        <f>IF(ISNUMBER('Population size data'!F72),'Population size data'!F72/6,"")</f>
        <v>0.5</v>
      </c>
      <c r="G71" s="3" t="str">
        <f>IF(ISNUMBER('Population size data'!G72),'Population size data'!G72/6,"")</f>
        <v/>
      </c>
      <c r="H71" s="3">
        <f>IF(ISNUMBER('Population size data'!H72),'Population size data'!H72/6,"")</f>
        <v>0.83333333333333337</v>
      </c>
      <c r="I71" s="3" t="str">
        <f>IF(ISNUMBER('Population size data'!I72),'Population size data'!I72/6,"")</f>
        <v/>
      </c>
      <c r="J71" s="3">
        <f>IF(ISNUMBER('Population size data'!J72),'Population size data'!J72/6,"")</f>
        <v>4.166666666666667</v>
      </c>
      <c r="K71" s="3">
        <f>IF(ISNUMBER('Population size data'!K72),'Population size data'!K72/6,"")</f>
        <v>6.5</v>
      </c>
      <c r="L71" s="3">
        <f>IF(ISNUMBER('Population size data'!L72),'Population size data'!L72/6,"")</f>
        <v>10</v>
      </c>
      <c r="M71" s="3">
        <f>IF(ISNUMBER('Population size data'!M72),'Population size data'!M72/6,"")</f>
        <v>10.583333333333334</v>
      </c>
      <c r="N71" s="3">
        <f>IF(ISNUMBER('Population size data'!N72),'Population size data'!N72/6,"")</f>
        <v>10.916666666666666</v>
      </c>
      <c r="O71" s="3">
        <f>IF(ISNUMBER('Population size data'!O72),'Population size data'!O72/6,"")</f>
        <v>8.1666666666666661</v>
      </c>
      <c r="P71" s="3">
        <f>IF(ISNUMBER('Population size data'!P72),'Population size data'!P72/6,"")</f>
        <v>10.5</v>
      </c>
      <c r="Q71" s="3">
        <f>IF(ISNUMBER('Population size data'!Q72),'Population size data'!Q72/6,"")</f>
        <v>8.8333333333333339</v>
      </c>
      <c r="R71" s="3">
        <f>IF(ISNUMBER('Population size data'!R72),'Population size data'!R72/6,"")</f>
        <v>5.75</v>
      </c>
      <c r="S71" s="3">
        <f>IF(ISNUMBER('Population size data'!S72),'Population size data'!S72/6,"")</f>
        <v>2.8333333333333335</v>
      </c>
      <c r="T71" s="3">
        <f>IF(ISNUMBER('Population size data'!T72),'Population size data'!T72/6,"")</f>
        <v>0</v>
      </c>
      <c r="U71" s="3" t="str">
        <f>IF(ISNUMBER('Population size data'!U72),'Population size data'!U72/6,"")</f>
        <v/>
      </c>
      <c r="V71" s="3">
        <f>IF(ISNUMBER('Population size data'!V72),'Population size data'!V72/6,"")</f>
        <v>0</v>
      </c>
    </row>
    <row r="72" spans="1:22" x14ac:dyDescent="0.3">
      <c r="A72" t="s">
        <v>7</v>
      </c>
      <c r="B72" t="s">
        <v>63</v>
      </c>
      <c r="C72" s="7">
        <v>17</v>
      </c>
      <c r="D72" s="3">
        <f>IF(ISNUMBER('Population size data'!D73),'Population size data'!D73/6,"")</f>
        <v>0.33333333333333331</v>
      </c>
      <c r="E72" s="3" t="str">
        <f>IF(ISNUMBER('Population size data'!E73),'Population size data'!E73/6,"")</f>
        <v/>
      </c>
      <c r="F72" s="3">
        <f>IF(ISNUMBER('Population size data'!F73),'Population size data'!F73/6,"")</f>
        <v>0.33333333333333331</v>
      </c>
      <c r="G72" s="3" t="str">
        <f>IF(ISNUMBER('Population size data'!G73),'Population size data'!G73/6,"")</f>
        <v/>
      </c>
      <c r="H72" s="3">
        <f>IF(ISNUMBER('Population size data'!H73),'Population size data'!H73/6,"")</f>
        <v>0.5</v>
      </c>
      <c r="I72" s="3" t="str">
        <f>IF(ISNUMBER('Population size data'!I73),'Population size data'!I73/6,"")</f>
        <v/>
      </c>
      <c r="J72" s="3">
        <f>IF(ISNUMBER('Population size data'!J73),'Population size data'!J73/6,"")</f>
        <v>2.0833333333333335</v>
      </c>
      <c r="K72" s="3">
        <f>IF(ISNUMBER('Population size data'!K73),'Population size data'!K73/6,"")</f>
        <v>4.25</v>
      </c>
      <c r="L72" s="3">
        <f>IF(ISNUMBER('Population size data'!L73),'Population size data'!L73/6,"")</f>
        <v>8.3333333333333339</v>
      </c>
      <c r="M72" s="3">
        <f>IF(ISNUMBER('Population size data'!M73),'Population size data'!M73/6,"")</f>
        <v>19.166666666666668</v>
      </c>
      <c r="N72" s="3">
        <f>IF(ISNUMBER('Population size data'!N73),'Population size data'!N73/6,"")</f>
        <v>17.25</v>
      </c>
      <c r="O72" s="3">
        <f>IF(ISNUMBER('Population size data'!O73),'Population size data'!O73/6,"")</f>
        <v>18.666666666666668</v>
      </c>
      <c r="P72" s="3">
        <f>IF(ISNUMBER('Population size data'!P73),'Population size data'!P73/6,"")</f>
        <v>18.333333333333332</v>
      </c>
      <c r="Q72" s="3">
        <f>IF(ISNUMBER('Population size data'!Q73),'Population size data'!Q73/6,"")</f>
        <v>14.833333333333334</v>
      </c>
      <c r="R72" s="3">
        <f>IF(ISNUMBER('Population size data'!R73),'Population size data'!R73/6,"")</f>
        <v>17.083333333333332</v>
      </c>
      <c r="S72" s="3">
        <f>IF(ISNUMBER('Population size data'!S73),'Population size data'!S73/6,"")</f>
        <v>16.416666666666668</v>
      </c>
      <c r="T72" s="3">
        <f>IF(ISNUMBER('Population size data'!T73),'Population size data'!T73/6,"")</f>
        <v>13.25</v>
      </c>
      <c r="U72" s="3" t="str">
        <f>IF(ISNUMBER('Population size data'!U73),'Population size data'!U73/6,"")</f>
        <v/>
      </c>
      <c r="V72" s="3">
        <f>IF(ISNUMBER('Population size data'!V73),'Population size data'!V73/6,"")</f>
        <v>0</v>
      </c>
    </row>
    <row r="73" spans="1:22" x14ac:dyDescent="0.3">
      <c r="A73" t="s">
        <v>8</v>
      </c>
      <c r="B73" t="s">
        <v>63</v>
      </c>
      <c r="C73" s="7">
        <v>17</v>
      </c>
      <c r="D73" s="3">
        <f>IF(ISNUMBER('Population size data'!D74),'Population size data'!D74/6,"")</f>
        <v>0.33333333333333331</v>
      </c>
      <c r="E73" s="3" t="str">
        <f>IF(ISNUMBER('Population size data'!E74),'Population size data'!E74/6,"")</f>
        <v/>
      </c>
      <c r="F73" s="3">
        <f>IF(ISNUMBER('Population size data'!F74),'Population size data'!F74/6,"")</f>
        <v>0.16666666666666666</v>
      </c>
      <c r="G73" s="3" t="str">
        <f>IF(ISNUMBER('Population size data'!G74),'Population size data'!G74/6,"")</f>
        <v/>
      </c>
      <c r="H73" s="3">
        <f>IF(ISNUMBER('Population size data'!H74),'Population size data'!H74/6,"")</f>
        <v>1</v>
      </c>
      <c r="I73" s="3" t="str">
        <f>IF(ISNUMBER('Population size data'!I74),'Population size data'!I74/6,"")</f>
        <v/>
      </c>
      <c r="J73" s="3">
        <f>IF(ISNUMBER('Population size data'!J74),'Population size data'!J74/6,"")</f>
        <v>1.8333333333333333</v>
      </c>
      <c r="K73" s="3">
        <f>IF(ISNUMBER('Population size data'!K74),'Population size data'!K74/6,"")</f>
        <v>1.5</v>
      </c>
      <c r="L73" s="3">
        <f>IF(ISNUMBER('Population size data'!L74),'Population size data'!L74/6,"")</f>
        <v>4.5</v>
      </c>
      <c r="M73" s="3">
        <f>IF(ISNUMBER('Population size data'!M74),'Population size data'!M74/6,"")</f>
        <v>7.5666666666666664</v>
      </c>
      <c r="N73" s="3">
        <f>IF(ISNUMBER('Population size data'!N74),'Population size data'!N74/6,"")</f>
        <v>12.666666666666666</v>
      </c>
      <c r="O73" s="3">
        <f>IF(ISNUMBER('Population size data'!O74),'Population size data'!O74/6,"")</f>
        <v>19.75</v>
      </c>
      <c r="P73" s="3">
        <f>IF(ISNUMBER('Population size data'!P74),'Population size data'!P74/6,"")</f>
        <v>21</v>
      </c>
      <c r="Q73" s="3">
        <f>IF(ISNUMBER('Population size data'!Q74),'Population size data'!Q74/6,"")</f>
        <v>19.833333333333332</v>
      </c>
      <c r="R73" s="3">
        <f>IF(ISNUMBER('Population size data'!R74),'Population size data'!R74/6,"")</f>
        <v>20.166666666666668</v>
      </c>
      <c r="S73" s="3">
        <f>IF(ISNUMBER('Population size data'!S74),'Population size data'!S74/6,"")</f>
        <v>21.583333333333332</v>
      </c>
      <c r="T73" s="3">
        <f>IF(ISNUMBER('Population size data'!T74),'Population size data'!T74/6,"")</f>
        <v>20.166666666666668</v>
      </c>
      <c r="U73" s="3" t="str">
        <f>IF(ISNUMBER('Population size data'!U74),'Population size data'!U74/6,"")</f>
        <v/>
      </c>
      <c r="V73" s="3">
        <f>IF(ISNUMBER('Population size data'!V74),'Population size data'!V74/6,"")</f>
        <v>2.8333333333333335</v>
      </c>
    </row>
    <row r="74" spans="1:22" x14ac:dyDescent="0.3">
      <c r="A74" t="s">
        <v>9</v>
      </c>
      <c r="B74" t="s">
        <v>63</v>
      </c>
      <c r="C74" s="7">
        <v>20</v>
      </c>
      <c r="D74" s="3">
        <f>IF(ISNUMBER('Population size data'!D75),'Population size data'!D75/6,"")</f>
        <v>0.33333333333333331</v>
      </c>
      <c r="E74" s="3" t="str">
        <f>IF(ISNUMBER('Population size data'!E75),'Population size data'!E75/6,"")</f>
        <v/>
      </c>
      <c r="F74" s="3">
        <f>IF(ISNUMBER('Population size data'!F75),'Population size data'!F75/6,"")</f>
        <v>0.33333333333333331</v>
      </c>
      <c r="G74" s="3" t="str">
        <f>IF(ISNUMBER('Population size data'!G75),'Population size data'!G75/6,"")</f>
        <v/>
      </c>
      <c r="H74" s="3">
        <f>IF(ISNUMBER('Population size data'!H75),'Population size data'!H75/6,"")</f>
        <v>0.16666666666666666</v>
      </c>
      <c r="I74" s="3" t="str">
        <f>IF(ISNUMBER('Population size data'!I75),'Population size data'!I75/6,"")</f>
        <v/>
      </c>
      <c r="J74" s="3">
        <f>IF(ISNUMBER('Population size data'!J75),'Population size data'!J75/6,"")</f>
        <v>1</v>
      </c>
      <c r="K74" s="3">
        <f>IF(ISNUMBER('Population size data'!K75),'Population size data'!K75/6,"")</f>
        <v>3.75</v>
      </c>
      <c r="L74" s="3">
        <f>IF(ISNUMBER('Population size data'!L75),'Population size data'!L75/6,"")</f>
        <v>10.666666666666666</v>
      </c>
      <c r="M74" s="3">
        <f>IF(ISNUMBER('Population size data'!M75),'Population size data'!M75/6,"")</f>
        <v>23.416666666666668</v>
      </c>
      <c r="N74" s="3">
        <f>IF(ISNUMBER('Population size data'!N75),'Population size data'!N75/6,"")</f>
        <v>43.083333333333336</v>
      </c>
      <c r="O74" s="3">
        <f>IF(ISNUMBER('Population size data'!O75),'Population size data'!O75/6,"")</f>
        <v>40.416666666666664</v>
      </c>
      <c r="P74" s="3" t="str">
        <f>IF(ISNUMBER('Population size data'!P75),'Population size data'!P75/6,"")</f>
        <v/>
      </c>
      <c r="Q74" s="3">
        <f>IF(ISNUMBER('Population size data'!Q75),'Population size data'!Q75/6,"")</f>
        <v>35</v>
      </c>
      <c r="R74" s="3">
        <f>IF(ISNUMBER('Population size data'!R75),'Population size data'!R75/6,"")</f>
        <v>31.416666666666668</v>
      </c>
      <c r="S74" s="3">
        <f>IF(ISNUMBER('Population size data'!S75),'Population size data'!S75/6,"")</f>
        <v>26.666666666666668</v>
      </c>
      <c r="T74" s="3">
        <f>IF(ISNUMBER('Population size data'!T75),'Population size data'!T75/6,"")</f>
        <v>9.8333333333333339</v>
      </c>
      <c r="U74" s="3" t="str">
        <f>IF(ISNUMBER('Population size data'!U75),'Population size data'!U75/6,"")</f>
        <v/>
      </c>
      <c r="V74" s="3">
        <f>IF(ISNUMBER('Population size data'!V75),'Population size data'!V75/6,"")</f>
        <v>0</v>
      </c>
    </row>
    <row r="75" spans="1:22" x14ac:dyDescent="0.3">
      <c r="A75" t="s">
        <v>10</v>
      </c>
      <c r="B75" t="s">
        <v>63</v>
      </c>
      <c r="C75" s="7">
        <v>20</v>
      </c>
      <c r="D75" s="3">
        <f>IF(ISNUMBER('Population size data'!D76),'Population size data'!D76/6,"")</f>
        <v>0.33333333333333331</v>
      </c>
      <c r="E75" s="3" t="str">
        <f>IF(ISNUMBER('Population size data'!E76),'Population size data'!E76/6,"")</f>
        <v/>
      </c>
      <c r="F75" s="3">
        <f>IF(ISNUMBER('Population size data'!F76),'Population size data'!F76/6,"")</f>
        <v>0.33333333333333331</v>
      </c>
      <c r="G75" s="3" t="str">
        <f>IF(ISNUMBER('Population size data'!G76),'Population size data'!G76/6,"")</f>
        <v/>
      </c>
      <c r="H75" s="3">
        <f>IF(ISNUMBER('Population size data'!H76),'Population size data'!H76/6,"")</f>
        <v>0.66666666666666663</v>
      </c>
      <c r="I75" s="3" t="str">
        <f>IF(ISNUMBER('Population size data'!I76),'Population size data'!I76/6,"")</f>
        <v/>
      </c>
      <c r="J75" s="3">
        <f>IF(ISNUMBER('Population size data'!J76),'Population size data'!J76/6,"")</f>
        <v>4.083333333333333</v>
      </c>
      <c r="K75" s="3">
        <f>IF(ISNUMBER('Population size data'!K76),'Population size data'!K76/6,"")</f>
        <v>10.416666666666666</v>
      </c>
      <c r="L75" s="3">
        <f>IF(ISNUMBER('Population size data'!L76),'Population size data'!L76/6,"")</f>
        <v>25.25</v>
      </c>
      <c r="M75" s="3">
        <f>IF(ISNUMBER('Population size data'!M76),'Population size data'!M76/6,"")</f>
        <v>32.25</v>
      </c>
      <c r="N75" s="3">
        <f>IF(ISNUMBER('Population size data'!N76),'Population size data'!N76/6,"")</f>
        <v>29.083333333333332</v>
      </c>
      <c r="O75" s="3">
        <f>IF(ISNUMBER('Population size data'!O76),'Population size data'!O76/6,"")</f>
        <v>19</v>
      </c>
      <c r="P75" s="3">
        <f>IF(ISNUMBER('Population size data'!P76),'Population size data'!P76/6,"")</f>
        <v>28.5</v>
      </c>
      <c r="Q75" s="3">
        <f>IF(ISNUMBER('Population size data'!Q76),'Population size data'!Q76/6,"")</f>
        <v>20.5</v>
      </c>
      <c r="R75" s="3">
        <f>IF(ISNUMBER('Population size data'!R76),'Population size data'!R76/6,"")</f>
        <v>10.75</v>
      </c>
      <c r="S75" s="3">
        <f>IF(ISNUMBER('Population size data'!S76),'Population size data'!S76/6,"")</f>
        <v>0</v>
      </c>
      <c r="T75" s="3">
        <f>IF(ISNUMBER('Population size data'!T76),'Population size data'!T76/6,"")</f>
        <v>0</v>
      </c>
      <c r="U75" s="3" t="str">
        <f>IF(ISNUMBER('Population size data'!U76),'Population size data'!U76/6,"")</f>
        <v/>
      </c>
      <c r="V75" s="3">
        <f>IF(ISNUMBER('Population size data'!V76),'Population size data'!V76/6,"")</f>
        <v>0</v>
      </c>
    </row>
    <row r="76" spans="1:22" x14ac:dyDescent="0.3">
      <c r="A76" t="s">
        <v>11</v>
      </c>
      <c r="B76" t="s">
        <v>63</v>
      </c>
      <c r="C76" s="7">
        <v>20</v>
      </c>
      <c r="D76" s="3">
        <f>IF(ISNUMBER('Population size data'!D77),'Population size data'!D77/6,"")</f>
        <v>0.33333333333333331</v>
      </c>
      <c r="E76" s="3" t="str">
        <f>IF(ISNUMBER('Population size data'!E77),'Population size data'!E77/6,"")</f>
        <v/>
      </c>
      <c r="F76" s="3">
        <f>IF(ISNUMBER('Population size data'!F77),'Population size data'!F77/6,"")</f>
        <v>0.66666666666666663</v>
      </c>
      <c r="G76" s="3" t="str">
        <f>IF(ISNUMBER('Population size data'!G77),'Population size data'!G77/6,"")</f>
        <v/>
      </c>
      <c r="H76" s="3">
        <f>IF(ISNUMBER('Population size data'!H77),'Population size data'!H77/6,"")</f>
        <v>2.75</v>
      </c>
      <c r="I76" s="3" t="str">
        <f>IF(ISNUMBER('Population size data'!I77),'Population size data'!I77/6,"")</f>
        <v/>
      </c>
      <c r="J76" s="3">
        <f>IF(ISNUMBER('Population size data'!J77),'Population size data'!J77/6,"")</f>
        <v>20.25</v>
      </c>
      <c r="K76" s="3">
        <f>IF(ISNUMBER('Population size data'!K77),'Population size data'!K77/6,"")</f>
        <v>15.916666666666666</v>
      </c>
      <c r="L76" s="3">
        <f>IF(ISNUMBER('Population size data'!L77),'Population size data'!L77/6,"")</f>
        <v>15.666666666666666</v>
      </c>
      <c r="M76" s="3">
        <f>IF(ISNUMBER('Population size data'!M77),'Population size data'!M77/6,"")</f>
        <v>10.416666666666666</v>
      </c>
      <c r="N76" s="3">
        <f>IF(ISNUMBER('Population size data'!N77),'Population size data'!N77/6,"")</f>
        <v>10.166666666666666</v>
      </c>
      <c r="O76" s="3">
        <f>IF(ISNUMBER('Population size data'!O77),'Population size data'!O77/6,"")</f>
        <v>8.4166666666666661</v>
      </c>
      <c r="P76" s="3">
        <f>IF(ISNUMBER('Population size data'!P77),'Population size data'!P77/6,"")</f>
        <v>1.1666666666666667</v>
      </c>
      <c r="Q76" s="3">
        <f>IF(ISNUMBER('Population size data'!Q77),'Population size data'!Q77/6,"")</f>
        <v>0</v>
      </c>
      <c r="R76" s="3">
        <f>IF(ISNUMBER('Population size data'!R77),'Population size data'!R77/6,"")</f>
        <v>0</v>
      </c>
      <c r="S76" s="3">
        <f>IF(ISNUMBER('Population size data'!S77),'Population size data'!S77/6,"")</f>
        <v>0</v>
      </c>
      <c r="T76" s="3">
        <f>IF(ISNUMBER('Population size data'!T77),'Population size data'!T77/6,"")</f>
        <v>0</v>
      </c>
      <c r="U76" s="3" t="str">
        <f>IF(ISNUMBER('Population size data'!U77),'Population size data'!U77/6,"")</f>
        <v/>
      </c>
      <c r="V76" s="3">
        <f>IF(ISNUMBER('Population size data'!V77),'Population size data'!V77/6,"")</f>
        <v>0</v>
      </c>
    </row>
    <row r="77" spans="1:22" x14ac:dyDescent="0.3">
      <c r="A77" t="s">
        <v>12</v>
      </c>
      <c r="B77" t="s">
        <v>63</v>
      </c>
      <c r="C77" s="7">
        <v>20</v>
      </c>
      <c r="D77" s="3">
        <f>IF(ISNUMBER('Population size data'!D78),'Population size data'!D78/6,"")</f>
        <v>0.33333333333333331</v>
      </c>
      <c r="E77" s="3" t="str">
        <f>IF(ISNUMBER('Population size data'!E78),'Population size data'!E78/6,"")</f>
        <v/>
      </c>
      <c r="F77" s="3">
        <f>IF(ISNUMBER('Population size data'!F78),'Population size data'!F78/6,"")</f>
        <v>0.33333333333333331</v>
      </c>
      <c r="G77" s="3" t="str">
        <f>IF(ISNUMBER('Population size data'!G78),'Population size data'!G78/6,"")</f>
        <v/>
      </c>
      <c r="H77" s="3">
        <f>IF(ISNUMBER('Population size data'!H78),'Population size data'!H78/6,"")</f>
        <v>0.16666666666666666</v>
      </c>
      <c r="I77" s="3" t="str">
        <f>IF(ISNUMBER('Population size data'!I78),'Population size data'!I78/6,"")</f>
        <v/>
      </c>
      <c r="J77" s="3">
        <f>IF(ISNUMBER('Population size data'!J78),'Population size data'!J78/6,"")</f>
        <v>1.1666666666666667</v>
      </c>
      <c r="K77" s="3">
        <f>IF(ISNUMBER('Population size data'!K78),'Population size data'!K78/6,"")</f>
        <v>2.9166666666666665</v>
      </c>
      <c r="L77" s="3">
        <f>IF(ISNUMBER('Population size data'!L78),'Population size data'!L78/6,"")</f>
        <v>7.833333333333333</v>
      </c>
      <c r="M77" s="3">
        <f>IF(ISNUMBER('Population size data'!M78),'Population size data'!M78/6,"")</f>
        <v>14.166666666666666</v>
      </c>
      <c r="N77" s="3">
        <f>IF(ISNUMBER('Population size data'!N78),'Population size data'!N78/6,"")</f>
        <v>28.833333333333332</v>
      </c>
      <c r="O77" s="3">
        <f>IF(ISNUMBER('Population size data'!O78),'Population size data'!O78/6,"")</f>
        <v>26.916666666666668</v>
      </c>
      <c r="P77" s="3">
        <f>IF(ISNUMBER('Population size data'!P78),'Population size data'!P78/6,"")</f>
        <v>26.666666666666668</v>
      </c>
      <c r="Q77" s="3">
        <f>IF(ISNUMBER('Population size data'!Q78),'Population size data'!Q78/6,"")</f>
        <v>21.333333333333332</v>
      </c>
      <c r="R77" s="3">
        <f>IF(ISNUMBER('Population size data'!R78),'Population size data'!R78/6,"")</f>
        <v>19.25</v>
      </c>
      <c r="S77" s="3">
        <f>IF(ISNUMBER('Population size data'!S78),'Population size data'!S78/6,"")</f>
        <v>16.583333333333332</v>
      </c>
      <c r="T77" s="3">
        <f>IF(ISNUMBER('Population size data'!T78),'Population size data'!T78/6,"")</f>
        <v>5</v>
      </c>
      <c r="U77" s="3" t="str">
        <f>IF(ISNUMBER('Population size data'!U78),'Population size data'!U78/6,"")</f>
        <v/>
      </c>
      <c r="V77" s="3">
        <f>IF(ISNUMBER('Population size data'!V78),'Population size data'!V78/6,"")</f>
        <v>0</v>
      </c>
    </row>
    <row r="78" spans="1:22" x14ac:dyDescent="0.3">
      <c r="A78" t="s">
        <v>13</v>
      </c>
      <c r="B78" t="s">
        <v>63</v>
      </c>
      <c r="C78" s="7">
        <v>20</v>
      </c>
      <c r="D78" s="3">
        <f>IF(ISNUMBER('Population size data'!D79),'Population size data'!D79/6,"")</f>
        <v>0.33333333333333331</v>
      </c>
      <c r="E78" s="3" t="str">
        <f>IF(ISNUMBER('Population size data'!E79),'Population size data'!E79/6,"")</f>
        <v/>
      </c>
      <c r="F78" s="3">
        <f>IF(ISNUMBER('Population size data'!F79),'Population size data'!F79/6,"")</f>
        <v>0.16666666666666666</v>
      </c>
      <c r="G78" s="3" t="str">
        <f>IF(ISNUMBER('Population size data'!G79),'Population size data'!G79/6,"")</f>
        <v/>
      </c>
      <c r="H78" s="3">
        <f>IF(ISNUMBER('Population size data'!H79),'Population size data'!H79/6,"")</f>
        <v>1.1666666666666667</v>
      </c>
      <c r="I78" s="3" t="str">
        <f>IF(ISNUMBER('Population size data'!I79),'Population size data'!I79/6,"")</f>
        <v/>
      </c>
      <c r="J78" s="3">
        <f>IF(ISNUMBER('Population size data'!J79),'Population size data'!J79/6,"")</f>
        <v>10.416666666666666</v>
      </c>
      <c r="K78" s="3">
        <f>IF(ISNUMBER('Population size data'!K79),'Population size data'!K79/6,"")</f>
        <v>14.75</v>
      </c>
      <c r="L78" s="3">
        <f>IF(ISNUMBER('Population size data'!L79),'Population size data'!L79/6,"")</f>
        <v>13.5</v>
      </c>
      <c r="M78" s="3">
        <f>IF(ISNUMBER('Population size data'!M79),'Population size data'!M79/6,"")</f>
        <v>13.083333333333334</v>
      </c>
      <c r="N78" s="3">
        <f>IF(ISNUMBER('Population size data'!N79),'Population size data'!N79/6,"")</f>
        <v>10.833333333333334</v>
      </c>
      <c r="O78" s="3">
        <f>IF(ISNUMBER('Population size data'!O79),'Population size data'!O79/6,"")</f>
        <v>7.333333333333333</v>
      </c>
      <c r="P78" s="3">
        <f>IF(ISNUMBER('Population size data'!P79),'Population size data'!P79/6,"")</f>
        <v>4.5</v>
      </c>
      <c r="Q78" s="3">
        <f>IF(ISNUMBER('Population size data'!Q79),'Population size data'!Q79/6,"")</f>
        <v>1</v>
      </c>
      <c r="R78" s="3">
        <f>IF(ISNUMBER('Population size data'!R79),'Population size data'!R79/6,"")</f>
        <v>0</v>
      </c>
      <c r="S78" s="3">
        <f>IF(ISNUMBER('Population size data'!S79),'Population size data'!S79/6,"")</f>
        <v>0</v>
      </c>
      <c r="T78" s="3">
        <f>IF(ISNUMBER('Population size data'!T79),'Population size data'!T79/6,"")</f>
        <v>0</v>
      </c>
      <c r="U78" s="3" t="str">
        <f>IF(ISNUMBER('Population size data'!U79),'Population size data'!U79/6,"")</f>
        <v/>
      </c>
      <c r="V78" s="3">
        <f>IF(ISNUMBER('Population size data'!V79),'Population size data'!V79/6,"")</f>
        <v>0</v>
      </c>
    </row>
    <row r="79" spans="1:22" x14ac:dyDescent="0.3">
      <c r="A79" t="s">
        <v>14</v>
      </c>
      <c r="B79" t="s">
        <v>63</v>
      </c>
      <c r="C79" s="7">
        <v>20</v>
      </c>
      <c r="D79" s="3">
        <f>IF(ISNUMBER('Population size data'!D80),'Population size data'!D80/6,"")</f>
        <v>0.33333333333333331</v>
      </c>
      <c r="E79" s="3" t="str">
        <f>IF(ISNUMBER('Population size data'!E80),'Population size data'!E80/6,"")</f>
        <v/>
      </c>
      <c r="F79" s="3">
        <f>IF(ISNUMBER('Population size data'!F80),'Population size data'!F80/6,"")</f>
        <v>0.66666666666666663</v>
      </c>
      <c r="G79" s="3" t="str">
        <f>IF(ISNUMBER('Population size data'!G80),'Population size data'!G80/6,"")</f>
        <v/>
      </c>
      <c r="H79" s="3">
        <f>IF(ISNUMBER('Population size data'!H80),'Population size data'!H80/6,"")</f>
        <v>4.75</v>
      </c>
      <c r="I79" s="3" t="str">
        <f>IF(ISNUMBER('Population size data'!I80),'Population size data'!I80/6,"")</f>
        <v/>
      </c>
      <c r="J79" s="3">
        <f>IF(ISNUMBER('Population size data'!J80),'Population size data'!J80/6,"")</f>
        <v>20.166666666666668</v>
      </c>
      <c r="K79" s="3">
        <f>IF(ISNUMBER('Population size data'!K80),'Population size data'!K80/6,"")</f>
        <v>14.25</v>
      </c>
      <c r="L79" s="3">
        <f>IF(ISNUMBER('Population size data'!L80),'Population size data'!L80/6,"")</f>
        <v>13.416666666666666</v>
      </c>
      <c r="M79" s="3">
        <f>IF(ISNUMBER('Population size data'!M80),'Population size data'!M80/6,"")</f>
        <v>9.75</v>
      </c>
      <c r="N79" s="3">
        <f>IF(ISNUMBER('Population size data'!N80),'Population size data'!N80/6,"")</f>
        <v>8.6666666666666661</v>
      </c>
      <c r="O79" s="3">
        <f>IF(ISNUMBER('Population size data'!O80),'Population size data'!O80/6,"")</f>
        <v>6.25</v>
      </c>
      <c r="P79" s="3">
        <f>IF(ISNUMBER('Population size data'!P80),'Population size data'!P80/6,"")</f>
        <v>0.16666666666666666</v>
      </c>
      <c r="Q79" s="3">
        <f>IF(ISNUMBER('Population size data'!Q80),'Population size data'!Q80/6,"")</f>
        <v>0</v>
      </c>
      <c r="R79" s="3">
        <f>IF(ISNUMBER('Population size data'!R80),'Population size data'!R80/6,"")</f>
        <v>0</v>
      </c>
      <c r="S79" s="3">
        <f>IF(ISNUMBER('Population size data'!S80),'Population size data'!S80/6,"")</f>
        <v>0</v>
      </c>
      <c r="T79" s="3">
        <f>IF(ISNUMBER('Population size data'!T80),'Population size data'!T80/6,"")</f>
        <v>0</v>
      </c>
      <c r="U79" s="3" t="str">
        <f>IF(ISNUMBER('Population size data'!U80),'Population size data'!U80/6,"")</f>
        <v/>
      </c>
      <c r="V79" s="3">
        <f>IF(ISNUMBER('Population size data'!V80),'Population size data'!V80/6,"")</f>
        <v>0</v>
      </c>
    </row>
    <row r="80" spans="1:22" x14ac:dyDescent="0.3">
      <c r="A80" t="s">
        <v>15</v>
      </c>
      <c r="B80" t="s">
        <v>63</v>
      </c>
      <c r="C80" s="7">
        <v>23</v>
      </c>
      <c r="D80" s="3">
        <f>IF(ISNUMBER('Population size data'!D81),'Population size data'!D81/6,"")</f>
        <v>0.33333333333333331</v>
      </c>
      <c r="E80" s="3">
        <f>IF(ISNUMBER('Population size data'!E81),'Population size data'!E81/6,"")</f>
        <v>0.33333333333333331</v>
      </c>
      <c r="F80" s="3">
        <f>IF(ISNUMBER('Population size data'!F81),'Population size data'!F81/6,"")</f>
        <v>0.33333333333333331</v>
      </c>
      <c r="G80" s="3" t="str">
        <f>IF(ISNUMBER('Population size data'!G81),'Population size data'!G81/6,"")</f>
        <v/>
      </c>
      <c r="H80" s="3">
        <f>IF(ISNUMBER('Population size data'!H81),'Population size data'!H81/6,"")</f>
        <v>1.9166666666666667</v>
      </c>
      <c r="I80" s="3">
        <f>IF(ISNUMBER('Population size data'!I81),'Population size data'!I81/6,"")</f>
        <v>5.166666666666667</v>
      </c>
      <c r="J80" s="3">
        <f>IF(ISNUMBER('Population size data'!J81),'Population size data'!J81/6,"")</f>
        <v>21.5</v>
      </c>
      <c r="K80" s="3">
        <f>IF(ISNUMBER('Population size data'!K81),'Population size data'!K81/6,"")</f>
        <v>19.083333333333332</v>
      </c>
      <c r="L80" s="3">
        <f>IF(ISNUMBER('Population size data'!L81),'Population size data'!L81/6,"")</f>
        <v>12.333333333333334</v>
      </c>
      <c r="M80" s="3">
        <f>IF(ISNUMBER('Population size data'!M81),'Population size data'!M81/6,"")</f>
        <v>9.8333333333333339</v>
      </c>
      <c r="N80" s="3">
        <f>IF(ISNUMBER('Population size data'!N81),'Population size data'!N81/6,"")</f>
        <v>3.8333333333333335</v>
      </c>
      <c r="O80" s="3">
        <f>IF(ISNUMBER('Population size data'!O81),'Population size data'!O81/6,"")</f>
        <v>0</v>
      </c>
      <c r="P80" s="3">
        <f>IF(ISNUMBER('Population size data'!P81),'Population size data'!P81/6,"")</f>
        <v>0</v>
      </c>
      <c r="Q80" s="3">
        <f>IF(ISNUMBER('Population size data'!Q81),'Population size data'!Q81/6,"")</f>
        <v>0</v>
      </c>
      <c r="R80" s="3">
        <f>IF(ISNUMBER('Population size data'!R81),'Population size data'!R81/6,"")</f>
        <v>0</v>
      </c>
      <c r="S80" s="3">
        <f>IF(ISNUMBER('Population size data'!S81),'Population size data'!S81/6,"")</f>
        <v>0</v>
      </c>
      <c r="T80" s="3">
        <f>IF(ISNUMBER('Population size data'!T81),'Population size data'!T81/6,"")</f>
        <v>0</v>
      </c>
      <c r="U80" s="3" t="str">
        <f>IF(ISNUMBER('Population size data'!U81),'Population size data'!U81/6,"")</f>
        <v/>
      </c>
      <c r="V80" s="3">
        <f>IF(ISNUMBER('Population size data'!V81),'Population size data'!V81/6,"")</f>
        <v>0</v>
      </c>
    </row>
    <row r="81" spans="1:22" x14ac:dyDescent="0.3">
      <c r="A81" t="s">
        <v>16</v>
      </c>
      <c r="B81" t="s">
        <v>63</v>
      </c>
      <c r="C81" s="7">
        <v>23</v>
      </c>
      <c r="D81" s="3">
        <f>IF(ISNUMBER('Population size data'!D82),'Population size data'!D82/6,"")</f>
        <v>0.33333333333333331</v>
      </c>
      <c r="E81" s="3">
        <f>IF(ISNUMBER('Population size data'!E82),'Population size data'!E82/6,"")</f>
        <v>0.16666666666666666</v>
      </c>
      <c r="F81" s="3">
        <f>IF(ISNUMBER('Population size data'!F82),'Population size data'!F82/6,"")</f>
        <v>0.5</v>
      </c>
      <c r="G81" s="3" t="str">
        <f>IF(ISNUMBER('Population size data'!G82),'Population size data'!G82/6,"")</f>
        <v/>
      </c>
      <c r="H81" s="3">
        <f>IF(ISNUMBER('Population size data'!H82),'Population size data'!H82/6,"")</f>
        <v>11.166666666666666</v>
      </c>
      <c r="I81" s="3">
        <f>IF(ISNUMBER('Population size data'!I82),'Population size data'!I82/6,"")</f>
        <v>15.416666666666666</v>
      </c>
      <c r="J81" s="3">
        <f>IF(ISNUMBER('Population size data'!J82),'Population size data'!J82/6,"")</f>
        <v>10.916666666666666</v>
      </c>
      <c r="K81" s="3">
        <f>IF(ISNUMBER('Population size data'!K82),'Population size data'!K82/6,"")</f>
        <v>7.166666666666667</v>
      </c>
      <c r="L81" s="3">
        <f>IF(ISNUMBER('Population size data'!L82),'Population size data'!L82/6,"")</f>
        <v>2</v>
      </c>
      <c r="M81" s="3">
        <f>IF(ISNUMBER('Population size data'!M82),'Population size data'!M82/6,"")</f>
        <v>0</v>
      </c>
      <c r="N81" s="3">
        <f>IF(ISNUMBER('Population size data'!N82),'Population size data'!N82/6,"")</f>
        <v>0</v>
      </c>
      <c r="O81" s="3">
        <f>IF(ISNUMBER('Population size data'!O82),'Population size data'!O82/6,"")</f>
        <v>0</v>
      </c>
      <c r="P81" s="3">
        <f>IF(ISNUMBER('Population size data'!P82),'Population size data'!P82/6,"")</f>
        <v>0</v>
      </c>
      <c r="Q81" s="3">
        <f>IF(ISNUMBER('Population size data'!Q82),'Population size data'!Q82/6,"")</f>
        <v>0</v>
      </c>
      <c r="R81" s="3">
        <f>IF(ISNUMBER('Population size data'!R82),'Population size data'!R82/6,"")</f>
        <v>0</v>
      </c>
      <c r="S81" s="3">
        <f>IF(ISNUMBER('Population size data'!S82),'Population size data'!S82/6,"")</f>
        <v>0</v>
      </c>
      <c r="T81" s="3">
        <f>IF(ISNUMBER('Population size data'!T82),'Population size data'!T82/6,"")</f>
        <v>0</v>
      </c>
      <c r="U81" s="3" t="str">
        <f>IF(ISNUMBER('Population size data'!U82),'Population size data'!U82/6,"")</f>
        <v/>
      </c>
      <c r="V81" s="3">
        <f>IF(ISNUMBER('Population size data'!V82),'Population size data'!V82/6,"")</f>
        <v>0</v>
      </c>
    </row>
    <row r="82" spans="1:22" x14ac:dyDescent="0.3">
      <c r="A82" s="2" t="s">
        <v>17</v>
      </c>
      <c r="B82" s="2" t="s">
        <v>63</v>
      </c>
      <c r="C82" s="14">
        <v>23</v>
      </c>
      <c r="D82" s="15">
        <f>IF(ISNUMBER('Population size data'!D83),'Population size data'!D83/6,"")</f>
        <v>0.33333333333333331</v>
      </c>
      <c r="E82" s="15">
        <f>IF(ISNUMBER('Population size data'!E83),'Population size data'!E83/6,"")</f>
        <v>0.16666666666666666</v>
      </c>
      <c r="F82" s="15">
        <f>IF(ISNUMBER('Population size data'!F83),'Population size data'!F83/6,"")</f>
        <v>0.16666666666666666</v>
      </c>
      <c r="G82" s="15" t="str">
        <f>IF(ISNUMBER('Population size data'!G83),'Population size data'!G83/6,"")</f>
        <v/>
      </c>
      <c r="H82" s="15">
        <f>IF(ISNUMBER('Population size data'!H83),'Population size data'!H83/6,"")</f>
        <v>0</v>
      </c>
      <c r="I82" s="15">
        <f>IF(ISNUMBER('Population size data'!I83),'Population size data'!I83/6,"")</f>
        <v>0</v>
      </c>
      <c r="J82" s="15">
        <f>IF(ISNUMBER('Population size data'!J83),'Population size data'!J83/6,"")</f>
        <v>0</v>
      </c>
      <c r="K82" s="15">
        <f>IF(ISNUMBER('Population size data'!K83),'Population size data'!K83/6,"")</f>
        <v>0</v>
      </c>
      <c r="L82" s="15">
        <f>IF(ISNUMBER('Population size data'!L83),'Population size data'!L83/6,"")</f>
        <v>0</v>
      </c>
      <c r="M82" s="15">
        <f>IF(ISNUMBER('Population size data'!M83),'Population size data'!M83/6,"")</f>
        <v>0</v>
      </c>
      <c r="N82" s="15">
        <f>IF(ISNUMBER('Population size data'!N83),'Population size data'!N83/6,"")</f>
        <v>0</v>
      </c>
      <c r="O82" s="15">
        <f>IF(ISNUMBER('Population size data'!O83),'Population size data'!O83/6,"")</f>
        <v>0</v>
      </c>
      <c r="P82" s="15">
        <f>IF(ISNUMBER('Population size data'!P83),'Population size data'!P83/6,"")</f>
        <v>0</v>
      </c>
      <c r="Q82" s="15">
        <f>IF(ISNUMBER('Population size data'!Q83),'Population size data'!Q83/6,"")</f>
        <v>0</v>
      </c>
      <c r="R82" s="15">
        <f>IF(ISNUMBER('Population size data'!R83),'Population size data'!R83/6,"")</f>
        <v>0</v>
      </c>
      <c r="S82" s="15">
        <f>IF(ISNUMBER('Population size data'!S83),'Population size data'!S83/6,"")</f>
        <v>0</v>
      </c>
      <c r="T82" s="15">
        <f>IF(ISNUMBER('Population size data'!T83),'Population size data'!T83/6,"")</f>
        <v>0</v>
      </c>
      <c r="U82" s="15" t="str">
        <f>IF(ISNUMBER('Population size data'!U83),'Population size data'!U83/6,"")</f>
        <v/>
      </c>
      <c r="V82" s="15">
        <f>IF(ISNUMBER('Population size data'!V83),'Population size data'!V83/6,"")</f>
        <v>0</v>
      </c>
    </row>
    <row r="83" spans="1:22" x14ac:dyDescent="0.3">
      <c r="A83" t="s">
        <v>18</v>
      </c>
      <c r="B83" t="s">
        <v>63</v>
      </c>
      <c r="C83" s="7">
        <v>23</v>
      </c>
      <c r="D83" s="3">
        <f>IF(ISNUMBER('Population size data'!D84),'Population size data'!D84/6,"")</f>
        <v>0.33333333333333331</v>
      </c>
      <c r="E83" s="3">
        <f>IF(ISNUMBER('Population size data'!E84),'Population size data'!E84/6,"")</f>
        <v>0.33333333333333331</v>
      </c>
      <c r="F83" s="3">
        <f>IF(ISNUMBER('Population size data'!F84),'Population size data'!F84/6,"")</f>
        <v>0.5</v>
      </c>
      <c r="G83" s="3" t="str">
        <f>IF(ISNUMBER('Population size data'!G84),'Population size data'!G84/6,"")</f>
        <v/>
      </c>
      <c r="H83" s="3">
        <f>IF(ISNUMBER('Population size data'!H84),'Population size data'!H84/6,"")</f>
        <v>6.166666666666667</v>
      </c>
      <c r="I83" s="3">
        <f>IF(ISNUMBER('Population size data'!I84),'Population size data'!I84/6,"")</f>
        <v>15.416666666666666</v>
      </c>
      <c r="J83" s="3">
        <f>IF(ISNUMBER('Population size data'!J84),'Population size data'!J84/6,"")</f>
        <v>16.5</v>
      </c>
      <c r="K83" s="3">
        <f>IF(ISNUMBER('Population size data'!K84),'Population size data'!K84/6,"")</f>
        <v>8.6666666666666661</v>
      </c>
      <c r="L83" s="3">
        <f>IF(ISNUMBER('Population size data'!L84),'Population size data'!L84/6,"")</f>
        <v>6.833333333333333</v>
      </c>
      <c r="M83" s="3">
        <f>IF(ISNUMBER('Population size data'!M84),'Population size data'!M84/6,"")</f>
        <v>0.83333333333333337</v>
      </c>
      <c r="N83" s="3">
        <f>IF(ISNUMBER('Population size data'!N84),'Population size data'!N84/6,"")</f>
        <v>0</v>
      </c>
      <c r="O83" s="3">
        <f>IF(ISNUMBER('Population size data'!O84),'Population size data'!O84/6,"")</f>
        <v>0</v>
      </c>
      <c r="P83" s="3">
        <f>IF(ISNUMBER('Population size data'!P84),'Population size data'!P84/6,"")</f>
        <v>0</v>
      </c>
      <c r="Q83" s="3">
        <f>IF(ISNUMBER('Population size data'!Q84),'Population size data'!Q84/6,"")</f>
        <v>0</v>
      </c>
      <c r="R83" s="3">
        <f>IF(ISNUMBER('Population size data'!R84),'Population size data'!R84/6,"")</f>
        <v>0</v>
      </c>
      <c r="S83" s="3">
        <f>IF(ISNUMBER('Population size data'!S84),'Population size data'!S84/6,"")</f>
        <v>0</v>
      </c>
      <c r="T83" s="3">
        <f>IF(ISNUMBER('Population size data'!T84),'Population size data'!T84/6,"")</f>
        <v>0</v>
      </c>
      <c r="U83" s="3" t="str">
        <f>IF(ISNUMBER('Population size data'!U84),'Population size data'!U84/6,"")</f>
        <v/>
      </c>
      <c r="V83" s="3">
        <f>IF(ISNUMBER('Population size data'!V84),'Population size data'!V84/6,"")</f>
        <v>0</v>
      </c>
    </row>
    <row r="84" spans="1:22" x14ac:dyDescent="0.3">
      <c r="A84" t="s">
        <v>19</v>
      </c>
      <c r="B84" t="s">
        <v>63</v>
      </c>
      <c r="C84" s="7">
        <v>23</v>
      </c>
      <c r="D84" s="3">
        <f>IF(ISNUMBER('Population size data'!D85),'Population size data'!D85/6,"")</f>
        <v>0.33333333333333331</v>
      </c>
      <c r="E84" s="3">
        <f>IF(ISNUMBER('Population size data'!E85),'Population size data'!E85/6,"")</f>
        <v>0.33333333333333331</v>
      </c>
      <c r="F84" s="3">
        <f>IF(ISNUMBER('Population size data'!F85),'Population size data'!F85/6,"")</f>
        <v>0.33333333333333331</v>
      </c>
      <c r="G84" s="3" t="str">
        <f>IF(ISNUMBER('Population size data'!G85),'Population size data'!G85/6,"")</f>
        <v/>
      </c>
      <c r="H84" s="3">
        <f>IF(ISNUMBER('Population size data'!H85),'Population size data'!H85/6,"")</f>
        <v>0</v>
      </c>
      <c r="I84" s="3">
        <f>IF(ISNUMBER('Population size data'!I85),'Population size data'!I85/6,"")</f>
        <v>0</v>
      </c>
      <c r="J84" s="3">
        <f>IF(ISNUMBER('Population size data'!J85),'Population size data'!J85/6,"")</f>
        <v>1</v>
      </c>
      <c r="K84" s="3">
        <f>IF(ISNUMBER('Population size data'!K85),'Population size data'!K85/6,"")</f>
        <v>2.9166666666666665</v>
      </c>
      <c r="L84" s="3">
        <f>IF(ISNUMBER('Population size data'!L85),'Population size data'!L85/6,"")</f>
        <v>10</v>
      </c>
      <c r="M84" s="3">
        <f>IF(ISNUMBER('Population size data'!M85),'Population size data'!M85/6,"")</f>
        <v>34.666666666666664</v>
      </c>
      <c r="N84" s="3">
        <f>IF(ISNUMBER('Population size data'!N85),'Population size data'!N85/6,"")</f>
        <v>49.083333333333336</v>
      </c>
      <c r="O84" s="3">
        <f>IF(ISNUMBER('Population size data'!O85),'Population size data'!O85/6,"")</f>
        <v>42.666666666666664</v>
      </c>
      <c r="P84" s="3" t="str">
        <f>IF(ISNUMBER('Population size data'!P85),'Population size data'!P85/6,"")</f>
        <v/>
      </c>
      <c r="Q84" s="3" t="str">
        <f>IF(ISNUMBER('Population size data'!Q85),'Population size data'!Q85/6,"")</f>
        <v/>
      </c>
      <c r="R84" s="3">
        <f>IF(ISNUMBER('Population size data'!R85),'Population size data'!R85/6,"")</f>
        <v>0</v>
      </c>
      <c r="S84" s="3">
        <f>IF(ISNUMBER('Population size data'!S85),'Population size data'!S85/6,"")</f>
        <v>0</v>
      </c>
      <c r="T84" s="3">
        <f>IF(ISNUMBER('Population size data'!T85),'Population size data'!T85/6,"")</f>
        <v>0</v>
      </c>
      <c r="U84" s="3" t="str">
        <f>IF(ISNUMBER('Population size data'!U85),'Population size data'!U85/6,"")</f>
        <v/>
      </c>
      <c r="V84" s="3">
        <f>IF(ISNUMBER('Population size data'!V85),'Population size data'!V85/6,"")</f>
        <v>0</v>
      </c>
    </row>
    <row r="85" spans="1:22" x14ac:dyDescent="0.3">
      <c r="A85" t="s">
        <v>20</v>
      </c>
      <c r="B85" t="s">
        <v>63</v>
      </c>
      <c r="C85" s="7">
        <v>23</v>
      </c>
      <c r="D85" s="3">
        <f>IF(ISNUMBER('Population size data'!D86),'Population size data'!D86/6,"")</f>
        <v>0.33333333333333331</v>
      </c>
      <c r="E85" s="3">
        <f>IF(ISNUMBER('Population size data'!E86),'Population size data'!E86/6,"")</f>
        <v>0.33333333333333331</v>
      </c>
      <c r="F85" s="3">
        <f>IF(ISNUMBER('Population size data'!F86),'Population size data'!F86/6,"")</f>
        <v>0.66666666666666663</v>
      </c>
      <c r="G85" s="3" t="str">
        <f>IF(ISNUMBER('Population size data'!G86),'Population size data'!G86/6,"")</f>
        <v/>
      </c>
      <c r="H85" s="3">
        <f>IF(ISNUMBER('Population size data'!H86),'Population size data'!H86/6,"")</f>
        <v>10.416666666666666</v>
      </c>
      <c r="I85" s="3">
        <f>IF(ISNUMBER('Population size data'!I86),'Population size data'!I86/6,"")</f>
        <v>21.333333333333332</v>
      </c>
      <c r="J85" s="3">
        <f>IF(ISNUMBER('Population size data'!J86),'Population size data'!J86/6,"")</f>
        <v>16.75</v>
      </c>
      <c r="K85" s="3">
        <f>IF(ISNUMBER('Population size data'!K86),'Population size data'!K86/6,"")</f>
        <v>10.666666666666666</v>
      </c>
      <c r="L85" s="3">
        <f>IF(ISNUMBER('Population size data'!L86),'Population size data'!L86/6,"")</f>
        <v>3.1666666666666665</v>
      </c>
      <c r="M85" s="3">
        <f>IF(ISNUMBER('Population size data'!M86),'Population size data'!M86/6,"")</f>
        <v>0.16666666666666666</v>
      </c>
      <c r="N85" s="3">
        <f>IF(ISNUMBER('Population size data'!N86),'Population size data'!N86/6,"")</f>
        <v>0</v>
      </c>
      <c r="O85" s="3">
        <f>IF(ISNUMBER('Population size data'!O86),'Population size data'!O86/6,"")</f>
        <v>0</v>
      </c>
      <c r="P85" s="3">
        <f>IF(ISNUMBER('Population size data'!P86),'Population size data'!P86/6,"")</f>
        <v>0</v>
      </c>
      <c r="Q85" s="3">
        <f>IF(ISNUMBER('Population size data'!Q86),'Population size data'!Q86/6,"")</f>
        <v>0</v>
      </c>
      <c r="R85" s="3">
        <f>IF(ISNUMBER('Population size data'!R86),'Population size data'!R86/6,"")</f>
        <v>0</v>
      </c>
      <c r="S85" s="3">
        <f>IF(ISNUMBER('Population size data'!S86),'Population size data'!S86/6,"")</f>
        <v>0</v>
      </c>
      <c r="T85" s="3">
        <f>IF(ISNUMBER('Population size data'!T86),'Population size data'!T86/6,"")</f>
        <v>0</v>
      </c>
      <c r="U85" s="3" t="str">
        <f>IF(ISNUMBER('Population size data'!U86),'Population size data'!U86/6,"")</f>
        <v/>
      </c>
      <c r="V85" s="3">
        <f>IF(ISNUMBER('Population size data'!V86),'Population size data'!V86/6,"")</f>
        <v>0</v>
      </c>
    </row>
    <row r="86" spans="1:22" x14ac:dyDescent="0.3">
      <c r="A86" t="s">
        <v>21</v>
      </c>
      <c r="B86" t="s">
        <v>63</v>
      </c>
      <c r="C86" s="7">
        <v>25</v>
      </c>
      <c r="D86" s="3">
        <f>IF(ISNUMBER('Population size data'!D87),'Population size data'!D87/6,"")</f>
        <v>0.33333333333333331</v>
      </c>
      <c r="E86" s="3">
        <f>IF(ISNUMBER('Population size data'!E87),'Population size data'!E87/6,"")</f>
        <v>0.33333333333333331</v>
      </c>
      <c r="F86" s="3">
        <f>IF(ISNUMBER('Population size data'!F87),'Population size data'!F87/6,"")</f>
        <v>0.16666666666666666</v>
      </c>
      <c r="G86" s="3">
        <f>IF(ISNUMBER('Population size data'!G87),'Population size data'!G87/6,"")</f>
        <v>0.5</v>
      </c>
      <c r="H86" s="3">
        <f>IF(ISNUMBER('Population size data'!H87),'Population size data'!H87/6,"")</f>
        <v>1.75</v>
      </c>
      <c r="I86" s="3">
        <f>IF(ISNUMBER('Population size data'!I87),'Population size data'!I87/6,"")</f>
        <v>9.5833333333333339</v>
      </c>
      <c r="J86" s="3">
        <f>IF(ISNUMBER('Population size data'!J87),'Population size data'!J87/6,"")</f>
        <v>20.75</v>
      </c>
      <c r="K86" s="3">
        <f>IF(ISNUMBER('Population size data'!K87),'Population size data'!K87/6,"")</f>
        <v>14.666666666666666</v>
      </c>
      <c r="L86" s="3">
        <f>IF(ISNUMBER('Population size data'!L87),'Population size data'!L87/6,"")</f>
        <v>12</v>
      </c>
      <c r="M86" s="3">
        <f>IF(ISNUMBER('Population size data'!M87),'Population size data'!M87/6,"")</f>
        <v>0</v>
      </c>
      <c r="N86" s="3">
        <f>IF(ISNUMBER('Population size data'!N87),'Population size data'!N87/6,"")</f>
        <v>0</v>
      </c>
      <c r="O86" s="3">
        <f>IF(ISNUMBER('Population size data'!O87),'Population size data'!O87/6,"")</f>
        <v>0</v>
      </c>
      <c r="P86" s="3">
        <f>IF(ISNUMBER('Population size data'!P87),'Population size data'!P87/6,"")</f>
        <v>0</v>
      </c>
      <c r="Q86" s="3">
        <f>IF(ISNUMBER('Population size data'!Q87),'Population size data'!Q87/6,"")</f>
        <v>0</v>
      </c>
      <c r="R86" s="3">
        <f>IF(ISNUMBER('Population size data'!R87),'Population size data'!R87/6,"")</f>
        <v>0</v>
      </c>
      <c r="S86" s="3">
        <f>IF(ISNUMBER('Population size data'!S87),'Population size data'!S87/6,"")</f>
        <v>0</v>
      </c>
      <c r="T86" s="3">
        <f>IF(ISNUMBER('Population size data'!T87),'Population size data'!T87/6,"")</f>
        <v>0</v>
      </c>
      <c r="U86" s="3" t="str">
        <f>IF(ISNUMBER('Population size data'!U87),'Population size data'!U87/6,"")</f>
        <v/>
      </c>
      <c r="V86" s="3">
        <f>IF(ISNUMBER('Population size data'!V87),'Population size data'!V87/6,"")</f>
        <v>0</v>
      </c>
    </row>
    <row r="87" spans="1:22" x14ac:dyDescent="0.3">
      <c r="A87" t="s">
        <v>22</v>
      </c>
      <c r="B87" t="s">
        <v>63</v>
      </c>
      <c r="C87" s="7">
        <v>25</v>
      </c>
      <c r="D87" s="3">
        <f>IF(ISNUMBER('Population size data'!D88),'Population size data'!D88/6,"")</f>
        <v>0.33333333333333331</v>
      </c>
      <c r="E87" s="3">
        <f>IF(ISNUMBER('Population size data'!E88),'Population size data'!E88/6,"")</f>
        <v>0.5</v>
      </c>
      <c r="F87" s="3">
        <f>IF(ISNUMBER('Population size data'!F88),'Population size data'!F88/6,"")</f>
        <v>1.1666666666666667</v>
      </c>
      <c r="G87" s="3">
        <f>IF(ISNUMBER('Population size data'!G88),'Population size data'!G88/6,"")</f>
        <v>2.8333333333333335</v>
      </c>
      <c r="H87" s="3">
        <f>IF(ISNUMBER('Population size data'!H88),'Population size data'!H88/6,"")</f>
        <v>8.4166666666666661</v>
      </c>
      <c r="I87" s="3">
        <f>IF(ISNUMBER('Population size data'!I88),'Population size data'!I88/6,"")</f>
        <v>17</v>
      </c>
      <c r="J87" s="3">
        <f>IF(ISNUMBER('Population size data'!J88),'Population size data'!J88/6,"")</f>
        <v>12.083333333333334</v>
      </c>
      <c r="K87" s="3">
        <f>IF(ISNUMBER('Population size data'!K88),'Population size data'!K88/6,"")</f>
        <v>9.6666666666666661</v>
      </c>
      <c r="L87" s="3">
        <f>IF(ISNUMBER('Population size data'!L88),'Population size data'!L88/6,"")</f>
        <v>0.33333333333333331</v>
      </c>
      <c r="M87" s="3">
        <f>IF(ISNUMBER('Population size data'!M88),'Population size data'!M88/6,"")</f>
        <v>0</v>
      </c>
      <c r="N87" s="3">
        <f>IF(ISNUMBER('Population size data'!N88),'Population size data'!N88/6,"")</f>
        <v>0</v>
      </c>
      <c r="O87" s="3">
        <f>IF(ISNUMBER('Population size data'!O88),'Population size data'!O88/6,"")</f>
        <v>0</v>
      </c>
      <c r="P87" s="3">
        <f>IF(ISNUMBER('Population size data'!P88),'Population size data'!P88/6,"")</f>
        <v>0</v>
      </c>
      <c r="Q87" s="3">
        <f>IF(ISNUMBER('Population size data'!Q88),'Population size data'!Q88/6,"")</f>
        <v>0</v>
      </c>
      <c r="R87" s="3">
        <f>IF(ISNUMBER('Population size data'!R88),'Population size data'!R88/6,"")</f>
        <v>0</v>
      </c>
      <c r="S87" s="3">
        <f>IF(ISNUMBER('Population size data'!S88),'Population size data'!S88/6,"")</f>
        <v>0</v>
      </c>
      <c r="T87" s="3">
        <f>IF(ISNUMBER('Population size data'!T88),'Population size data'!T88/6,"")</f>
        <v>0</v>
      </c>
      <c r="U87" s="3" t="str">
        <f>IF(ISNUMBER('Population size data'!U88),'Population size data'!U88/6,"")</f>
        <v/>
      </c>
      <c r="V87" s="3">
        <f>IF(ISNUMBER('Population size data'!V88),'Population size data'!V88/6,"")</f>
        <v>0</v>
      </c>
    </row>
    <row r="88" spans="1:22" x14ac:dyDescent="0.3">
      <c r="A88" s="2" t="s">
        <v>23</v>
      </c>
      <c r="B88" s="2" t="s">
        <v>63</v>
      </c>
      <c r="C88" s="14">
        <v>25</v>
      </c>
      <c r="D88" s="15">
        <f>IF(ISNUMBER('Population size data'!D89),'Population size data'!D89/6,"")</f>
        <v>0.33333333333333331</v>
      </c>
      <c r="E88" s="15">
        <f>IF(ISNUMBER('Population size data'!E89),'Population size data'!E89/6,"")</f>
        <v>0.33333333333333331</v>
      </c>
      <c r="F88" s="15">
        <f>IF(ISNUMBER('Population size data'!F89),'Population size data'!F89/6,"")</f>
        <v>0.33333333333333331</v>
      </c>
      <c r="G88" s="15">
        <f>IF(ISNUMBER('Population size data'!G89),'Population size data'!G89/6,"")</f>
        <v>0</v>
      </c>
      <c r="H88" s="15">
        <f>IF(ISNUMBER('Population size data'!H89),'Population size data'!H89/6,"")</f>
        <v>0</v>
      </c>
      <c r="I88" s="15">
        <f>IF(ISNUMBER('Population size data'!I89),'Population size data'!I89/6,"")</f>
        <v>0</v>
      </c>
      <c r="J88" s="15">
        <f>IF(ISNUMBER('Population size data'!J89),'Population size data'!J89/6,"")</f>
        <v>0</v>
      </c>
      <c r="K88" s="15">
        <f>IF(ISNUMBER('Population size data'!K89),'Population size data'!K89/6,"")</f>
        <v>0</v>
      </c>
      <c r="L88" s="15">
        <f>IF(ISNUMBER('Population size data'!L89),'Population size data'!L89/6,"")</f>
        <v>0</v>
      </c>
      <c r="M88" s="15">
        <f>IF(ISNUMBER('Population size data'!M89),'Population size data'!M89/6,"")</f>
        <v>0</v>
      </c>
      <c r="N88" s="15">
        <f>IF(ISNUMBER('Population size data'!N89),'Population size data'!N89/6,"")</f>
        <v>0</v>
      </c>
      <c r="O88" s="15">
        <f>IF(ISNUMBER('Population size data'!O89),'Population size data'!O89/6,"")</f>
        <v>0</v>
      </c>
      <c r="P88" s="15">
        <f>IF(ISNUMBER('Population size data'!P89),'Population size data'!P89/6,"")</f>
        <v>0</v>
      </c>
      <c r="Q88" s="15">
        <f>IF(ISNUMBER('Population size data'!Q89),'Population size data'!Q89/6,"")</f>
        <v>0</v>
      </c>
      <c r="R88" s="15">
        <f>IF(ISNUMBER('Population size data'!R89),'Population size data'!R89/6,"")</f>
        <v>0</v>
      </c>
      <c r="S88" s="15">
        <f>IF(ISNUMBER('Population size data'!S89),'Population size data'!S89/6,"")</f>
        <v>0</v>
      </c>
      <c r="T88" s="15">
        <f>IF(ISNUMBER('Population size data'!T89),'Population size data'!T89/6,"")</f>
        <v>0</v>
      </c>
      <c r="U88" s="15" t="str">
        <f>IF(ISNUMBER('Population size data'!U89),'Population size data'!U89/6,"")</f>
        <v/>
      </c>
      <c r="V88" s="15">
        <f>IF(ISNUMBER('Population size data'!V89),'Population size data'!V89/6,"")</f>
        <v>0</v>
      </c>
    </row>
    <row r="89" spans="1:22" x14ac:dyDescent="0.3">
      <c r="A89" t="s">
        <v>24</v>
      </c>
      <c r="B89" t="s">
        <v>63</v>
      </c>
      <c r="C89" s="7">
        <v>25</v>
      </c>
      <c r="D89" s="3">
        <f>IF(ISNUMBER('Population size data'!D90),'Population size data'!D90/6,"")</f>
        <v>0.33333333333333331</v>
      </c>
      <c r="E89" s="3">
        <f>IF(ISNUMBER('Population size data'!E90),'Population size data'!E90/6,"")</f>
        <v>0.5</v>
      </c>
      <c r="F89" s="3">
        <f>IF(ISNUMBER('Population size data'!F90),'Population size data'!F90/6,"")</f>
        <v>1.8333333333333333</v>
      </c>
      <c r="G89" s="3">
        <f>IF(ISNUMBER('Population size data'!G90),'Population size data'!G90/6,"")</f>
        <v>11.666666666666666</v>
      </c>
      <c r="H89" s="3">
        <f>IF(ISNUMBER('Population size data'!H90),'Population size data'!H90/6,"")</f>
        <v>15</v>
      </c>
      <c r="I89" s="3">
        <f>IF(ISNUMBER('Population size data'!I90),'Population size data'!I90/6,"")</f>
        <v>10.5</v>
      </c>
      <c r="J89" s="3">
        <f>IF(ISNUMBER('Population size data'!J90),'Population size data'!J90/6,"")</f>
        <v>6.333333333333333</v>
      </c>
      <c r="K89" s="3">
        <f>IF(ISNUMBER('Population size data'!K90),'Population size data'!K90/6,"")</f>
        <v>0.83333333333333337</v>
      </c>
      <c r="L89" s="3">
        <f>IF(ISNUMBER('Population size data'!L90),'Population size data'!L90/6,"")</f>
        <v>0</v>
      </c>
      <c r="M89" s="3">
        <f>IF(ISNUMBER('Population size data'!M90),'Population size data'!M90/6,"")</f>
        <v>0</v>
      </c>
      <c r="N89" s="3">
        <f>IF(ISNUMBER('Population size data'!N90),'Population size data'!N90/6,"")</f>
        <v>0</v>
      </c>
      <c r="O89" s="3">
        <f>IF(ISNUMBER('Population size data'!O90),'Population size data'!O90/6,"")</f>
        <v>0</v>
      </c>
      <c r="P89" s="3">
        <f>IF(ISNUMBER('Population size data'!P90),'Population size data'!P90/6,"")</f>
        <v>0</v>
      </c>
      <c r="Q89" s="3">
        <f>IF(ISNUMBER('Population size data'!Q90),'Population size data'!Q90/6,"")</f>
        <v>0</v>
      </c>
      <c r="R89" s="3">
        <f>IF(ISNUMBER('Population size data'!R90),'Population size data'!R90/6,"")</f>
        <v>0</v>
      </c>
      <c r="S89" s="3">
        <f>IF(ISNUMBER('Population size data'!S90),'Population size data'!S90/6,"")</f>
        <v>0</v>
      </c>
      <c r="T89" s="3">
        <f>IF(ISNUMBER('Population size data'!T90),'Population size data'!T90/6,"")</f>
        <v>0</v>
      </c>
      <c r="U89" s="3" t="str">
        <f>IF(ISNUMBER('Population size data'!U90),'Population size data'!U90/6,"")</f>
        <v/>
      </c>
      <c r="V89" s="3">
        <f>IF(ISNUMBER('Population size data'!V90),'Population size data'!V90/6,"")</f>
        <v>0</v>
      </c>
    </row>
    <row r="90" spans="1:22" x14ac:dyDescent="0.3">
      <c r="A90" t="s">
        <v>25</v>
      </c>
      <c r="B90" t="s">
        <v>63</v>
      </c>
      <c r="C90" s="7">
        <v>25</v>
      </c>
      <c r="D90" s="3">
        <f>IF(ISNUMBER('Population size data'!D91),'Population size data'!D91/6,"")</f>
        <v>0.33333333333333331</v>
      </c>
      <c r="E90" s="3">
        <f>IF(ISNUMBER('Population size data'!E91),'Population size data'!E91/6,"")</f>
        <v>0.5</v>
      </c>
      <c r="F90" s="3">
        <f>IF(ISNUMBER('Population size data'!F91),'Population size data'!F91/6,"")</f>
        <v>1.8333333333333333</v>
      </c>
      <c r="G90" s="3">
        <f>IF(ISNUMBER('Population size data'!G91),'Population size data'!G91/6,"")</f>
        <v>9.9166666666666661</v>
      </c>
      <c r="H90" s="3">
        <f>IF(ISNUMBER('Population size data'!H91),'Population size data'!H91/6,"")</f>
        <v>19.333333333333332</v>
      </c>
      <c r="I90" s="3">
        <f>IF(ISNUMBER('Population size data'!I91),'Population size data'!I91/6,"")</f>
        <v>16.416666666666668</v>
      </c>
      <c r="J90" s="3">
        <f>IF(ISNUMBER('Population size data'!J91),'Population size data'!J91/6,"")</f>
        <v>12.916666666666666</v>
      </c>
      <c r="K90" s="3">
        <f>IF(ISNUMBER('Population size data'!K91),'Population size data'!K91/6,"")</f>
        <v>3.75</v>
      </c>
      <c r="L90" s="3">
        <f>IF(ISNUMBER('Population size data'!L91),'Population size data'!L91/6,"")</f>
        <v>0</v>
      </c>
      <c r="M90" s="3">
        <f>IF(ISNUMBER('Population size data'!M91),'Population size data'!M91/6,"")</f>
        <v>0</v>
      </c>
      <c r="N90" s="3">
        <f>IF(ISNUMBER('Population size data'!N91),'Population size data'!N91/6,"")</f>
        <v>0</v>
      </c>
      <c r="O90" s="3">
        <f>IF(ISNUMBER('Population size data'!O91),'Population size data'!O91/6,"")</f>
        <v>0</v>
      </c>
      <c r="P90" s="3">
        <f>IF(ISNUMBER('Population size data'!P91),'Population size data'!P91/6,"")</f>
        <v>0</v>
      </c>
      <c r="Q90" s="3">
        <f>IF(ISNUMBER('Population size data'!Q91),'Population size data'!Q91/6,"")</f>
        <v>0</v>
      </c>
      <c r="R90" s="3">
        <f>IF(ISNUMBER('Population size data'!R91),'Population size data'!R91/6,"")</f>
        <v>0</v>
      </c>
      <c r="S90" s="3">
        <f>IF(ISNUMBER('Population size data'!S91),'Population size data'!S91/6,"")</f>
        <v>0</v>
      </c>
      <c r="T90" s="3">
        <f>IF(ISNUMBER('Population size data'!T91),'Population size data'!T91/6,"")</f>
        <v>0</v>
      </c>
      <c r="U90" s="3" t="str">
        <f>IF(ISNUMBER('Population size data'!U91),'Population size data'!U91/6,"")</f>
        <v/>
      </c>
      <c r="V90" s="3">
        <f>IF(ISNUMBER('Population size data'!V91),'Population size data'!V91/6,"")</f>
        <v>0</v>
      </c>
    </row>
    <row r="91" spans="1:22" x14ac:dyDescent="0.3">
      <c r="A91" t="s">
        <v>26</v>
      </c>
      <c r="B91" t="s">
        <v>63</v>
      </c>
      <c r="C91" s="7">
        <v>25</v>
      </c>
      <c r="D91" s="3">
        <f>IF(ISNUMBER('Population size data'!D92),'Population size data'!D92/6,"")</f>
        <v>0.33333333333333331</v>
      </c>
      <c r="E91" s="3">
        <f>IF(ISNUMBER('Population size data'!E92),'Population size data'!E92/6,"")</f>
        <v>0.5</v>
      </c>
      <c r="F91" s="3">
        <f>IF(ISNUMBER('Population size data'!F92),'Population size data'!F92/6,"")</f>
        <v>1.3333333333333333</v>
      </c>
      <c r="G91" s="3">
        <f>IF(ISNUMBER('Population size data'!G92),'Population size data'!G92/6,"")</f>
        <v>5.916666666666667</v>
      </c>
      <c r="H91" s="3">
        <f>IF(ISNUMBER('Population size data'!H92),'Population size data'!H92/6,"")</f>
        <v>17.083333333333332</v>
      </c>
      <c r="I91" s="3">
        <f>IF(ISNUMBER('Population size data'!I92),'Population size data'!I92/6,"")</f>
        <v>15.916666666666666</v>
      </c>
      <c r="J91" s="3">
        <f>IF(ISNUMBER('Population size data'!J92),'Population size data'!J92/6,"")</f>
        <v>14.75</v>
      </c>
      <c r="K91" s="3">
        <f>IF(ISNUMBER('Population size data'!K92),'Population size data'!K92/6,"")</f>
        <v>2.9166666666666665</v>
      </c>
      <c r="L91" s="3">
        <f>IF(ISNUMBER('Population size data'!L92),'Population size data'!L92/6,"")</f>
        <v>0</v>
      </c>
      <c r="M91" s="3">
        <f>IF(ISNUMBER('Population size data'!M92),'Population size data'!M92/6,"")</f>
        <v>0</v>
      </c>
      <c r="N91" s="3">
        <f>IF(ISNUMBER('Population size data'!N92),'Population size data'!N92/6,"")</f>
        <v>0</v>
      </c>
      <c r="O91" s="3">
        <f>IF(ISNUMBER('Population size data'!O92),'Population size data'!O92/6,"")</f>
        <v>0</v>
      </c>
      <c r="P91" s="3">
        <f>IF(ISNUMBER('Population size data'!P92),'Population size data'!P92/6,"")</f>
        <v>0</v>
      </c>
      <c r="Q91" s="3">
        <f>IF(ISNUMBER('Population size data'!Q92),'Population size data'!Q92/6,"")</f>
        <v>0</v>
      </c>
      <c r="R91" s="3">
        <f>IF(ISNUMBER('Population size data'!R92),'Population size data'!R92/6,"")</f>
        <v>0</v>
      </c>
      <c r="S91" s="3">
        <f>IF(ISNUMBER('Population size data'!S92),'Population size data'!S92/6,"")</f>
        <v>0</v>
      </c>
      <c r="T91" s="3">
        <f>IF(ISNUMBER('Population size data'!T92),'Population size data'!T92/6,"")</f>
        <v>0</v>
      </c>
      <c r="U91" s="3" t="str">
        <f>IF(ISNUMBER('Population size data'!U92),'Population size data'!U92/6,"")</f>
        <v/>
      </c>
      <c r="V91" s="3">
        <f>IF(ISNUMBER('Population size data'!V92),'Population size data'!V92/6,"")</f>
        <v>0</v>
      </c>
    </row>
    <row r="92" spans="1:22" x14ac:dyDescent="0.3">
      <c r="A92" t="s">
        <v>27</v>
      </c>
      <c r="B92" t="s">
        <v>63</v>
      </c>
      <c r="C92" s="7">
        <v>27</v>
      </c>
      <c r="D92" s="3">
        <f>IF(ISNUMBER('Population size data'!D93),'Population size data'!D93/6,"")</f>
        <v>0.33333333333333331</v>
      </c>
      <c r="E92" s="3">
        <f>IF(ISNUMBER('Population size data'!E93),'Population size data'!E93/6,"")</f>
        <v>0.66666666666666663</v>
      </c>
      <c r="F92" s="3">
        <f>IF(ISNUMBER('Population size data'!F93),'Population size data'!F93/6,"")</f>
        <v>1.75</v>
      </c>
      <c r="G92" s="3">
        <f>IF(ISNUMBER('Population size data'!G93),'Population size data'!G93/6,"")</f>
        <v>12.416666666666666</v>
      </c>
      <c r="H92" s="3">
        <f>IF(ISNUMBER('Population size data'!H93),'Population size data'!H93/6,"")</f>
        <v>15.583333333333334</v>
      </c>
      <c r="I92" s="3">
        <f>IF(ISNUMBER('Population size data'!I93),'Population size data'!I93/6,"")</f>
        <v>10.833333333333334</v>
      </c>
      <c r="J92" s="3">
        <f>IF(ISNUMBER('Population size data'!J93),'Population size data'!J93/6,"")</f>
        <v>0.33333333333333331</v>
      </c>
      <c r="K92" s="3">
        <f>IF(ISNUMBER('Population size data'!K93),'Population size data'!K93/6,"")</f>
        <v>0</v>
      </c>
      <c r="L92" s="3">
        <f>IF(ISNUMBER('Population size data'!L93),'Population size data'!L93/6,"")</f>
        <v>0</v>
      </c>
      <c r="M92" s="3">
        <f>IF(ISNUMBER('Population size data'!M93),'Population size data'!M93/6,"")</f>
        <v>0</v>
      </c>
      <c r="N92" s="3">
        <f>IF(ISNUMBER('Population size data'!N93),'Population size data'!N93/6,"")</f>
        <v>0</v>
      </c>
      <c r="O92" s="3">
        <f>IF(ISNUMBER('Population size data'!O93),'Population size data'!O93/6,"")</f>
        <v>0</v>
      </c>
      <c r="P92" s="3">
        <f>IF(ISNUMBER('Population size data'!P93),'Population size data'!P93/6,"")</f>
        <v>0</v>
      </c>
      <c r="Q92" s="3">
        <f>IF(ISNUMBER('Population size data'!Q93),'Population size data'!Q93/6,"")</f>
        <v>0</v>
      </c>
      <c r="R92" s="3">
        <f>IF(ISNUMBER('Population size data'!R93),'Population size data'!R93/6,"")</f>
        <v>0</v>
      </c>
      <c r="S92" s="3">
        <f>IF(ISNUMBER('Population size data'!S93),'Population size data'!S93/6,"")</f>
        <v>0</v>
      </c>
      <c r="T92" s="3">
        <f>IF(ISNUMBER('Population size data'!T93),'Population size data'!T93/6,"")</f>
        <v>0</v>
      </c>
      <c r="U92" s="3" t="str">
        <f>IF(ISNUMBER('Population size data'!U93),'Population size data'!U93/6,"")</f>
        <v/>
      </c>
      <c r="V92" s="3">
        <f>IF(ISNUMBER('Population size data'!V93),'Population size data'!V93/6,"")</f>
        <v>0</v>
      </c>
    </row>
    <row r="93" spans="1:22" x14ac:dyDescent="0.3">
      <c r="A93" t="s">
        <v>28</v>
      </c>
      <c r="B93" t="s">
        <v>63</v>
      </c>
      <c r="C93" s="7">
        <v>27</v>
      </c>
      <c r="D93" s="3">
        <f>IF(ISNUMBER('Population size data'!D94),'Population size data'!D94/6,"")</f>
        <v>0.33333333333333331</v>
      </c>
      <c r="E93" s="3">
        <f>IF(ISNUMBER('Population size data'!E94),'Population size data'!E94/6,"")</f>
        <v>0.33333333333333331</v>
      </c>
      <c r="F93" s="3">
        <f>IF(ISNUMBER('Population size data'!F94),'Population size data'!F94/6,"")</f>
        <v>0.66666666666666663</v>
      </c>
      <c r="G93" s="3">
        <f>IF(ISNUMBER('Population size data'!G94),'Population size data'!G94/6,"")</f>
        <v>1.75</v>
      </c>
      <c r="H93" s="3">
        <f>IF(ISNUMBER('Population size data'!H94),'Population size data'!H94/6,"")</f>
        <v>4.833333333333333</v>
      </c>
      <c r="I93" s="3">
        <f>IF(ISNUMBER('Population size data'!I94),'Population size data'!I94/6,"")</f>
        <v>11.166666666666666</v>
      </c>
      <c r="J93" s="3">
        <f>IF(ISNUMBER('Population size data'!J94),'Population size data'!J94/6,"")</f>
        <v>13.25</v>
      </c>
      <c r="K93" s="3">
        <f>IF(ISNUMBER('Population size data'!K94),'Population size data'!K94/6,"")</f>
        <v>6</v>
      </c>
      <c r="L93" s="3">
        <f>IF(ISNUMBER('Population size data'!L94),'Population size data'!L94/6,"")</f>
        <v>0.5</v>
      </c>
      <c r="M93" s="3">
        <f>IF(ISNUMBER('Population size data'!M94),'Population size data'!M94/6,"")</f>
        <v>0</v>
      </c>
      <c r="N93" s="3">
        <f>IF(ISNUMBER('Population size data'!N94),'Population size data'!N94/6,"")</f>
        <v>0</v>
      </c>
      <c r="O93" s="3">
        <f>IF(ISNUMBER('Population size data'!O94),'Population size data'!O94/6,"")</f>
        <v>0</v>
      </c>
      <c r="P93" s="3">
        <f>IF(ISNUMBER('Population size data'!P94),'Population size data'!P94/6,"")</f>
        <v>0</v>
      </c>
      <c r="Q93" s="3">
        <f>IF(ISNUMBER('Population size data'!Q94),'Population size data'!Q94/6,"")</f>
        <v>0</v>
      </c>
      <c r="R93" s="3">
        <f>IF(ISNUMBER('Population size data'!R94),'Population size data'!R94/6,"")</f>
        <v>0</v>
      </c>
      <c r="S93" s="3">
        <f>IF(ISNUMBER('Population size data'!S94),'Population size data'!S94/6,"")</f>
        <v>0</v>
      </c>
      <c r="T93" s="3">
        <f>IF(ISNUMBER('Population size data'!T94),'Population size data'!T94/6,"")</f>
        <v>0</v>
      </c>
      <c r="U93" s="3" t="str">
        <f>IF(ISNUMBER('Population size data'!U94),'Population size data'!U94/6,"")</f>
        <v/>
      </c>
      <c r="V93" s="3">
        <f>IF(ISNUMBER('Population size data'!V94),'Population size data'!V94/6,"")</f>
        <v>0</v>
      </c>
    </row>
    <row r="94" spans="1:22" x14ac:dyDescent="0.3">
      <c r="A94" t="s">
        <v>29</v>
      </c>
      <c r="B94" t="s">
        <v>63</v>
      </c>
      <c r="C94" s="7">
        <v>27</v>
      </c>
      <c r="D94" s="3">
        <f>IF(ISNUMBER('Population size data'!D95),'Population size data'!D95/6,"")</f>
        <v>0.33333333333333331</v>
      </c>
      <c r="E94" s="3">
        <f>IF(ISNUMBER('Population size data'!E95),'Population size data'!E95/6,"")</f>
        <v>0.66666666666666663</v>
      </c>
      <c r="F94" s="3">
        <f>IF(ISNUMBER('Population size data'!F95),'Population size data'!F95/6,"")</f>
        <v>5.666666666666667</v>
      </c>
      <c r="G94" s="3">
        <f>IF(ISNUMBER('Population size data'!G95),'Population size data'!G95/6,"")</f>
        <v>17.916666666666668</v>
      </c>
      <c r="H94" s="3">
        <f>IF(ISNUMBER('Population size data'!H95),'Population size data'!H95/6,"")</f>
        <v>11.333333333333334</v>
      </c>
      <c r="I94" s="3">
        <f>IF(ISNUMBER('Population size data'!I95),'Population size data'!I95/6,"")</f>
        <v>2.8333333333333335</v>
      </c>
      <c r="J94" s="3">
        <f>IF(ISNUMBER('Population size data'!J95),'Population size data'!J95/6,"")</f>
        <v>0</v>
      </c>
      <c r="K94" s="3">
        <f>IF(ISNUMBER('Population size data'!K95),'Population size data'!K95/6,"")</f>
        <v>0</v>
      </c>
      <c r="L94" s="3">
        <f>IF(ISNUMBER('Population size data'!L95),'Population size data'!L95/6,"")</f>
        <v>0</v>
      </c>
      <c r="M94" s="3">
        <f>IF(ISNUMBER('Population size data'!M95),'Population size data'!M95/6,"")</f>
        <v>0</v>
      </c>
      <c r="N94" s="3">
        <f>IF(ISNUMBER('Population size data'!N95),'Population size data'!N95/6,"")</f>
        <v>0</v>
      </c>
      <c r="O94" s="3">
        <f>IF(ISNUMBER('Population size data'!O95),'Population size data'!O95/6,"")</f>
        <v>0</v>
      </c>
      <c r="P94" s="3">
        <f>IF(ISNUMBER('Population size data'!P95),'Population size data'!P95/6,"")</f>
        <v>0</v>
      </c>
      <c r="Q94" s="3">
        <f>IF(ISNUMBER('Population size data'!Q95),'Population size data'!Q95/6,"")</f>
        <v>0</v>
      </c>
      <c r="R94" s="3">
        <f>IF(ISNUMBER('Population size data'!R95),'Population size data'!R95/6,"")</f>
        <v>0</v>
      </c>
      <c r="S94" s="3">
        <f>IF(ISNUMBER('Population size data'!S95),'Population size data'!S95/6,"")</f>
        <v>0</v>
      </c>
      <c r="T94" s="3">
        <f>IF(ISNUMBER('Population size data'!T95),'Population size data'!T95/6,"")</f>
        <v>0</v>
      </c>
      <c r="U94" s="3" t="str">
        <f>IF(ISNUMBER('Population size data'!U95),'Population size data'!U95/6,"")</f>
        <v/>
      </c>
      <c r="V94" s="3">
        <f>IF(ISNUMBER('Population size data'!V95),'Population size data'!V95/6,"")</f>
        <v>0</v>
      </c>
    </row>
    <row r="95" spans="1:22" x14ac:dyDescent="0.3">
      <c r="A95" t="s">
        <v>30</v>
      </c>
      <c r="B95" t="s">
        <v>63</v>
      </c>
      <c r="C95" s="7">
        <v>27</v>
      </c>
      <c r="D95" s="3">
        <f>IF(ISNUMBER('Population size data'!D96),'Population size data'!D96/6,"")</f>
        <v>0.33333333333333331</v>
      </c>
      <c r="E95" s="3">
        <f>IF(ISNUMBER('Population size data'!E96),'Population size data'!E96/6,"")</f>
        <v>0.33333333333333331</v>
      </c>
      <c r="F95" s="3">
        <f>IF(ISNUMBER('Population size data'!F96),'Population size data'!F96/6,"")</f>
        <v>0.66666666666666663</v>
      </c>
      <c r="G95" s="3">
        <f>IF(ISNUMBER('Population size data'!G96),'Population size data'!G96/6,"")</f>
        <v>3.8333333333333335</v>
      </c>
      <c r="H95" s="3">
        <f>IF(ISNUMBER('Population size data'!H96),'Population size data'!H96/6,"")</f>
        <v>21.75</v>
      </c>
      <c r="I95" s="3">
        <f>IF(ISNUMBER('Population size data'!I96),'Population size data'!I96/6,"")</f>
        <v>17.833333333333332</v>
      </c>
      <c r="J95" s="3">
        <f>IF(ISNUMBER('Population size data'!J96),'Population size data'!J96/6,"")</f>
        <v>5</v>
      </c>
      <c r="K95" s="3">
        <f>IF(ISNUMBER('Population size data'!K96),'Population size data'!K96/6,"")</f>
        <v>0</v>
      </c>
      <c r="L95" s="3">
        <f>IF(ISNUMBER('Population size data'!L96),'Population size data'!L96/6,"")</f>
        <v>0</v>
      </c>
      <c r="M95" s="3">
        <f>IF(ISNUMBER('Population size data'!M96),'Population size data'!M96/6,"")</f>
        <v>0</v>
      </c>
      <c r="N95" s="3">
        <f>IF(ISNUMBER('Population size data'!N96),'Population size data'!N96/6,"")</f>
        <v>0</v>
      </c>
      <c r="O95" s="3">
        <f>IF(ISNUMBER('Population size data'!O96),'Population size data'!O96/6,"")</f>
        <v>0</v>
      </c>
      <c r="P95" s="3">
        <f>IF(ISNUMBER('Population size data'!P96),'Population size data'!P96/6,"")</f>
        <v>0</v>
      </c>
      <c r="Q95" s="3">
        <f>IF(ISNUMBER('Population size data'!Q96),'Population size data'!Q96/6,"")</f>
        <v>0</v>
      </c>
      <c r="R95" s="3">
        <f>IF(ISNUMBER('Population size data'!R96),'Population size data'!R96/6,"")</f>
        <v>0</v>
      </c>
      <c r="S95" s="3">
        <f>IF(ISNUMBER('Population size data'!S96),'Population size data'!S96/6,"")</f>
        <v>0</v>
      </c>
      <c r="T95" s="3">
        <f>IF(ISNUMBER('Population size data'!T96),'Population size data'!T96/6,"")</f>
        <v>0</v>
      </c>
      <c r="U95" s="3" t="str">
        <f>IF(ISNUMBER('Population size data'!U96),'Population size data'!U96/6,"")</f>
        <v/>
      </c>
      <c r="V95" s="3">
        <f>IF(ISNUMBER('Population size data'!V96),'Population size data'!V96/6,"")</f>
        <v>0</v>
      </c>
    </row>
    <row r="96" spans="1:22" x14ac:dyDescent="0.3">
      <c r="A96" t="s">
        <v>31</v>
      </c>
      <c r="B96" t="s">
        <v>63</v>
      </c>
      <c r="C96" s="7">
        <v>27</v>
      </c>
      <c r="D96" s="3">
        <f>IF(ISNUMBER('Population size data'!D97),'Population size data'!D97/6,"")</f>
        <v>0.33333333333333331</v>
      </c>
      <c r="E96" s="3">
        <f>IF(ISNUMBER('Population size data'!E97),'Population size data'!E97/6,"")</f>
        <v>0.33333333333333331</v>
      </c>
      <c r="F96" s="3">
        <f>IF(ISNUMBER('Population size data'!F97),'Population size data'!F97/6,"")</f>
        <v>0.66666666666666663</v>
      </c>
      <c r="G96" s="3">
        <f>IF(ISNUMBER('Population size data'!G97),'Population size data'!G97/6,"")</f>
        <v>5.5</v>
      </c>
      <c r="H96" s="3">
        <f>IF(ISNUMBER('Population size data'!H97),'Population size data'!H97/6,"")</f>
        <v>21.166666666666668</v>
      </c>
      <c r="I96" s="3">
        <f>IF(ISNUMBER('Population size data'!I97),'Population size data'!I97/6,"")</f>
        <v>14.333333333333334</v>
      </c>
      <c r="J96" s="3">
        <f>IF(ISNUMBER('Population size data'!J97),'Population size data'!J97/6,"")</f>
        <v>7.5</v>
      </c>
      <c r="K96" s="3">
        <f>IF(ISNUMBER('Population size data'!K97),'Population size data'!K97/6,"")</f>
        <v>0</v>
      </c>
      <c r="L96" s="3">
        <f>IF(ISNUMBER('Population size data'!L97),'Population size data'!L97/6,"")</f>
        <v>0</v>
      </c>
      <c r="M96" s="3">
        <f>IF(ISNUMBER('Population size data'!M97),'Population size data'!M97/6,"")</f>
        <v>0</v>
      </c>
      <c r="N96" s="3">
        <f>IF(ISNUMBER('Population size data'!N97),'Population size data'!N97/6,"")</f>
        <v>0</v>
      </c>
      <c r="O96" s="3">
        <f>IF(ISNUMBER('Population size data'!O97),'Population size data'!O97/6,"")</f>
        <v>0</v>
      </c>
      <c r="P96" s="3">
        <f>IF(ISNUMBER('Population size data'!P97),'Population size data'!P97/6,"")</f>
        <v>0</v>
      </c>
      <c r="Q96" s="3">
        <f>IF(ISNUMBER('Population size data'!Q97),'Population size data'!Q97/6,"")</f>
        <v>0</v>
      </c>
      <c r="R96" s="3">
        <f>IF(ISNUMBER('Population size data'!R97),'Population size data'!R97/6,"")</f>
        <v>0</v>
      </c>
      <c r="S96" s="3">
        <f>IF(ISNUMBER('Population size data'!S97),'Population size data'!S97/6,"")</f>
        <v>0</v>
      </c>
      <c r="T96" s="3">
        <f>IF(ISNUMBER('Population size data'!T97),'Population size data'!T97/6,"")</f>
        <v>0</v>
      </c>
      <c r="U96" s="3" t="str">
        <f>IF(ISNUMBER('Population size data'!U97),'Population size data'!U97/6,"")</f>
        <v/>
      </c>
      <c r="V96" s="3">
        <f>IF(ISNUMBER('Population size data'!V97),'Population size data'!V97/6,"")</f>
        <v>0</v>
      </c>
    </row>
    <row r="97" spans="1:22" x14ac:dyDescent="0.3">
      <c r="A97" t="s">
        <v>32</v>
      </c>
      <c r="B97" t="s">
        <v>63</v>
      </c>
      <c r="C97" s="7">
        <v>27</v>
      </c>
      <c r="D97" s="3">
        <f>IF(ISNUMBER('Population size data'!D98),'Population size data'!D98/6,"")</f>
        <v>0.33333333333333331</v>
      </c>
      <c r="E97" s="3">
        <f>IF(ISNUMBER('Population size data'!E98),'Population size data'!E98/6,"")</f>
        <v>0.5</v>
      </c>
      <c r="F97" s="3">
        <f>IF(ISNUMBER('Population size data'!F98),'Population size data'!F98/6,"")</f>
        <v>2.5833333333333335</v>
      </c>
      <c r="G97" s="3">
        <f>IF(ISNUMBER('Population size data'!G98),'Population size data'!G98/6,"")</f>
        <v>18</v>
      </c>
      <c r="H97" s="3">
        <f>IF(ISNUMBER('Population size data'!H98),'Population size data'!H98/6,"")</f>
        <v>16.5</v>
      </c>
      <c r="I97" s="3">
        <f>IF(ISNUMBER('Population size data'!I98),'Population size data'!I98/6,"")</f>
        <v>8.6666666666666661</v>
      </c>
      <c r="J97" s="3">
        <f>IF(ISNUMBER('Population size data'!J98),'Population size data'!J98/6,"")</f>
        <v>0.16666666666666666</v>
      </c>
      <c r="K97" s="3">
        <f>IF(ISNUMBER('Population size data'!K98),'Population size data'!K98/6,"")</f>
        <v>0</v>
      </c>
      <c r="L97" s="3">
        <f>IF(ISNUMBER('Population size data'!L98),'Population size data'!L98/6,"")</f>
        <v>0</v>
      </c>
      <c r="M97" s="3">
        <f>IF(ISNUMBER('Population size data'!M98),'Population size data'!M98/6,"")</f>
        <v>0</v>
      </c>
      <c r="N97" s="3">
        <f>IF(ISNUMBER('Population size data'!N98),'Population size data'!N98/6,"")</f>
        <v>0</v>
      </c>
      <c r="O97" s="3">
        <f>IF(ISNUMBER('Population size data'!O98),'Population size data'!O98/6,"")</f>
        <v>0</v>
      </c>
      <c r="P97" s="3">
        <f>IF(ISNUMBER('Population size data'!P98),'Population size data'!P98/6,"")</f>
        <v>0</v>
      </c>
      <c r="Q97" s="3">
        <f>IF(ISNUMBER('Population size data'!Q98),'Population size data'!Q98/6,"")</f>
        <v>0</v>
      </c>
      <c r="R97" s="3">
        <f>IF(ISNUMBER('Population size data'!R98),'Population size data'!R98/6,"")</f>
        <v>0</v>
      </c>
      <c r="S97" s="3">
        <f>IF(ISNUMBER('Population size data'!S98),'Population size data'!S98/6,"")</f>
        <v>0</v>
      </c>
      <c r="T97" s="3">
        <f>IF(ISNUMBER('Population size data'!T98),'Population size data'!T98/6,"")</f>
        <v>0</v>
      </c>
      <c r="U97" s="3" t="str">
        <f>IF(ISNUMBER('Population size data'!U98),'Population size data'!U98/6,"")</f>
        <v/>
      </c>
      <c r="V97" s="3">
        <f>IF(ISNUMBER('Population size data'!V98),'Population size data'!V98/6,"")</f>
        <v>0</v>
      </c>
    </row>
    <row r="98" spans="1:22" x14ac:dyDescent="0.3">
      <c r="A98" t="s">
        <v>33</v>
      </c>
      <c r="B98" t="s">
        <v>63</v>
      </c>
      <c r="C98" s="7">
        <v>31</v>
      </c>
      <c r="D98" s="3">
        <f>IF(ISNUMBER('Population size data'!D99),'Population size data'!D99/6,"")</f>
        <v>0.33333333333333331</v>
      </c>
      <c r="E98" s="3">
        <f>IF(ISNUMBER('Population size data'!E99),'Population size data'!E99/6,"")</f>
        <v>0.66666666666666663</v>
      </c>
      <c r="F98" s="3">
        <f>IF(ISNUMBER('Population size data'!F99),'Population size data'!F99/6,"")</f>
        <v>5.166666666666667</v>
      </c>
      <c r="G98" s="3">
        <f>IF(ISNUMBER('Population size data'!G99),'Population size data'!G99/6,"")</f>
        <v>13.166666666666666</v>
      </c>
      <c r="H98" s="3">
        <f>IF(ISNUMBER('Population size data'!H99),'Population size data'!H99/6,"")</f>
        <v>9.6666666666666661</v>
      </c>
      <c r="I98" s="3">
        <f>IF(ISNUMBER('Population size data'!I99),'Population size data'!I99/6,"")</f>
        <v>0.33333333333333331</v>
      </c>
      <c r="J98" s="3">
        <f>IF(ISNUMBER('Population size data'!J99),'Population size data'!J99/6,"")</f>
        <v>0</v>
      </c>
      <c r="K98" s="3">
        <f>IF(ISNUMBER('Population size data'!K99),'Population size data'!K99/6,"")</f>
        <v>0</v>
      </c>
      <c r="L98" s="3">
        <f>IF(ISNUMBER('Population size data'!L99),'Population size data'!L99/6,"")</f>
        <v>0</v>
      </c>
      <c r="M98" s="3">
        <f>IF(ISNUMBER('Population size data'!M99),'Population size data'!M99/6,"")</f>
        <v>0</v>
      </c>
      <c r="N98" s="3">
        <f>IF(ISNUMBER('Population size data'!N99),'Population size data'!N99/6,"")</f>
        <v>0</v>
      </c>
      <c r="O98" s="3">
        <f>IF(ISNUMBER('Population size data'!O99),'Population size data'!O99/6,"")</f>
        <v>0</v>
      </c>
      <c r="P98" s="3">
        <f>IF(ISNUMBER('Population size data'!P99),'Population size data'!P99/6,"")</f>
        <v>0</v>
      </c>
      <c r="Q98" s="3">
        <f>IF(ISNUMBER('Population size data'!Q99),'Population size data'!Q99/6,"")</f>
        <v>0</v>
      </c>
      <c r="R98" s="3">
        <f>IF(ISNUMBER('Population size data'!R99),'Population size data'!R99/6,"")</f>
        <v>0</v>
      </c>
      <c r="S98" s="3">
        <f>IF(ISNUMBER('Population size data'!S99),'Population size data'!S99/6,"")</f>
        <v>0</v>
      </c>
      <c r="T98" s="3">
        <f>IF(ISNUMBER('Population size data'!T99),'Population size data'!T99/6,"")</f>
        <v>0</v>
      </c>
      <c r="U98" s="3" t="str">
        <f>IF(ISNUMBER('Population size data'!U99),'Population size data'!U99/6,"")</f>
        <v/>
      </c>
      <c r="V98" s="3">
        <f>IF(ISNUMBER('Population size data'!V99),'Population size data'!V99/6,"")</f>
        <v>0</v>
      </c>
    </row>
    <row r="99" spans="1:22" x14ac:dyDescent="0.3">
      <c r="A99" s="2" t="s">
        <v>34</v>
      </c>
      <c r="B99" s="2" t="s">
        <v>63</v>
      </c>
      <c r="C99" s="14">
        <v>31</v>
      </c>
      <c r="D99" s="15">
        <f>IF(ISNUMBER('Population size data'!D100),'Population size data'!D100/6,"")</f>
        <v>0.33333333333333331</v>
      </c>
      <c r="E99" s="15">
        <f>IF(ISNUMBER('Population size data'!E100),'Population size data'!E100/6,"")</f>
        <v>0.5</v>
      </c>
      <c r="F99" s="15">
        <f>IF(ISNUMBER('Population size data'!F100),'Population size data'!F100/6,"")</f>
        <v>0.5</v>
      </c>
      <c r="G99" s="15">
        <f>IF(ISNUMBER('Population size data'!G100),'Population size data'!G100/6,"")</f>
        <v>0.33333333333333331</v>
      </c>
      <c r="H99" s="15">
        <f>IF(ISNUMBER('Population size data'!H100),'Population size data'!H100/6,"")</f>
        <v>0.16666666666666666</v>
      </c>
      <c r="I99" s="15">
        <f>IF(ISNUMBER('Population size data'!I100),'Population size data'!I100/6,"")</f>
        <v>0</v>
      </c>
      <c r="J99" s="15">
        <f>IF(ISNUMBER('Population size data'!J100),'Population size data'!J100/6,"")</f>
        <v>0</v>
      </c>
      <c r="K99" s="15">
        <f>IF(ISNUMBER('Population size data'!K100),'Population size data'!K100/6,"")</f>
        <v>0</v>
      </c>
      <c r="L99" s="15">
        <f>IF(ISNUMBER('Population size data'!L100),'Population size data'!L100/6,"")</f>
        <v>0</v>
      </c>
      <c r="M99" s="15">
        <f>IF(ISNUMBER('Population size data'!M100),'Population size data'!M100/6,"")</f>
        <v>0</v>
      </c>
      <c r="N99" s="15">
        <f>IF(ISNUMBER('Population size data'!N100),'Population size data'!N100/6,"")</f>
        <v>0</v>
      </c>
      <c r="O99" s="15">
        <f>IF(ISNUMBER('Population size data'!O100),'Population size data'!O100/6,"")</f>
        <v>0</v>
      </c>
      <c r="P99" s="15">
        <f>IF(ISNUMBER('Population size data'!P100),'Population size data'!P100/6,"")</f>
        <v>0</v>
      </c>
      <c r="Q99" s="15">
        <f>IF(ISNUMBER('Population size data'!Q100),'Population size data'!Q100/6,"")</f>
        <v>0</v>
      </c>
      <c r="R99" s="15">
        <f>IF(ISNUMBER('Population size data'!R100),'Population size data'!R100/6,"")</f>
        <v>0</v>
      </c>
      <c r="S99" s="15">
        <f>IF(ISNUMBER('Population size data'!S100),'Population size data'!S100/6,"")</f>
        <v>0</v>
      </c>
      <c r="T99" s="15">
        <f>IF(ISNUMBER('Population size data'!T100),'Population size data'!T100/6,"")</f>
        <v>0</v>
      </c>
      <c r="U99" s="15" t="str">
        <f>IF(ISNUMBER('Population size data'!U100),'Population size data'!U100/6,"")</f>
        <v/>
      </c>
      <c r="V99" s="15">
        <f>IF(ISNUMBER('Population size data'!V100),'Population size data'!V100/6,"")</f>
        <v>0</v>
      </c>
    </row>
    <row r="100" spans="1:22" x14ac:dyDescent="0.3">
      <c r="A100" s="2" t="s">
        <v>35</v>
      </c>
      <c r="B100" s="2" t="s">
        <v>63</v>
      </c>
      <c r="C100" s="14">
        <v>31</v>
      </c>
      <c r="D100" s="15">
        <f>IF(ISNUMBER('Population size data'!D101),'Population size data'!D101/6,"")</f>
        <v>0.33333333333333331</v>
      </c>
      <c r="E100" s="15">
        <f>IF(ISNUMBER('Population size data'!E101),'Population size data'!E101/6,"")</f>
        <v>0.33333333333333331</v>
      </c>
      <c r="F100" s="15">
        <f>IF(ISNUMBER('Population size data'!F101),'Population size data'!F101/6,"")</f>
        <v>0</v>
      </c>
      <c r="G100" s="15">
        <f>IF(ISNUMBER('Population size data'!G101),'Population size data'!G101/6,"")</f>
        <v>0</v>
      </c>
      <c r="H100" s="15">
        <f>IF(ISNUMBER('Population size data'!H101),'Population size data'!H101/6,"")</f>
        <v>0</v>
      </c>
      <c r="I100" s="15">
        <f>IF(ISNUMBER('Population size data'!I101),'Population size data'!I101/6,"")</f>
        <v>0</v>
      </c>
      <c r="J100" s="15">
        <f>IF(ISNUMBER('Population size data'!J101),'Population size data'!J101/6,"")</f>
        <v>0</v>
      </c>
      <c r="K100" s="15">
        <f>IF(ISNUMBER('Population size data'!K101),'Population size data'!K101/6,"")</f>
        <v>0</v>
      </c>
      <c r="L100" s="15">
        <f>IF(ISNUMBER('Population size data'!L101),'Population size data'!L101/6,"")</f>
        <v>0</v>
      </c>
      <c r="M100" s="15">
        <f>IF(ISNUMBER('Population size data'!M101),'Population size data'!M101/6,"")</f>
        <v>0</v>
      </c>
      <c r="N100" s="15">
        <f>IF(ISNUMBER('Population size data'!N101),'Population size data'!N101/6,"")</f>
        <v>0</v>
      </c>
      <c r="O100" s="15">
        <f>IF(ISNUMBER('Population size data'!O101),'Population size data'!O101/6,"")</f>
        <v>0</v>
      </c>
      <c r="P100" s="15">
        <f>IF(ISNUMBER('Population size data'!P101),'Population size data'!P101/6,"")</f>
        <v>0</v>
      </c>
      <c r="Q100" s="15">
        <f>IF(ISNUMBER('Population size data'!Q101),'Population size data'!Q101/6,"")</f>
        <v>0</v>
      </c>
      <c r="R100" s="15">
        <f>IF(ISNUMBER('Population size data'!R101),'Population size data'!R101/6,"")</f>
        <v>0</v>
      </c>
      <c r="S100" s="15">
        <f>IF(ISNUMBER('Population size data'!S101),'Population size data'!S101/6,"")</f>
        <v>0</v>
      </c>
      <c r="T100" s="15">
        <f>IF(ISNUMBER('Population size data'!T101),'Population size data'!T101/6,"")</f>
        <v>0</v>
      </c>
      <c r="U100" s="15" t="str">
        <f>IF(ISNUMBER('Population size data'!U101),'Population size data'!U101/6,"")</f>
        <v/>
      </c>
      <c r="V100" s="15">
        <f>IF(ISNUMBER('Population size data'!V101),'Population size data'!V101/6,"")</f>
        <v>0</v>
      </c>
    </row>
    <row r="101" spans="1:22" x14ac:dyDescent="0.3">
      <c r="A101" t="s">
        <v>36</v>
      </c>
      <c r="B101" t="s">
        <v>63</v>
      </c>
      <c r="C101" s="7">
        <v>31</v>
      </c>
      <c r="D101" s="3">
        <f>IF(ISNUMBER('Population size data'!D102),'Population size data'!D102/6,"")</f>
        <v>0.33333333333333331</v>
      </c>
      <c r="E101" s="3">
        <f>IF(ISNUMBER('Population size data'!E102),'Population size data'!E102/6,"")</f>
        <v>1.3333333333333333</v>
      </c>
      <c r="F101" s="3">
        <f>IF(ISNUMBER('Population size data'!F102),'Population size data'!F102/6,"")</f>
        <v>11</v>
      </c>
      <c r="G101" s="3">
        <f>IF(ISNUMBER('Population size data'!G102),'Population size data'!G102/6,"")</f>
        <v>12.083333333333334</v>
      </c>
      <c r="H101" s="3">
        <f>IF(ISNUMBER('Population size data'!H102),'Population size data'!H102/6,"")</f>
        <v>3.6666666666666665</v>
      </c>
      <c r="I101" s="3">
        <f>IF(ISNUMBER('Population size data'!I102),'Population size data'!I102/6,"")</f>
        <v>0</v>
      </c>
      <c r="J101" s="3">
        <f>IF(ISNUMBER('Population size data'!J102),'Population size data'!J102/6,"")</f>
        <v>0</v>
      </c>
      <c r="K101" s="3">
        <f>IF(ISNUMBER('Population size data'!K102),'Population size data'!K102/6,"")</f>
        <v>0</v>
      </c>
      <c r="L101" s="3">
        <f>IF(ISNUMBER('Population size data'!L102),'Population size data'!L102/6,"")</f>
        <v>0</v>
      </c>
      <c r="M101" s="3">
        <f>IF(ISNUMBER('Population size data'!M102),'Population size data'!M102/6,"")</f>
        <v>0</v>
      </c>
      <c r="N101" s="3">
        <f>IF(ISNUMBER('Population size data'!N102),'Population size data'!N102/6,"")</f>
        <v>0</v>
      </c>
      <c r="O101" s="3">
        <f>IF(ISNUMBER('Population size data'!O102),'Population size data'!O102/6,"")</f>
        <v>0</v>
      </c>
      <c r="P101" s="3">
        <f>IF(ISNUMBER('Population size data'!P102),'Population size data'!P102/6,"")</f>
        <v>0</v>
      </c>
      <c r="Q101" s="3">
        <f>IF(ISNUMBER('Population size data'!Q102),'Population size data'!Q102/6,"")</f>
        <v>0</v>
      </c>
      <c r="R101" s="3">
        <f>IF(ISNUMBER('Population size data'!R102),'Population size data'!R102/6,"")</f>
        <v>0</v>
      </c>
      <c r="S101" s="3">
        <f>IF(ISNUMBER('Population size data'!S102),'Population size data'!S102/6,"")</f>
        <v>0</v>
      </c>
      <c r="T101" s="3">
        <f>IF(ISNUMBER('Population size data'!T102),'Population size data'!T102/6,"")</f>
        <v>0</v>
      </c>
      <c r="U101" s="3" t="str">
        <f>IF(ISNUMBER('Population size data'!U102),'Population size data'!U102/6,"")</f>
        <v/>
      </c>
      <c r="V101" s="3">
        <f>IF(ISNUMBER('Population size data'!V102),'Population size data'!V102/6,"")</f>
        <v>0</v>
      </c>
    </row>
    <row r="102" spans="1:22" x14ac:dyDescent="0.3">
      <c r="A102" t="s">
        <v>37</v>
      </c>
      <c r="B102" t="s">
        <v>63</v>
      </c>
      <c r="C102" s="7">
        <v>31</v>
      </c>
      <c r="D102" s="3">
        <f>IF(ISNUMBER('Population size data'!D103),'Population size data'!D103/6,"")</f>
        <v>0.33333333333333331</v>
      </c>
      <c r="E102" s="3">
        <f>IF(ISNUMBER('Population size data'!E103),'Population size data'!E103/6,"")</f>
        <v>1.1666666666666667</v>
      </c>
      <c r="F102" s="3">
        <f>IF(ISNUMBER('Population size data'!F103),'Population size data'!F103/6,"")</f>
        <v>6.916666666666667</v>
      </c>
      <c r="G102" s="3">
        <f>IF(ISNUMBER('Population size data'!G103),'Population size data'!G103/6,"")</f>
        <v>8.75</v>
      </c>
      <c r="H102" s="3">
        <f>IF(ISNUMBER('Population size data'!H103),'Population size data'!H103/6,"")</f>
        <v>5.416666666666667</v>
      </c>
      <c r="I102" s="3">
        <f>IF(ISNUMBER('Population size data'!I103),'Population size data'!I103/6,"")</f>
        <v>0</v>
      </c>
      <c r="J102" s="3">
        <f>IF(ISNUMBER('Population size data'!J103),'Population size data'!J103/6,"")</f>
        <v>0</v>
      </c>
      <c r="K102" s="3">
        <f>IF(ISNUMBER('Population size data'!K103),'Population size data'!K103/6,"")</f>
        <v>0</v>
      </c>
      <c r="L102" s="3">
        <f>IF(ISNUMBER('Population size data'!L103),'Population size data'!L103/6,"")</f>
        <v>0</v>
      </c>
      <c r="M102" s="3">
        <f>IF(ISNUMBER('Population size data'!M103),'Population size data'!M103/6,"")</f>
        <v>0</v>
      </c>
      <c r="N102" s="3">
        <f>IF(ISNUMBER('Population size data'!N103),'Population size data'!N103/6,"")</f>
        <v>0</v>
      </c>
      <c r="O102" s="3">
        <f>IF(ISNUMBER('Population size data'!O103),'Population size data'!O103/6,"")</f>
        <v>0</v>
      </c>
      <c r="P102" s="3">
        <f>IF(ISNUMBER('Population size data'!P103),'Population size data'!P103/6,"")</f>
        <v>0</v>
      </c>
      <c r="Q102" s="3">
        <f>IF(ISNUMBER('Population size data'!Q103),'Population size data'!Q103/6,"")</f>
        <v>0</v>
      </c>
      <c r="R102" s="3">
        <f>IF(ISNUMBER('Population size data'!R103),'Population size data'!R103/6,"")</f>
        <v>0</v>
      </c>
      <c r="S102" s="3">
        <f>IF(ISNUMBER('Population size data'!S103),'Population size data'!S103/6,"")</f>
        <v>0</v>
      </c>
      <c r="T102" s="3">
        <f>IF(ISNUMBER('Population size data'!T103),'Population size data'!T103/6,"")</f>
        <v>0</v>
      </c>
      <c r="U102" s="3" t="str">
        <f>IF(ISNUMBER('Population size data'!U103),'Population size data'!U103/6,"")</f>
        <v/>
      </c>
      <c r="V102" s="3">
        <f>IF(ISNUMBER('Population size data'!V103),'Population size data'!V103/6,"")</f>
        <v>0</v>
      </c>
    </row>
    <row r="103" spans="1:22" x14ac:dyDescent="0.3">
      <c r="A103" s="2" t="s">
        <v>38</v>
      </c>
      <c r="B103" s="2" t="s">
        <v>63</v>
      </c>
      <c r="C103" s="14">
        <v>31</v>
      </c>
      <c r="D103" s="15">
        <f>IF(ISNUMBER('Population size data'!D104),'Population size data'!D104/6,"")</f>
        <v>0.33333333333333331</v>
      </c>
      <c r="E103" s="15">
        <f>IF(ISNUMBER('Population size data'!E104),'Population size data'!E104/6,"")</f>
        <v>0.33333333333333331</v>
      </c>
      <c r="F103" s="15">
        <f>IF(ISNUMBER('Population size data'!F104),'Population size data'!F104/6,"")</f>
        <v>0.16666666666666666</v>
      </c>
      <c r="G103" s="15">
        <f>IF(ISNUMBER('Population size data'!G104),'Population size data'!G104/6,"")</f>
        <v>0</v>
      </c>
      <c r="H103" s="15">
        <f>IF(ISNUMBER('Population size data'!H104),'Population size data'!H104/6,"")</f>
        <v>0</v>
      </c>
      <c r="I103" s="15">
        <f>IF(ISNUMBER('Population size data'!I104),'Population size data'!I104/6,"")</f>
        <v>0</v>
      </c>
      <c r="J103" s="15">
        <f>IF(ISNUMBER('Population size data'!J104),'Population size data'!J104/6,"")</f>
        <v>0</v>
      </c>
      <c r="K103" s="15">
        <f>IF(ISNUMBER('Population size data'!K104),'Population size data'!K104/6,"")</f>
        <v>0</v>
      </c>
      <c r="L103" s="15">
        <f>IF(ISNUMBER('Population size data'!L104),'Population size data'!L104/6,"")</f>
        <v>0</v>
      </c>
      <c r="M103" s="15">
        <f>IF(ISNUMBER('Population size data'!M104),'Population size data'!M104/6,"")</f>
        <v>0</v>
      </c>
      <c r="N103" s="15">
        <f>IF(ISNUMBER('Population size data'!N104),'Population size data'!N104/6,"")</f>
        <v>0</v>
      </c>
      <c r="O103" s="15">
        <f>IF(ISNUMBER('Population size data'!O104),'Population size data'!O104/6,"")</f>
        <v>0</v>
      </c>
      <c r="P103" s="15">
        <f>IF(ISNUMBER('Population size data'!P104),'Population size data'!P104/6,"")</f>
        <v>0</v>
      </c>
      <c r="Q103" s="15">
        <f>IF(ISNUMBER('Population size data'!Q104),'Population size data'!Q104/6,"")</f>
        <v>0</v>
      </c>
      <c r="R103" s="15">
        <f>IF(ISNUMBER('Population size data'!R104),'Population size data'!R104/6,"")</f>
        <v>0</v>
      </c>
      <c r="S103" s="15">
        <f>IF(ISNUMBER('Population size data'!S104),'Population size data'!S104/6,"")</f>
        <v>0</v>
      </c>
      <c r="T103" s="15">
        <f>IF(ISNUMBER('Population size data'!T104),'Population size data'!T104/6,"")</f>
        <v>0</v>
      </c>
      <c r="U103" s="15" t="str">
        <f>IF(ISNUMBER('Population size data'!U104),'Population size data'!U104/6,"")</f>
        <v/>
      </c>
      <c r="V103" s="15">
        <f>IF(ISNUMBER('Population size data'!V104),'Population size data'!V104/6,"")</f>
        <v>0</v>
      </c>
    </row>
    <row r="104" spans="1:22" x14ac:dyDescent="0.3">
      <c r="D104" s="3" t="str">
        <f>IF(ISNUMBER('Population size data'!D105),'Population size data'!D105/6,"")</f>
        <v/>
      </c>
      <c r="E104" s="3" t="str">
        <f>IF(ISNUMBER('Population size data'!E105),'Population size data'!E105/6,"")</f>
        <v/>
      </c>
      <c r="F104" s="3" t="str">
        <f>IF(ISNUMBER('Population size data'!F105),'Population size data'!F105/6,"")</f>
        <v/>
      </c>
      <c r="G104" s="3" t="str">
        <f>IF(ISNUMBER('Population size data'!G105),'Population size data'!G105/6,"")</f>
        <v/>
      </c>
      <c r="H104" s="3" t="str">
        <f>IF(ISNUMBER('Population size data'!H105),'Population size data'!H105/6,"")</f>
        <v/>
      </c>
      <c r="I104" s="3" t="str">
        <f>IF(ISNUMBER('Population size data'!I105),'Population size data'!I105/6,"")</f>
        <v/>
      </c>
      <c r="J104" s="3" t="str">
        <f>IF(ISNUMBER('Population size data'!J105),'Population size data'!J105/6,"")</f>
        <v/>
      </c>
      <c r="K104" s="3" t="str">
        <f>IF(ISNUMBER('Population size data'!K105),'Population size data'!K105/6,"")</f>
        <v/>
      </c>
      <c r="L104" s="3" t="str">
        <f>IF(ISNUMBER('Population size data'!L105),'Population size data'!L105/6,"")</f>
        <v/>
      </c>
      <c r="M104" s="3" t="str">
        <f>IF(ISNUMBER('Population size data'!M105),'Population size data'!M105/6,"")</f>
        <v/>
      </c>
      <c r="N104" s="3" t="str">
        <f>IF(ISNUMBER('Population size data'!N105),'Population size data'!N105/6,"")</f>
        <v/>
      </c>
      <c r="O104" s="3" t="str">
        <f>IF(ISNUMBER('Population size data'!O105),'Population size data'!O105/6,"")</f>
        <v/>
      </c>
      <c r="P104" s="3" t="str">
        <f>IF(ISNUMBER('Population size data'!P105),'Population size data'!P105/6,"")</f>
        <v/>
      </c>
      <c r="Q104" s="3" t="str">
        <f>IF(ISNUMBER('Population size data'!Q105),'Population size data'!Q105/6,"")</f>
        <v/>
      </c>
      <c r="R104" s="3" t="str">
        <f>IF(ISNUMBER('Population size data'!R105),'Population size data'!R105/6,"")</f>
        <v/>
      </c>
      <c r="S104" s="3" t="str">
        <f>IF(ISNUMBER('Population size data'!S105),'Population size data'!S105/6,"")</f>
        <v/>
      </c>
      <c r="T104" s="3" t="str">
        <f>IF(ISNUMBER('Population size data'!T105),'Population size data'!T105/6,"")</f>
        <v/>
      </c>
      <c r="U104" s="3" t="str">
        <f>IF(ISNUMBER('Population size data'!U105),'Population size data'!U105/6,"")</f>
        <v/>
      </c>
      <c r="V104" s="3" t="str">
        <f>IF(ISNUMBER('Population size data'!V105),'Population size data'!V105/6,"")</f>
        <v/>
      </c>
    </row>
  </sheetData>
  <mergeCells count="4">
    <mergeCell ref="A1:F1"/>
    <mergeCell ref="D2:V2"/>
    <mergeCell ref="A65:F65"/>
    <mergeCell ref="D66:V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workbookViewId="0">
      <selection activeCell="D7" sqref="D7"/>
    </sheetView>
  </sheetViews>
  <sheetFormatPr defaultColWidth="11" defaultRowHeight="15.6" x14ac:dyDescent="0.3"/>
  <cols>
    <col min="1" max="16384" width="11" style="9"/>
  </cols>
  <sheetData>
    <row r="1" spans="1:8" x14ac:dyDescent="0.3">
      <c r="A1" s="9" t="s">
        <v>64</v>
      </c>
      <c r="B1" s="9" t="s">
        <v>1</v>
      </c>
      <c r="C1" s="9" t="s">
        <v>65</v>
      </c>
      <c r="D1" s="9" t="s">
        <v>66</v>
      </c>
      <c r="E1" s="9" t="s">
        <v>67</v>
      </c>
      <c r="F1" s="9" t="s">
        <v>99</v>
      </c>
      <c r="G1" s="9" t="s">
        <v>100</v>
      </c>
      <c r="H1" s="9" t="s">
        <v>101</v>
      </c>
    </row>
    <row r="2" spans="1:8" x14ac:dyDescent="0.3">
      <c r="A2" s="9" t="s">
        <v>68</v>
      </c>
      <c r="B2" s="9">
        <f t="shared" ref="B2:B65" si="0">LEFT(A2,2)+0</f>
        <v>25</v>
      </c>
      <c r="C2" s="9">
        <v>0</v>
      </c>
      <c r="D2" s="9">
        <v>0.11</v>
      </c>
      <c r="E2" s="9">
        <v>0.11</v>
      </c>
      <c r="F2" s="9">
        <f t="shared" ref="F2:F65" si="1">D2/2</f>
        <v>5.5E-2</v>
      </c>
      <c r="G2" s="9">
        <f t="shared" ref="G2:G65" si="2">E2/2</f>
        <v>5.5E-2</v>
      </c>
      <c r="H2" s="9">
        <f t="shared" ref="H2:H29" si="3">(4/3)*3.14159265359*G2^2*F2</f>
        <v>6.9690997032138163E-4</v>
      </c>
    </row>
    <row r="3" spans="1:8" x14ac:dyDescent="0.3">
      <c r="A3" s="9" t="s">
        <v>68</v>
      </c>
      <c r="B3" s="9">
        <f t="shared" si="0"/>
        <v>25</v>
      </c>
      <c r="C3" s="9">
        <v>0</v>
      </c>
      <c r="D3" s="9">
        <v>7.0000000000000007E-2</v>
      </c>
      <c r="E3" s="9">
        <v>0.06</v>
      </c>
      <c r="F3" s="9">
        <f t="shared" si="1"/>
        <v>3.5000000000000003E-2</v>
      </c>
      <c r="G3" s="9">
        <f t="shared" si="2"/>
        <v>0.03</v>
      </c>
      <c r="H3" s="9">
        <f t="shared" si="3"/>
        <v>1.3194689145078E-4</v>
      </c>
    </row>
    <row r="4" spans="1:8" x14ac:dyDescent="0.3">
      <c r="A4" s="9" t="s">
        <v>68</v>
      </c>
      <c r="B4" s="9">
        <f t="shared" si="0"/>
        <v>25</v>
      </c>
      <c r="C4" s="9">
        <v>0</v>
      </c>
      <c r="D4" s="9">
        <v>0.04</v>
      </c>
      <c r="E4" s="9">
        <v>0.04</v>
      </c>
      <c r="F4" s="9">
        <f t="shared" si="1"/>
        <v>0.02</v>
      </c>
      <c r="G4" s="9">
        <f t="shared" si="2"/>
        <v>0.02</v>
      </c>
      <c r="H4" s="9">
        <f t="shared" si="3"/>
        <v>3.351032163829334E-5</v>
      </c>
    </row>
    <row r="5" spans="1:8" x14ac:dyDescent="0.3">
      <c r="A5" s="9" t="s">
        <v>69</v>
      </c>
      <c r="B5" s="9">
        <f t="shared" si="0"/>
        <v>25</v>
      </c>
      <c r="C5" s="9">
        <v>0</v>
      </c>
      <c r="D5" s="9">
        <v>0.12</v>
      </c>
      <c r="E5" s="9">
        <v>0.12</v>
      </c>
      <c r="F5" s="9">
        <f t="shared" si="1"/>
        <v>0.06</v>
      </c>
      <c r="G5" s="9">
        <f t="shared" si="2"/>
        <v>0.06</v>
      </c>
      <c r="H5" s="9">
        <f t="shared" si="3"/>
        <v>9.0477868423391992E-4</v>
      </c>
    </row>
    <row r="6" spans="1:8" x14ac:dyDescent="0.3">
      <c r="A6" s="9" t="s">
        <v>69</v>
      </c>
      <c r="B6" s="9">
        <f t="shared" si="0"/>
        <v>25</v>
      </c>
      <c r="C6" s="9">
        <v>0</v>
      </c>
      <c r="D6" s="9">
        <v>0.12</v>
      </c>
      <c r="E6" s="9">
        <v>0.11</v>
      </c>
      <c r="F6" s="9">
        <f t="shared" si="1"/>
        <v>0.06</v>
      </c>
      <c r="G6" s="9">
        <f t="shared" si="2"/>
        <v>5.5E-2</v>
      </c>
      <c r="H6" s="9">
        <f t="shared" si="3"/>
        <v>7.6026542216877996E-4</v>
      </c>
    </row>
    <row r="7" spans="1:8" x14ac:dyDescent="0.3">
      <c r="A7" s="9" t="s">
        <v>70</v>
      </c>
      <c r="B7" s="9">
        <f t="shared" si="0"/>
        <v>25</v>
      </c>
      <c r="C7" s="9">
        <v>0</v>
      </c>
      <c r="D7" s="9">
        <v>7.0000000000000007E-2</v>
      </c>
      <c r="E7" s="9">
        <v>7.0000000000000007E-2</v>
      </c>
      <c r="F7" s="9">
        <f t="shared" si="1"/>
        <v>3.5000000000000003E-2</v>
      </c>
      <c r="G7" s="9">
        <f t="shared" si="2"/>
        <v>3.5000000000000003E-2</v>
      </c>
      <c r="H7" s="9">
        <f t="shared" si="3"/>
        <v>1.7959438003022836E-4</v>
      </c>
    </row>
    <row r="8" spans="1:8" x14ac:dyDescent="0.3">
      <c r="A8" s="9" t="s">
        <v>70</v>
      </c>
      <c r="B8" s="9">
        <f t="shared" si="0"/>
        <v>25</v>
      </c>
      <c r="C8" s="9">
        <v>0</v>
      </c>
      <c r="D8" s="9">
        <v>0.09</v>
      </c>
      <c r="E8" s="9">
        <v>0.08</v>
      </c>
      <c r="F8" s="9">
        <f t="shared" si="1"/>
        <v>4.4999999999999998E-2</v>
      </c>
      <c r="G8" s="9">
        <f t="shared" si="2"/>
        <v>0.04</v>
      </c>
      <c r="H8" s="9">
        <f t="shared" si="3"/>
        <v>3.0159289474464003E-4</v>
      </c>
    </row>
    <row r="9" spans="1:8" x14ac:dyDescent="0.3">
      <c r="A9" s="9" t="s">
        <v>71</v>
      </c>
      <c r="B9" s="9">
        <f t="shared" si="0"/>
        <v>25</v>
      </c>
      <c r="C9" s="9">
        <v>0</v>
      </c>
      <c r="D9" s="9">
        <v>0.13</v>
      </c>
      <c r="E9" s="9">
        <v>0.11</v>
      </c>
      <c r="F9" s="9">
        <f t="shared" si="1"/>
        <v>6.5000000000000002E-2</v>
      </c>
      <c r="G9" s="9">
        <f t="shared" si="2"/>
        <v>5.5E-2</v>
      </c>
      <c r="H9" s="9">
        <f t="shared" si="3"/>
        <v>8.2362087401617839E-4</v>
      </c>
    </row>
    <row r="10" spans="1:8" x14ac:dyDescent="0.3">
      <c r="A10" s="9" t="s">
        <v>71</v>
      </c>
      <c r="B10" s="9">
        <f t="shared" si="0"/>
        <v>25</v>
      </c>
      <c r="C10" s="9">
        <v>0</v>
      </c>
      <c r="D10" s="9">
        <v>0.1</v>
      </c>
      <c r="E10" s="9">
        <v>0.09</v>
      </c>
      <c r="F10" s="9">
        <f t="shared" si="1"/>
        <v>0.05</v>
      </c>
      <c r="G10" s="9">
        <f t="shared" si="2"/>
        <v>4.4999999999999998E-2</v>
      </c>
      <c r="H10" s="9">
        <f t="shared" si="3"/>
        <v>4.2411500823465002E-4</v>
      </c>
    </row>
    <row r="11" spans="1:8" x14ac:dyDescent="0.3">
      <c r="A11" s="9" t="s">
        <v>72</v>
      </c>
      <c r="B11" s="9">
        <f t="shared" si="0"/>
        <v>23</v>
      </c>
      <c r="C11" s="9">
        <v>0</v>
      </c>
      <c r="D11" s="9">
        <v>0.09</v>
      </c>
      <c r="E11" s="9">
        <v>0.08</v>
      </c>
      <c r="F11" s="9">
        <f t="shared" si="1"/>
        <v>4.4999999999999998E-2</v>
      </c>
      <c r="G11" s="9">
        <f t="shared" si="2"/>
        <v>0.04</v>
      </c>
      <c r="H11" s="9">
        <f t="shared" si="3"/>
        <v>3.0159289474464003E-4</v>
      </c>
    </row>
    <row r="12" spans="1:8" x14ac:dyDescent="0.3">
      <c r="A12" s="9" t="s">
        <v>72</v>
      </c>
      <c r="B12" s="9">
        <f t="shared" si="0"/>
        <v>23</v>
      </c>
      <c r="C12" s="9">
        <v>0</v>
      </c>
      <c r="D12" s="9">
        <v>0.09</v>
      </c>
      <c r="E12" s="9">
        <v>0.08</v>
      </c>
      <c r="F12" s="9">
        <f t="shared" si="1"/>
        <v>4.4999999999999998E-2</v>
      </c>
      <c r="G12" s="9">
        <f t="shared" si="2"/>
        <v>0.04</v>
      </c>
      <c r="H12" s="9">
        <f t="shared" si="3"/>
        <v>3.0159289474464003E-4</v>
      </c>
    </row>
    <row r="13" spans="1:8" x14ac:dyDescent="0.3">
      <c r="A13" s="9" t="s">
        <v>72</v>
      </c>
      <c r="B13" s="9">
        <f t="shared" si="0"/>
        <v>23</v>
      </c>
      <c r="C13" s="9">
        <v>0</v>
      </c>
      <c r="D13" s="9">
        <v>0.12</v>
      </c>
      <c r="E13" s="9">
        <v>0.09</v>
      </c>
      <c r="F13" s="9">
        <f t="shared" si="1"/>
        <v>0.06</v>
      </c>
      <c r="G13" s="9">
        <f t="shared" si="2"/>
        <v>4.4999999999999998E-2</v>
      </c>
      <c r="H13" s="9">
        <f t="shared" si="3"/>
        <v>5.0893800988158005E-4</v>
      </c>
    </row>
    <row r="14" spans="1:8" x14ac:dyDescent="0.3">
      <c r="A14" s="9" t="s">
        <v>73</v>
      </c>
      <c r="B14" s="9">
        <f t="shared" si="0"/>
        <v>23</v>
      </c>
      <c r="C14" s="9">
        <v>0</v>
      </c>
      <c r="D14" s="9">
        <v>7.0000000000000007E-2</v>
      </c>
      <c r="E14" s="9">
        <v>7.0000000000000007E-2</v>
      </c>
      <c r="F14" s="9">
        <f t="shared" si="1"/>
        <v>3.5000000000000003E-2</v>
      </c>
      <c r="G14" s="9">
        <f t="shared" si="2"/>
        <v>3.5000000000000003E-2</v>
      </c>
      <c r="H14" s="9">
        <f t="shared" si="3"/>
        <v>1.7959438003022836E-4</v>
      </c>
    </row>
    <row r="15" spans="1:8" x14ac:dyDescent="0.3">
      <c r="A15" s="9" t="s">
        <v>73</v>
      </c>
      <c r="B15" s="9">
        <f t="shared" si="0"/>
        <v>23</v>
      </c>
      <c r="C15" s="9">
        <v>0</v>
      </c>
      <c r="D15" s="9">
        <v>0.08</v>
      </c>
      <c r="E15" s="9">
        <v>7.0000000000000007E-2</v>
      </c>
      <c r="F15" s="9">
        <f t="shared" si="1"/>
        <v>0.04</v>
      </c>
      <c r="G15" s="9">
        <f t="shared" si="2"/>
        <v>3.5000000000000003E-2</v>
      </c>
      <c r="H15" s="9">
        <f t="shared" si="3"/>
        <v>2.0525072003454669E-4</v>
      </c>
    </row>
    <row r="16" spans="1:8" x14ac:dyDescent="0.3">
      <c r="A16" s="9" t="s">
        <v>73</v>
      </c>
      <c r="B16" s="9">
        <f t="shared" si="0"/>
        <v>23</v>
      </c>
      <c r="C16" s="9">
        <v>0</v>
      </c>
      <c r="D16" s="9">
        <v>7.0000000000000007E-2</v>
      </c>
      <c r="E16" s="9">
        <v>7.0000000000000007E-2</v>
      </c>
      <c r="F16" s="9">
        <f t="shared" si="1"/>
        <v>3.5000000000000003E-2</v>
      </c>
      <c r="G16" s="9">
        <f t="shared" si="2"/>
        <v>3.5000000000000003E-2</v>
      </c>
      <c r="H16" s="9">
        <f t="shared" si="3"/>
        <v>1.7959438003022836E-4</v>
      </c>
    </row>
    <row r="17" spans="1:8" x14ac:dyDescent="0.3">
      <c r="A17" s="9" t="s">
        <v>74</v>
      </c>
      <c r="B17" s="9">
        <f t="shared" si="0"/>
        <v>25</v>
      </c>
      <c r="C17" s="9">
        <v>0</v>
      </c>
      <c r="D17" s="9">
        <v>0.14000000000000001</v>
      </c>
      <c r="E17" s="9">
        <v>0.13</v>
      </c>
      <c r="F17" s="9">
        <f t="shared" si="1"/>
        <v>7.0000000000000007E-2</v>
      </c>
      <c r="G17" s="9">
        <f t="shared" si="2"/>
        <v>6.5000000000000002E-2</v>
      </c>
      <c r="H17" s="9">
        <f t="shared" si="3"/>
        <v>1.238834703065657E-3</v>
      </c>
    </row>
    <row r="18" spans="1:8" x14ac:dyDescent="0.3">
      <c r="A18" s="9" t="s">
        <v>74</v>
      </c>
      <c r="B18" s="9">
        <f t="shared" si="0"/>
        <v>25</v>
      </c>
      <c r="C18" s="9">
        <v>0</v>
      </c>
      <c r="D18" s="9">
        <v>0.08</v>
      </c>
      <c r="E18" s="9">
        <v>7.0000000000000007E-2</v>
      </c>
      <c r="F18" s="9">
        <f t="shared" si="1"/>
        <v>0.04</v>
      </c>
      <c r="G18" s="9">
        <f t="shared" si="2"/>
        <v>3.5000000000000003E-2</v>
      </c>
      <c r="H18" s="9">
        <f t="shared" si="3"/>
        <v>2.0525072003454669E-4</v>
      </c>
    </row>
    <row r="19" spans="1:8" x14ac:dyDescent="0.3">
      <c r="A19" s="9" t="s">
        <v>75</v>
      </c>
      <c r="B19" s="9">
        <f t="shared" si="0"/>
        <v>25</v>
      </c>
      <c r="C19" s="9">
        <v>0</v>
      </c>
      <c r="D19" s="9">
        <v>0.13</v>
      </c>
      <c r="E19" s="9">
        <v>0.12</v>
      </c>
      <c r="F19" s="9">
        <f t="shared" si="1"/>
        <v>6.5000000000000002E-2</v>
      </c>
      <c r="G19" s="9">
        <f t="shared" si="2"/>
        <v>0.06</v>
      </c>
      <c r="H19" s="9">
        <f t="shared" si="3"/>
        <v>9.8017690792007997E-4</v>
      </c>
    </row>
    <row r="20" spans="1:8" x14ac:dyDescent="0.3">
      <c r="A20" s="9" t="s">
        <v>75</v>
      </c>
      <c r="B20" s="9">
        <f t="shared" si="0"/>
        <v>25</v>
      </c>
      <c r="C20" s="9">
        <v>0</v>
      </c>
      <c r="D20" s="9">
        <v>0.12</v>
      </c>
      <c r="E20" s="9">
        <v>0.12</v>
      </c>
      <c r="F20" s="9">
        <f t="shared" si="1"/>
        <v>0.06</v>
      </c>
      <c r="G20" s="9">
        <f t="shared" si="2"/>
        <v>0.06</v>
      </c>
      <c r="H20" s="9">
        <f t="shared" si="3"/>
        <v>9.0477868423391992E-4</v>
      </c>
    </row>
    <row r="21" spans="1:8" x14ac:dyDescent="0.3">
      <c r="A21" s="9" t="s">
        <v>85</v>
      </c>
      <c r="B21" s="9">
        <f t="shared" si="0"/>
        <v>27</v>
      </c>
      <c r="C21" s="9">
        <v>3</v>
      </c>
      <c r="D21" s="9">
        <v>0.08</v>
      </c>
      <c r="E21" s="9">
        <v>0.08</v>
      </c>
      <c r="F21" s="9">
        <f t="shared" si="1"/>
        <v>0.04</v>
      </c>
      <c r="G21" s="9">
        <f t="shared" si="2"/>
        <v>0.04</v>
      </c>
      <c r="H21" s="9">
        <f t="shared" si="3"/>
        <v>2.6808257310634672E-4</v>
      </c>
    </row>
    <row r="22" spans="1:8" x14ac:dyDescent="0.3">
      <c r="A22" s="9" t="s">
        <v>85</v>
      </c>
      <c r="B22" s="9">
        <f t="shared" si="0"/>
        <v>27</v>
      </c>
      <c r="C22" s="9">
        <v>3</v>
      </c>
      <c r="D22" s="9">
        <v>7.0000000000000007E-2</v>
      </c>
      <c r="E22" s="9">
        <v>0.06</v>
      </c>
      <c r="F22" s="9">
        <f t="shared" si="1"/>
        <v>3.5000000000000003E-2</v>
      </c>
      <c r="G22" s="9">
        <f t="shared" si="2"/>
        <v>0.03</v>
      </c>
      <c r="H22" s="9">
        <f t="shared" si="3"/>
        <v>1.3194689145078E-4</v>
      </c>
    </row>
    <row r="23" spans="1:8" x14ac:dyDescent="0.3">
      <c r="A23" s="9" t="s">
        <v>85</v>
      </c>
      <c r="B23" s="9">
        <f t="shared" si="0"/>
        <v>27</v>
      </c>
      <c r="C23" s="9">
        <v>3</v>
      </c>
      <c r="D23" s="9">
        <v>0.08</v>
      </c>
      <c r="E23" s="9">
        <v>0.08</v>
      </c>
      <c r="F23" s="9">
        <f t="shared" si="1"/>
        <v>0.04</v>
      </c>
      <c r="G23" s="9">
        <f t="shared" si="2"/>
        <v>0.04</v>
      </c>
      <c r="H23" s="9">
        <f t="shared" si="3"/>
        <v>2.6808257310634672E-4</v>
      </c>
    </row>
    <row r="24" spans="1:8" x14ac:dyDescent="0.3">
      <c r="A24" s="9" t="s">
        <v>85</v>
      </c>
      <c r="B24" s="9">
        <f t="shared" si="0"/>
        <v>27</v>
      </c>
      <c r="C24" s="9">
        <v>3</v>
      </c>
      <c r="D24" s="9">
        <v>7.0000000000000007E-2</v>
      </c>
      <c r="E24" s="9">
        <v>7.0000000000000007E-2</v>
      </c>
      <c r="F24" s="9">
        <f t="shared" si="1"/>
        <v>3.5000000000000003E-2</v>
      </c>
      <c r="G24" s="9">
        <f t="shared" si="2"/>
        <v>3.5000000000000003E-2</v>
      </c>
      <c r="H24" s="9">
        <f t="shared" si="3"/>
        <v>1.7959438003022836E-4</v>
      </c>
    </row>
    <row r="25" spans="1:8" x14ac:dyDescent="0.3">
      <c r="A25" s="9" t="s">
        <v>86</v>
      </c>
      <c r="B25" s="9">
        <f t="shared" si="0"/>
        <v>27</v>
      </c>
      <c r="C25" s="9">
        <v>3</v>
      </c>
      <c r="D25" s="9">
        <v>7.0000000000000007E-2</v>
      </c>
      <c r="E25" s="9">
        <v>7.0000000000000007E-2</v>
      </c>
      <c r="F25" s="9">
        <f t="shared" si="1"/>
        <v>3.5000000000000003E-2</v>
      </c>
      <c r="G25" s="9">
        <f t="shared" si="2"/>
        <v>3.5000000000000003E-2</v>
      </c>
      <c r="H25" s="9">
        <f t="shared" si="3"/>
        <v>1.7959438003022836E-4</v>
      </c>
    </row>
    <row r="26" spans="1:8" x14ac:dyDescent="0.3">
      <c r="A26" s="9" t="s">
        <v>86</v>
      </c>
      <c r="B26" s="9">
        <f t="shared" si="0"/>
        <v>27</v>
      </c>
      <c r="C26" s="9">
        <v>3</v>
      </c>
      <c r="D26" s="9">
        <v>7.0000000000000007E-2</v>
      </c>
      <c r="E26" s="9">
        <v>7.0000000000000007E-2</v>
      </c>
      <c r="F26" s="9">
        <f t="shared" si="1"/>
        <v>3.5000000000000003E-2</v>
      </c>
      <c r="G26" s="9">
        <f t="shared" si="2"/>
        <v>3.5000000000000003E-2</v>
      </c>
      <c r="H26" s="9">
        <f t="shared" si="3"/>
        <v>1.7959438003022836E-4</v>
      </c>
    </row>
    <row r="27" spans="1:8" x14ac:dyDescent="0.3">
      <c r="A27" s="9" t="s">
        <v>86</v>
      </c>
      <c r="B27" s="9">
        <f t="shared" si="0"/>
        <v>27</v>
      </c>
      <c r="C27" s="9">
        <v>3</v>
      </c>
      <c r="D27" s="9">
        <v>7.0000000000000007E-2</v>
      </c>
      <c r="E27" s="9">
        <v>7.0000000000000007E-2</v>
      </c>
      <c r="F27" s="9">
        <f t="shared" si="1"/>
        <v>3.5000000000000003E-2</v>
      </c>
      <c r="G27" s="9">
        <f t="shared" si="2"/>
        <v>3.5000000000000003E-2</v>
      </c>
      <c r="H27" s="9">
        <f t="shared" si="3"/>
        <v>1.7959438003022836E-4</v>
      </c>
    </row>
    <row r="28" spans="1:8" x14ac:dyDescent="0.3">
      <c r="A28" s="9" t="s">
        <v>86</v>
      </c>
      <c r="B28" s="9">
        <f t="shared" si="0"/>
        <v>27</v>
      </c>
      <c r="C28" s="9">
        <v>3</v>
      </c>
      <c r="D28" s="9">
        <v>7.0000000000000007E-2</v>
      </c>
      <c r="E28" s="9">
        <v>0.06</v>
      </c>
      <c r="F28" s="9">
        <f t="shared" si="1"/>
        <v>3.5000000000000003E-2</v>
      </c>
      <c r="G28" s="9">
        <f t="shared" si="2"/>
        <v>0.03</v>
      </c>
      <c r="H28" s="9">
        <f t="shared" si="3"/>
        <v>1.3194689145078E-4</v>
      </c>
    </row>
    <row r="29" spans="1:8" x14ac:dyDescent="0.3">
      <c r="A29" s="9" t="s">
        <v>87</v>
      </c>
      <c r="B29" s="9">
        <f t="shared" si="0"/>
        <v>31</v>
      </c>
      <c r="C29" s="9">
        <v>3</v>
      </c>
      <c r="D29" s="9">
        <v>0.09</v>
      </c>
      <c r="E29" s="9">
        <v>0.08</v>
      </c>
      <c r="F29" s="9">
        <f t="shared" si="1"/>
        <v>4.4999999999999998E-2</v>
      </c>
      <c r="G29" s="9">
        <f t="shared" si="2"/>
        <v>0.04</v>
      </c>
      <c r="H29" s="9">
        <f t="shared" si="3"/>
        <v>3.0159289474464003E-4</v>
      </c>
    </row>
    <row r="30" spans="1:8" x14ac:dyDescent="0.3">
      <c r="A30" s="9" t="s">
        <v>87</v>
      </c>
      <c r="B30" s="9">
        <f t="shared" si="0"/>
        <v>31</v>
      </c>
      <c r="C30" s="9">
        <v>3</v>
      </c>
      <c r="D30" s="9">
        <v>0.19</v>
      </c>
      <c r="E30" s="9">
        <v>0.16</v>
      </c>
      <c r="F30" s="9">
        <f t="shared" si="1"/>
        <v>9.5000000000000001E-2</v>
      </c>
      <c r="G30" s="9">
        <f t="shared" si="2"/>
        <v>0.08</v>
      </c>
    </row>
    <row r="31" spans="1:8" x14ac:dyDescent="0.3">
      <c r="A31" s="9" t="s">
        <v>88</v>
      </c>
      <c r="B31" s="9">
        <f t="shared" si="0"/>
        <v>31</v>
      </c>
      <c r="C31" s="9">
        <v>3</v>
      </c>
      <c r="D31" s="9">
        <v>7.0000000000000007E-2</v>
      </c>
      <c r="E31" s="9">
        <v>0.06</v>
      </c>
      <c r="F31" s="9">
        <f t="shared" si="1"/>
        <v>3.5000000000000003E-2</v>
      </c>
      <c r="G31" s="9">
        <f t="shared" si="2"/>
        <v>0.03</v>
      </c>
      <c r="H31" s="9">
        <f t="shared" ref="H31:H62" si="4">(4/3)*3.14159265359*G31^2*F31</f>
        <v>1.3194689145078E-4</v>
      </c>
    </row>
    <row r="32" spans="1:8" x14ac:dyDescent="0.3">
      <c r="A32" s="9" t="s">
        <v>88</v>
      </c>
      <c r="B32" s="9">
        <f t="shared" si="0"/>
        <v>31</v>
      </c>
      <c r="C32" s="9">
        <v>3</v>
      </c>
      <c r="D32" s="9">
        <v>0.06</v>
      </c>
      <c r="E32" s="9">
        <v>0.06</v>
      </c>
      <c r="F32" s="9">
        <f t="shared" si="1"/>
        <v>0.03</v>
      </c>
      <c r="G32" s="9">
        <f t="shared" si="2"/>
        <v>0.03</v>
      </c>
      <c r="H32" s="9">
        <f t="shared" si="4"/>
        <v>1.1309733552923999E-4</v>
      </c>
    </row>
    <row r="33" spans="1:8" x14ac:dyDescent="0.3">
      <c r="A33" s="9" t="s">
        <v>88</v>
      </c>
      <c r="B33" s="9">
        <f t="shared" si="0"/>
        <v>31</v>
      </c>
      <c r="C33" s="9">
        <v>3</v>
      </c>
      <c r="D33" s="9">
        <v>7.0000000000000007E-2</v>
      </c>
      <c r="E33" s="9">
        <v>7.0000000000000007E-2</v>
      </c>
      <c r="F33" s="9">
        <f t="shared" si="1"/>
        <v>3.5000000000000003E-2</v>
      </c>
      <c r="G33" s="9">
        <f t="shared" si="2"/>
        <v>3.5000000000000003E-2</v>
      </c>
      <c r="H33" s="9">
        <f t="shared" si="4"/>
        <v>1.7959438003022836E-4</v>
      </c>
    </row>
    <row r="34" spans="1:8" x14ac:dyDescent="0.3">
      <c r="A34" s="9" t="s">
        <v>88</v>
      </c>
      <c r="B34" s="9">
        <f t="shared" si="0"/>
        <v>31</v>
      </c>
      <c r="C34" s="9">
        <v>3</v>
      </c>
      <c r="D34" s="9">
        <v>0.08</v>
      </c>
      <c r="E34" s="9">
        <v>7.0000000000000007E-2</v>
      </c>
      <c r="F34" s="9">
        <f t="shared" si="1"/>
        <v>0.04</v>
      </c>
      <c r="G34" s="9">
        <f t="shared" si="2"/>
        <v>3.5000000000000003E-2</v>
      </c>
      <c r="H34" s="9">
        <f t="shared" si="4"/>
        <v>2.0525072003454669E-4</v>
      </c>
    </row>
    <row r="35" spans="1:8" x14ac:dyDescent="0.3">
      <c r="A35" s="9" t="s">
        <v>88</v>
      </c>
      <c r="B35" s="9">
        <f t="shared" si="0"/>
        <v>31</v>
      </c>
      <c r="C35" s="9">
        <v>3</v>
      </c>
      <c r="D35" s="9">
        <v>7.0000000000000007E-2</v>
      </c>
      <c r="E35" s="9">
        <v>7.0000000000000007E-2</v>
      </c>
      <c r="F35" s="9">
        <f t="shared" si="1"/>
        <v>3.5000000000000003E-2</v>
      </c>
      <c r="G35" s="9">
        <f t="shared" si="2"/>
        <v>3.5000000000000003E-2</v>
      </c>
      <c r="H35" s="9">
        <f t="shared" si="4"/>
        <v>1.7959438003022836E-4</v>
      </c>
    </row>
    <row r="36" spans="1:8" x14ac:dyDescent="0.3">
      <c r="A36" s="9" t="s">
        <v>88</v>
      </c>
      <c r="B36" s="9">
        <f t="shared" si="0"/>
        <v>31</v>
      </c>
      <c r="C36" s="9">
        <v>3</v>
      </c>
      <c r="D36" s="9">
        <v>0.06</v>
      </c>
      <c r="E36" s="9">
        <v>0.06</v>
      </c>
      <c r="F36" s="9">
        <f t="shared" si="1"/>
        <v>0.03</v>
      </c>
      <c r="G36" s="9">
        <f t="shared" si="2"/>
        <v>0.03</v>
      </c>
      <c r="H36" s="9">
        <f t="shared" si="4"/>
        <v>1.1309733552923999E-4</v>
      </c>
    </row>
    <row r="37" spans="1:8" x14ac:dyDescent="0.3">
      <c r="A37" s="9" t="s">
        <v>89</v>
      </c>
      <c r="B37" s="9">
        <f t="shared" si="0"/>
        <v>31</v>
      </c>
      <c r="C37" s="9">
        <v>3</v>
      </c>
      <c r="D37" s="9">
        <v>0.05</v>
      </c>
      <c r="E37" s="9">
        <v>0.05</v>
      </c>
      <c r="F37" s="9">
        <f t="shared" si="1"/>
        <v>2.5000000000000001E-2</v>
      </c>
      <c r="G37" s="9">
        <f t="shared" si="2"/>
        <v>2.5000000000000001E-2</v>
      </c>
      <c r="H37" s="9">
        <f t="shared" si="4"/>
        <v>6.5449846949791675E-5</v>
      </c>
    </row>
    <row r="38" spans="1:8" x14ac:dyDescent="0.3">
      <c r="A38" s="9" t="s">
        <v>89</v>
      </c>
      <c r="B38" s="9">
        <f t="shared" si="0"/>
        <v>31</v>
      </c>
      <c r="C38" s="9">
        <v>3</v>
      </c>
      <c r="D38" s="9">
        <v>0.05</v>
      </c>
      <c r="E38" s="9">
        <v>0.04</v>
      </c>
      <c r="F38" s="9">
        <f t="shared" si="1"/>
        <v>2.5000000000000001E-2</v>
      </c>
      <c r="G38" s="9">
        <f t="shared" si="2"/>
        <v>0.02</v>
      </c>
      <c r="H38" s="9">
        <f t="shared" si="4"/>
        <v>4.1887902047866673E-5</v>
      </c>
    </row>
    <row r="39" spans="1:8" x14ac:dyDescent="0.3">
      <c r="A39" s="9" t="s">
        <v>89</v>
      </c>
      <c r="B39" s="9">
        <f t="shared" si="0"/>
        <v>31</v>
      </c>
      <c r="C39" s="9">
        <v>3</v>
      </c>
      <c r="D39" s="9">
        <v>0.06</v>
      </c>
      <c r="E39" s="9">
        <v>0.06</v>
      </c>
      <c r="F39" s="9">
        <f t="shared" si="1"/>
        <v>0.03</v>
      </c>
      <c r="G39" s="9">
        <f t="shared" si="2"/>
        <v>0.03</v>
      </c>
      <c r="H39" s="9">
        <f t="shared" si="4"/>
        <v>1.1309733552923999E-4</v>
      </c>
    </row>
    <row r="40" spans="1:8" x14ac:dyDescent="0.3">
      <c r="A40" s="9" t="s">
        <v>89</v>
      </c>
      <c r="B40" s="9">
        <f t="shared" si="0"/>
        <v>31</v>
      </c>
      <c r="C40" s="9">
        <v>3</v>
      </c>
      <c r="D40" s="9">
        <v>0.05</v>
      </c>
      <c r="E40" s="9">
        <v>0.04</v>
      </c>
      <c r="F40" s="9">
        <f t="shared" si="1"/>
        <v>2.5000000000000001E-2</v>
      </c>
      <c r="G40" s="9">
        <f t="shared" si="2"/>
        <v>0.02</v>
      </c>
      <c r="H40" s="9">
        <f t="shared" si="4"/>
        <v>4.1887902047866673E-5</v>
      </c>
    </row>
    <row r="41" spans="1:8" x14ac:dyDescent="0.3">
      <c r="A41" s="9" t="s">
        <v>89</v>
      </c>
      <c r="B41" s="9">
        <f t="shared" si="0"/>
        <v>31</v>
      </c>
      <c r="C41" s="9">
        <v>3</v>
      </c>
      <c r="D41" s="9">
        <v>0.06</v>
      </c>
      <c r="E41" s="9">
        <v>0.06</v>
      </c>
      <c r="F41" s="9">
        <f t="shared" si="1"/>
        <v>0.03</v>
      </c>
      <c r="G41" s="9">
        <f t="shared" si="2"/>
        <v>0.03</v>
      </c>
      <c r="H41" s="9">
        <f t="shared" si="4"/>
        <v>1.1309733552923999E-4</v>
      </c>
    </row>
    <row r="42" spans="1:8" x14ac:dyDescent="0.3">
      <c r="A42" s="9" t="s">
        <v>70</v>
      </c>
      <c r="B42" s="9">
        <f t="shared" si="0"/>
        <v>25</v>
      </c>
      <c r="C42" s="9">
        <v>4</v>
      </c>
      <c r="D42" s="9">
        <v>0.09</v>
      </c>
      <c r="E42" s="9">
        <v>0.09</v>
      </c>
      <c r="F42" s="9">
        <f t="shared" si="1"/>
        <v>4.4999999999999998E-2</v>
      </c>
      <c r="G42" s="9">
        <f t="shared" si="2"/>
        <v>4.4999999999999998E-2</v>
      </c>
      <c r="H42" s="9">
        <f t="shared" si="4"/>
        <v>3.8170350741118501E-4</v>
      </c>
    </row>
    <row r="43" spans="1:8" x14ac:dyDescent="0.3">
      <c r="A43" s="9" t="s">
        <v>70</v>
      </c>
      <c r="B43" s="9">
        <f t="shared" si="0"/>
        <v>25</v>
      </c>
      <c r="C43" s="9">
        <v>4</v>
      </c>
      <c r="D43" s="9">
        <v>0.09</v>
      </c>
      <c r="E43" s="9">
        <v>0.08</v>
      </c>
      <c r="F43" s="9">
        <f t="shared" si="1"/>
        <v>4.4999999999999998E-2</v>
      </c>
      <c r="G43" s="9">
        <f t="shared" si="2"/>
        <v>0.04</v>
      </c>
      <c r="H43" s="9">
        <f t="shared" si="4"/>
        <v>3.0159289474464003E-4</v>
      </c>
    </row>
    <row r="44" spans="1:8" x14ac:dyDescent="0.3">
      <c r="A44" s="9" t="s">
        <v>70</v>
      </c>
      <c r="B44" s="9">
        <f t="shared" si="0"/>
        <v>25</v>
      </c>
      <c r="C44" s="9">
        <v>4</v>
      </c>
      <c r="D44" s="9">
        <v>0.09</v>
      </c>
      <c r="E44" s="9">
        <v>0.09</v>
      </c>
      <c r="F44" s="9">
        <f t="shared" si="1"/>
        <v>4.4999999999999998E-2</v>
      </c>
      <c r="G44" s="9">
        <f t="shared" si="2"/>
        <v>4.4999999999999998E-2</v>
      </c>
      <c r="H44" s="9">
        <f t="shared" si="4"/>
        <v>3.8170350741118501E-4</v>
      </c>
    </row>
    <row r="45" spans="1:8" x14ac:dyDescent="0.3">
      <c r="A45" s="9" t="s">
        <v>70</v>
      </c>
      <c r="B45" s="9">
        <f t="shared" si="0"/>
        <v>25</v>
      </c>
      <c r="C45" s="9">
        <v>4</v>
      </c>
      <c r="D45" s="9">
        <v>0.09</v>
      </c>
      <c r="E45" s="9">
        <v>0.08</v>
      </c>
      <c r="F45" s="9">
        <f t="shared" si="1"/>
        <v>4.4999999999999998E-2</v>
      </c>
      <c r="G45" s="9">
        <f t="shared" si="2"/>
        <v>0.04</v>
      </c>
      <c r="H45" s="9">
        <f t="shared" si="4"/>
        <v>3.0159289474464003E-4</v>
      </c>
    </row>
    <row r="46" spans="1:8" x14ac:dyDescent="0.3">
      <c r="A46" s="9" t="s">
        <v>75</v>
      </c>
      <c r="B46" s="9">
        <f t="shared" si="0"/>
        <v>25</v>
      </c>
      <c r="C46" s="9">
        <v>4</v>
      </c>
      <c r="D46" s="9">
        <v>0.08</v>
      </c>
      <c r="E46" s="9">
        <v>0.08</v>
      </c>
      <c r="F46" s="9">
        <f t="shared" si="1"/>
        <v>0.04</v>
      </c>
      <c r="G46" s="9">
        <f t="shared" si="2"/>
        <v>0.04</v>
      </c>
      <c r="H46" s="9">
        <f t="shared" si="4"/>
        <v>2.6808257310634672E-4</v>
      </c>
    </row>
    <row r="47" spans="1:8" x14ac:dyDescent="0.3">
      <c r="A47" s="9" t="s">
        <v>75</v>
      </c>
      <c r="B47" s="9">
        <f t="shared" si="0"/>
        <v>25</v>
      </c>
      <c r="C47" s="9">
        <v>4</v>
      </c>
      <c r="D47" s="9">
        <v>7.0000000000000007E-2</v>
      </c>
      <c r="E47" s="9">
        <v>0.06</v>
      </c>
      <c r="F47" s="9">
        <f t="shared" si="1"/>
        <v>3.5000000000000003E-2</v>
      </c>
      <c r="G47" s="9">
        <f t="shared" si="2"/>
        <v>0.03</v>
      </c>
      <c r="H47" s="9">
        <f t="shared" si="4"/>
        <v>1.3194689145078E-4</v>
      </c>
    </row>
    <row r="48" spans="1:8" x14ac:dyDescent="0.3">
      <c r="A48" s="9" t="s">
        <v>75</v>
      </c>
      <c r="B48" s="9">
        <f t="shared" si="0"/>
        <v>25</v>
      </c>
      <c r="C48" s="9">
        <v>4</v>
      </c>
      <c r="D48" s="9">
        <v>0.08</v>
      </c>
      <c r="E48" s="9">
        <v>0.08</v>
      </c>
      <c r="F48" s="9">
        <f t="shared" si="1"/>
        <v>0.04</v>
      </c>
      <c r="G48" s="9">
        <f t="shared" si="2"/>
        <v>0.04</v>
      </c>
      <c r="H48" s="9">
        <f t="shared" si="4"/>
        <v>2.6808257310634672E-4</v>
      </c>
    </row>
    <row r="49" spans="1:8" x14ac:dyDescent="0.3">
      <c r="A49" s="9" t="s">
        <v>71</v>
      </c>
      <c r="B49" s="9">
        <f t="shared" si="0"/>
        <v>25</v>
      </c>
      <c r="C49" s="9">
        <v>4</v>
      </c>
      <c r="D49" s="9">
        <v>0.08</v>
      </c>
      <c r="E49" s="9">
        <v>7.0000000000000007E-2</v>
      </c>
      <c r="F49" s="9">
        <f t="shared" si="1"/>
        <v>0.04</v>
      </c>
      <c r="G49" s="9">
        <f t="shared" si="2"/>
        <v>3.5000000000000003E-2</v>
      </c>
      <c r="H49" s="9">
        <f t="shared" si="4"/>
        <v>2.0525072003454669E-4</v>
      </c>
    </row>
    <row r="50" spans="1:8" x14ac:dyDescent="0.3">
      <c r="A50" s="9" t="s">
        <v>71</v>
      </c>
      <c r="B50" s="9">
        <f t="shared" si="0"/>
        <v>25</v>
      </c>
      <c r="C50" s="9">
        <v>4</v>
      </c>
      <c r="D50" s="9">
        <v>0.08</v>
      </c>
      <c r="E50" s="9">
        <v>7.0000000000000007E-2</v>
      </c>
      <c r="F50" s="9">
        <f t="shared" si="1"/>
        <v>0.04</v>
      </c>
      <c r="G50" s="9">
        <f t="shared" si="2"/>
        <v>3.5000000000000003E-2</v>
      </c>
      <c r="H50" s="9">
        <f t="shared" si="4"/>
        <v>2.0525072003454669E-4</v>
      </c>
    </row>
    <row r="51" spans="1:8" x14ac:dyDescent="0.3">
      <c r="A51" s="9" t="s">
        <v>71</v>
      </c>
      <c r="B51" s="9">
        <f t="shared" si="0"/>
        <v>25</v>
      </c>
      <c r="C51" s="9">
        <v>4</v>
      </c>
      <c r="D51" s="9">
        <v>0.08</v>
      </c>
      <c r="E51" s="9">
        <v>0.08</v>
      </c>
      <c r="F51" s="9">
        <f t="shared" si="1"/>
        <v>0.04</v>
      </c>
      <c r="G51" s="9">
        <f t="shared" si="2"/>
        <v>0.04</v>
      </c>
      <c r="H51" s="9">
        <f t="shared" si="4"/>
        <v>2.6808257310634672E-4</v>
      </c>
    </row>
    <row r="52" spans="1:8" x14ac:dyDescent="0.3">
      <c r="A52" s="9" t="s">
        <v>71</v>
      </c>
      <c r="B52" s="9">
        <f t="shared" si="0"/>
        <v>25</v>
      </c>
      <c r="C52" s="9">
        <v>4</v>
      </c>
      <c r="D52" s="9">
        <v>0.08</v>
      </c>
      <c r="E52" s="9">
        <v>7.0000000000000007E-2</v>
      </c>
      <c r="F52" s="9">
        <f t="shared" si="1"/>
        <v>0.04</v>
      </c>
      <c r="G52" s="9">
        <f t="shared" si="2"/>
        <v>3.5000000000000003E-2</v>
      </c>
      <c r="H52" s="9">
        <f t="shared" si="4"/>
        <v>2.0525072003454669E-4</v>
      </c>
    </row>
    <row r="53" spans="1:8" x14ac:dyDescent="0.3">
      <c r="A53" s="9" t="s">
        <v>90</v>
      </c>
      <c r="B53" s="9">
        <f t="shared" si="0"/>
        <v>27</v>
      </c>
      <c r="C53" s="9">
        <v>4</v>
      </c>
      <c r="D53" s="9">
        <v>0.09</v>
      </c>
      <c r="E53" s="9">
        <v>0.09</v>
      </c>
      <c r="F53" s="9">
        <f t="shared" si="1"/>
        <v>4.4999999999999998E-2</v>
      </c>
      <c r="G53" s="9">
        <f t="shared" si="2"/>
        <v>4.4999999999999998E-2</v>
      </c>
      <c r="H53" s="9">
        <f t="shared" si="4"/>
        <v>3.8170350741118501E-4</v>
      </c>
    </row>
    <row r="54" spans="1:8" x14ac:dyDescent="0.3">
      <c r="A54" s="9" t="s">
        <v>90</v>
      </c>
      <c r="B54" s="9">
        <f t="shared" si="0"/>
        <v>27</v>
      </c>
      <c r="C54" s="9">
        <v>4</v>
      </c>
      <c r="D54" s="9">
        <v>0.09</v>
      </c>
      <c r="E54" s="9">
        <v>0.09</v>
      </c>
      <c r="F54" s="9">
        <f t="shared" si="1"/>
        <v>4.4999999999999998E-2</v>
      </c>
      <c r="G54" s="9">
        <f t="shared" si="2"/>
        <v>4.4999999999999998E-2</v>
      </c>
      <c r="H54" s="9">
        <f t="shared" si="4"/>
        <v>3.8170350741118501E-4</v>
      </c>
    </row>
    <row r="55" spans="1:8" x14ac:dyDescent="0.3">
      <c r="A55" s="9" t="s">
        <v>90</v>
      </c>
      <c r="B55" s="9">
        <f t="shared" si="0"/>
        <v>27</v>
      </c>
      <c r="C55" s="9">
        <v>4</v>
      </c>
      <c r="D55" s="9">
        <v>0.09</v>
      </c>
      <c r="E55" s="9">
        <v>0.08</v>
      </c>
      <c r="F55" s="9">
        <f t="shared" si="1"/>
        <v>4.4999999999999998E-2</v>
      </c>
      <c r="G55" s="9">
        <f t="shared" si="2"/>
        <v>0.04</v>
      </c>
      <c r="H55" s="9">
        <f t="shared" si="4"/>
        <v>3.0159289474464003E-4</v>
      </c>
    </row>
    <row r="56" spans="1:8" x14ac:dyDescent="0.3">
      <c r="A56" s="9" t="s">
        <v>90</v>
      </c>
      <c r="B56" s="9">
        <f t="shared" si="0"/>
        <v>27</v>
      </c>
      <c r="C56" s="9">
        <v>4</v>
      </c>
      <c r="D56" s="9">
        <v>0.09</v>
      </c>
      <c r="E56" s="9">
        <v>0.09</v>
      </c>
      <c r="F56" s="9">
        <f t="shared" si="1"/>
        <v>4.4999999999999998E-2</v>
      </c>
      <c r="G56" s="9">
        <f t="shared" si="2"/>
        <v>4.4999999999999998E-2</v>
      </c>
      <c r="H56" s="9">
        <f t="shared" si="4"/>
        <v>3.8170350741118501E-4</v>
      </c>
    </row>
    <row r="57" spans="1:8" x14ac:dyDescent="0.3">
      <c r="A57" s="9" t="s">
        <v>91</v>
      </c>
      <c r="B57" s="9">
        <f t="shared" si="0"/>
        <v>27</v>
      </c>
      <c r="C57" s="9">
        <v>4</v>
      </c>
      <c r="D57" s="9">
        <v>7.0000000000000007E-2</v>
      </c>
      <c r="E57" s="9">
        <v>7.0000000000000007E-2</v>
      </c>
      <c r="F57" s="9">
        <f t="shared" si="1"/>
        <v>3.5000000000000003E-2</v>
      </c>
      <c r="G57" s="9">
        <f t="shared" si="2"/>
        <v>3.5000000000000003E-2</v>
      </c>
      <c r="H57" s="9">
        <f t="shared" si="4"/>
        <v>1.7959438003022836E-4</v>
      </c>
    </row>
    <row r="58" spans="1:8" x14ac:dyDescent="0.3">
      <c r="A58" s="9" t="s">
        <v>91</v>
      </c>
      <c r="B58" s="9">
        <f t="shared" si="0"/>
        <v>27</v>
      </c>
      <c r="C58" s="9">
        <v>4</v>
      </c>
      <c r="D58" s="9">
        <v>0.08</v>
      </c>
      <c r="E58" s="9">
        <v>0.08</v>
      </c>
      <c r="F58" s="9">
        <f t="shared" si="1"/>
        <v>0.04</v>
      </c>
      <c r="G58" s="9">
        <f t="shared" si="2"/>
        <v>0.04</v>
      </c>
      <c r="H58" s="9">
        <f t="shared" si="4"/>
        <v>2.6808257310634672E-4</v>
      </c>
    </row>
    <row r="59" spans="1:8" x14ac:dyDescent="0.3">
      <c r="A59" s="9" t="s">
        <v>91</v>
      </c>
      <c r="B59" s="9">
        <f t="shared" si="0"/>
        <v>27</v>
      </c>
      <c r="C59" s="9">
        <v>4</v>
      </c>
      <c r="D59" s="9">
        <v>0.09</v>
      </c>
      <c r="E59" s="9">
        <v>7.0000000000000007E-2</v>
      </c>
      <c r="F59" s="9">
        <f t="shared" si="1"/>
        <v>4.4999999999999998E-2</v>
      </c>
      <c r="G59" s="9">
        <f t="shared" si="2"/>
        <v>3.5000000000000003E-2</v>
      </c>
      <c r="H59" s="9">
        <f t="shared" si="4"/>
        <v>2.3090706003886502E-4</v>
      </c>
    </row>
    <row r="60" spans="1:8" x14ac:dyDescent="0.3">
      <c r="A60" s="9" t="s">
        <v>91</v>
      </c>
      <c r="B60" s="9">
        <f t="shared" si="0"/>
        <v>27</v>
      </c>
      <c r="C60" s="9">
        <v>4</v>
      </c>
      <c r="D60" s="9">
        <v>0.06</v>
      </c>
      <c r="E60" s="9">
        <v>0.06</v>
      </c>
      <c r="F60" s="9">
        <f t="shared" si="1"/>
        <v>0.03</v>
      </c>
      <c r="G60" s="9">
        <f t="shared" si="2"/>
        <v>0.03</v>
      </c>
      <c r="H60" s="9">
        <f t="shared" si="4"/>
        <v>1.1309733552923999E-4</v>
      </c>
    </row>
    <row r="61" spans="1:8" x14ac:dyDescent="0.3">
      <c r="A61" s="9" t="s">
        <v>91</v>
      </c>
      <c r="B61" s="9">
        <f t="shared" si="0"/>
        <v>27</v>
      </c>
      <c r="C61" s="9">
        <v>4</v>
      </c>
      <c r="D61" s="9">
        <v>0.08</v>
      </c>
      <c r="E61" s="9">
        <v>7.0000000000000007E-2</v>
      </c>
      <c r="F61" s="9">
        <f t="shared" si="1"/>
        <v>0.04</v>
      </c>
      <c r="G61" s="9">
        <f t="shared" si="2"/>
        <v>3.5000000000000003E-2</v>
      </c>
      <c r="H61" s="9">
        <f t="shared" si="4"/>
        <v>2.0525072003454669E-4</v>
      </c>
    </row>
    <row r="62" spans="1:8" x14ac:dyDescent="0.3">
      <c r="A62" s="9" t="s">
        <v>92</v>
      </c>
      <c r="B62" s="9">
        <f t="shared" si="0"/>
        <v>27</v>
      </c>
      <c r="C62" s="9">
        <v>4</v>
      </c>
      <c r="D62" s="9">
        <v>0.09</v>
      </c>
      <c r="E62" s="9">
        <v>7.0000000000000007E-2</v>
      </c>
      <c r="F62" s="9">
        <f t="shared" si="1"/>
        <v>4.4999999999999998E-2</v>
      </c>
      <c r="G62" s="9">
        <f t="shared" si="2"/>
        <v>3.5000000000000003E-2</v>
      </c>
      <c r="H62" s="9">
        <f t="shared" si="4"/>
        <v>2.3090706003886502E-4</v>
      </c>
    </row>
    <row r="63" spans="1:8" x14ac:dyDescent="0.3">
      <c r="A63" s="9" t="s">
        <v>92</v>
      </c>
      <c r="B63" s="9">
        <f t="shared" si="0"/>
        <v>27</v>
      </c>
      <c r="C63" s="9">
        <v>4</v>
      </c>
      <c r="D63" s="9">
        <v>0.08</v>
      </c>
      <c r="E63" s="9">
        <v>7.0000000000000007E-2</v>
      </c>
      <c r="F63" s="9">
        <f t="shared" si="1"/>
        <v>0.04</v>
      </c>
      <c r="G63" s="9">
        <f t="shared" si="2"/>
        <v>3.5000000000000003E-2</v>
      </c>
      <c r="H63" s="9">
        <f t="shared" ref="H63:H94" si="5">(4/3)*3.14159265359*G63^2*F63</f>
        <v>2.0525072003454669E-4</v>
      </c>
    </row>
    <row r="64" spans="1:8" x14ac:dyDescent="0.3">
      <c r="A64" s="9" t="s">
        <v>92</v>
      </c>
      <c r="B64" s="9">
        <f t="shared" si="0"/>
        <v>27</v>
      </c>
      <c r="C64" s="9">
        <v>4</v>
      </c>
      <c r="D64" s="9">
        <v>0.11</v>
      </c>
      <c r="E64" s="9">
        <v>0.09</v>
      </c>
      <c r="F64" s="9">
        <f t="shared" si="1"/>
        <v>5.5E-2</v>
      </c>
      <c r="G64" s="9">
        <f t="shared" si="2"/>
        <v>4.4999999999999998E-2</v>
      </c>
      <c r="H64" s="9">
        <f t="shared" si="5"/>
        <v>4.6652650905811504E-4</v>
      </c>
    </row>
    <row r="65" spans="1:8" x14ac:dyDescent="0.3">
      <c r="A65" s="9" t="s">
        <v>92</v>
      </c>
      <c r="B65" s="9">
        <f t="shared" si="0"/>
        <v>27</v>
      </c>
      <c r="C65" s="9">
        <v>4</v>
      </c>
      <c r="D65" s="9">
        <v>0.1</v>
      </c>
      <c r="E65" s="9">
        <v>7.0000000000000007E-2</v>
      </c>
      <c r="F65" s="9">
        <f t="shared" si="1"/>
        <v>0.05</v>
      </c>
      <c r="G65" s="9">
        <f t="shared" si="2"/>
        <v>3.5000000000000003E-2</v>
      </c>
      <c r="H65" s="9">
        <f t="shared" si="5"/>
        <v>2.5656340004318338E-4</v>
      </c>
    </row>
    <row r="66" spans="1:8" x14ac:dyDescent="0.3">
      <c r="A66" s="9" t="s">
        <v>92</v>
      </c>
      <c r="B66" s="9">
        <f t="shared" ref="B66:B129" si="6">LEFT(A66,2)+0</f>
        <v>27</v>
      </c>
      <c r="C66" s="9">
        <v>4</v>
      </c>
      <c r="D66" s="9">
        <v>0.11</v>
      </c>
      <c r="E66" s="9">
        <v>0.08</v>
      </c>
      <c r="F66" s="9">
        <f t="shared" ref="F66:F129" si="7">D66/2</f>
        <v>5.5E-2</v>
      </c>
      <c r="G66" s="9">
        <f t="shared" ref="G66:G129" si="8">E66/2</f>
        <v>0.04</v>
      </c>
      <c r="H66" s="9">
        <f t="shared" si="5"/>
        <v>3.6861353802122669E-4</v>
      </c>
    </row>
    <row r="67" spans="1:8" x14ac:dyDescent="0.3">
      <c r="A67" s="9" t="s">
        <v>92</v>
      </c>
      <c r="B67" s="9">
        <f t="shared" si="6"/>
        <v>27</v>
      </c>
      <c r="C67" s="9">
        <v>4</v>
      </c>
      <c r="D67" s="9">
        <v>0.09</v>
      </c>
      <c r="E67" s="9">
        <v>0.08</v>
      </c>
      <c r="F67" s="9">
        <f t="shared" si="7"/>
        <v>4.4999999999999998E-2</v>
      </c>
      <c r="G67" s="9">
        <f t="shared" si="8"/>
        <v>0.04</v>
      </c>
      <c r="H67" s="9">
        <f t="shared" si="5"/>
        <v>3.0159289474464003E-4</v>
      </c>
    </row>
    <row r="68" spans="1:8" x14ac:dyDescent="0.3">
      <c r="A68" s="9" t="s">
        <v>92</v>
      </c>
      <c r="B68" s="9">
        <f t="shared" si="6"/>
        <v>27</v>
      </c>
      <c r="C68" s="9">
        <v>4</v>
      </c>
      <c r="D68" s="9">
        <v>0.08</v>
      </c>
      <c r="E68" s="9">
        <v>7.0000000000000007E-2</v>
      </c>
      <c r="F68" s="9">
        <f t="shared" si="7"/>
        <v>0.04</v>
      </c>
      <c r="G68" s="9">
        <f t="shared" si="8"/>
        <v>3.5000000000000003E-2</v>
      </c>
      <c r="H68" s="9">
        <f t="shared" si="5"/>
        <v>2.0525072003454669E-4</v>
      </c>
    </row>
    <row r="69" spans="1:8" x14ac:dyDescent="0.3">
      <c r="A69" s="9" t="s">
        <v>73</v>
      </c>
      <c r="B69" s="9">
        <f t="shared" si="6"/>
        <v>23</v>
      </c>
      <c r="C69" s="9">
        <v>5</v>
      </c>
      <c r="D69" s="9">
        <v>0.11</v>
      </c>
      <c r="E69" s="9">
        <v>0.09</v>
      </c>
      <c r="F69" s="9">
        <f t="shared" si="7"/>
        <v>5.5E-2</v>
      </c>
      <c r="G69" s="9">
        <f t="shared" si="8"/>
        <v>4.4999999999999998E-2</v>
      </c>
      <c r="H69" s="9">
        <f t="shared" si="5"/>
        <v>4.6652650905811504E-4</v>
      </c>
    </row>
    <row r="70" spans="1:8" x14ac:dyDescent="0.3">
      <c r="A70" s="9" t="s">
        <v>73</v>
      </c>
      <c r="B70" s="9">
        <f t="shared" si="6"/>
        <v>23</v>
      </c>
      <c r="C70" s="9">
        <v>5</v>
      </c>
      <c r="D70" s="9">
        <v>0.08</v>
      </c>
      <c r="E70" s="9">
        <v>7.0000000000000007E-2</v>
      </c>
      <c r="F70" s="9">
        <f t="shared" si="7"/>
        <v>0.04</v>
      </c>
      <c r="G70" s="9">
        <f t="shared" si="8"/>
        <v>3.5000000000000003E-2</v>
      </c>
      <c r="H70" s="9">
        <f t="shared" si="5"/>
        <v>2.0525072003454669E-4</v>
      </c>
    </row>
    <row r="71" spans="1:8" x14ac:dyDescent="0.3">
      <c r="A71" s="9" t="s">
        <v>73</v>
      </c>
      <c r="B71" s="9">
        <f t="shared" si="6"/>
        <v>23</v>
      </c>
      <c r="C71" s="9">
        <v>5</v>
      </c>
      <c r="D71" s="9">
        <v>7.0000000000000007E-2</v>
      </c>
      <c r="E71" s="9">
        <v>0.06</v>
      </c>
      <c r="F71" s="9">
        <f t="shared" si="7"/>
        <v>3.5000000000000003E-2</v>
      </c>
      <c r="G71" s="9">
        <f t="shared" si="8"/>
        <v>0.03</v>
      </c>
      <c r="H71" s="9">
        <f t="shared" si="5"/>
        <v>1.3194689145078E-4</v>
      </c>
    </row>
    <row r="72" spans="1:8" x14ac:dyDescent="0.3">
      <c r="A72" s="9" t="s">
        <v>73</v>
      </c>
      <c r="B72" s="9">
        <f t="shared" si="6"/>
        <v>23</v>
      </c>
      <c r="C72" s="9">
        <v>5</v>
      </c>
      <c r="D72" s="9">
        <v>0.09</v>
      </c>
      <c r="E72" s="9">
        <v>0.08</v>
      </c>
      <c r="F72" s="9">
        <f t="shared" si="7"/>
        <v>4.4999999999999998E-2</v>
      </c>
      <c r="G72" s="9">
        <f t="shared" si="8"/>
        <v>0.04</v>
      </c>
      <c r="H72" s="9">
        <f t="shared" si="5"/>
        <v>3.0159289474464003E-4</v>
      </c>
    </row>
    <row r="73" spans="1:8" x14ac:dyDescent="0.3">
      <c r="A73" s="9" t="s">
        <v>73</v>
      </c>
      <c r="B73" s="9">
        <f t="shared" si="6"/>
        <v>23</v>
      </c>
      <c r="C73" s="9">
        <v>5</v>
      </c>
      <c r="D73" s="9">
        <v>0.1</v>
      </c>
      <c r="E73" s="9">
        <v>7.0000000000000007E-2</v>
      </c>
      <c r="F73" s="9">
        <f t="shared" si="7"/>
        <v>0.05</v>
      </c>
      <c r="G73" s="9">
        <f t="shared" si="8"/>
        <v>3.5000000000000003E-2</v>
      </c>
      <c r="H73" s="9">
        <f t="shared" si="5"/>
        <v>2.5656340004318338E-4</v>
      </c>
    </row>
    <row r="74" spans="1:8" x14ac:dyDescent="0.3">
      <c r="A74" s="9" t="s">
        <v>93</v>
      </c>
      <c r="B74" s="9">
        <f t="shared" si="6"/>
        <v>23</v>
      </c>
      <c r="C74" s="9">
        <v>5</v>
      </c>
      <c r="D74" s="9">
        <v>7.0000000000000007E-2</v>
      </c>
      <c r="E74" s="9">
        <v>0.06</v>
      </c>
      <c r="F74" s="9">
        <f t="shared" si="7"/>
        <v>3.5000000000000003E-2</v>
      </c>
      <c r="G74" s="9">
        <f t="shared" si="8"/>
        <v>0.03</v>
      </c>
      <c r="H74" s="9">
        <f t="shared" si="5"/>
        <v>1.3194689145078E-4</v>
      </c>
    </row>
    <row r="75" spans="1:8" x14ac:dyDescent="0.3">
      <c r="A75" s="9" t="s">
        <v>93</v>
      </c>
      <c r="B75" s="9">
        <f t="shared" si="6"/>
        <v>23</v>
      </c>
      <c r="C75" s="9">
        <v>5</v>
      </c>
      <c r="D75" s="9">
        <v>0.13</v>
      </c>
      <c r="E75" s="9">
        <v>0.09</v>
      </c>
      <c r="F75" s="9">
        <f t="shared" si="7"/>
        <v>6.5000000000000002E-2</v>
      </c>
      <c r="G75" s="9">
        <f t="shared" si="8"/>
        <v>4.4999999999999998E-2</v>
      </c>
      <c r="H75" s="9">
        <f t="shared" si="5"/>
        <v>5.5134951070504501E-4</v>
      </c>
    </row>
    <row r="76" spans="1:8" x14ac:dyDescent="0.3">
      <c r="A76" s="9" t="s">
        <v>93</v>
      </c>
      <c r="B76" s="9">
        <f t="shared" si="6"/>
        <v>23</v>
      </c>
      <c r="C76" s="9">
        <v>5</v>
      </c>
      <c r="D76" s="9">
        <v>0.11</v>
      </c>
      <c r="E76" s="9">
        <v>0.09</v>
      </c>
      <c r="F76" s="9">
        <f t="shared" si="7"/>
        <v>5.5E-2</v>
      </c>
      <c r="G76" s="9">
        <f t="shared" si="8"/>
        <v>4.4999999999999998E-2</v>
      </c>
      <c r="H76" s="9">
        <f t="shared" si="5"/>
        <v>4.6652650905811504E-4</v>
      </c>
    </row>
    <row r="77" spans="1:8" x14ac:dyDescent="0.3">
      <c r="A77" s="9" t="s">
        <v>93</v>
      </c>
      <c r="B77" s="9">
        <f t="shared" si="6"/>
        <v>23</v>
      </c>
      <c r="C77" s="9">
        <v>5</v>
      </c>
      <c r="D77" s="9">
        <v>0.1</v>
      </c>
      <c r="E77" s="9">
        <v>0.08</v>
      </c>
      <c r="F77" s="9">
        <f t="shared" si="7"/>
        <v>0.05</v>
      </c>
      <c r="G77" s="9">
        <f t="shared" si="8"/>
        <v>0.04</v>
      </c>
      <c r="H77" s="9">
        <f t="shared" si="5"/>
        <v>3.3510321638293339E-4</v>
      </c>
    </row>
    <row r="78" spans="1:8" x14ac:dyDescent="0.3">
      <c r="A78" s="9" t="s">
        <v>93</v>
      </c>
      <c r="B78" s="9">
        <f t="shared" si="6"/>
        <v>23</v>
      </c>
      <c r="C78" s="9">
        <v>5</v>
      </c>
      <c r="D78" s="9">
        <v>0.12</v>
      </c>
      <c r="E78" s="9">
        <v>0.09</v>
      </c>
      <c r="F78" s="9">
        <f t="shared" si="7"/>
        <v>0.06</v>
      </c>
      <c r="G78" s="9">
        <f t="shared" si="8"/>
        <v>4.4999999999999998E-2</v>
      </c>
      <c r="H78" s="9">
        <f t="shared" si="5"/>
        <v>5.0893800988158005E-4</v>
      </c>
    </row>
    <row r="79" spans="1:8" x14ac:dyDescent="0.3">
      <c r="A79" s="9" t="s">
        <v>93</v>
      </c>
      <c r="B79" s="9">
        <f t="shared" si="6"/>
        <v>23</v>
      </c>
      <c r="C79" s="9">
        <v>5</v>
      </c>
      <c r="D79" s="9">
        <v>0.11</v>
      </c>
      <c r="E79" s="9">
        <v>0.08</v>
      </c>
      <c r="F79" s="9">
        <f t="shared" si="7"/>
        <v>5.5E-2</v>
      </c>
      <c r="G79" s="9">
        <f t="shared" si="8"/>
        <v>0.04</v>
      </c>
      <c r="H79" s="9">
        <f t="shared" si="5"/>
        <v>3.6861353802122669E-4</v>
      </c>
    </row>
    <row r="80" spans="1:8" x14ac:dyDescent="0.3">
      <c r="A80" s="9" t="s">
        <v>94</v>
      </c>
      <c r="B80" s="9">
        <f t="shared" si="6"/>
        <v>23</v>
      </c>
      <c r="C80" s="9">
        <v>5</v>
      </c>
      <c r="D80" s="9">
        <v>0.09</v>
      </c>
      <c r="E80" s="9">
        <v>7.0000000000000007E-2</v>
      </c>
      <c r="F80" s="9">
        <f t="shared" si="7"/>
        <v>4.4999999999999998E-2</v>
      </c>
      <c r="G80" s="9">
        <f t="shared" si="8"/>
        <v>3.5000000000000003E-2</v>
      </c>
      <c r="H80" s="9">
        <f t="shared" si="5"/>
        <v>2.3090706003886502E-4</v>
      </c>
    </row>
    <row r="81" spans="1:8" x14ac:dyDescent="0.3">
      <c r="A81" s="9" t="s">
        <v>94</v>
      </c>
      <c r="B81" s="9">
        <f t="shared" si="6"/>
        <v>23</v>
      </c>
      <c r="C81" s="9">
        <v>5</v>
      </c>
      <c r="D81" s="9">
        <v>0.1</v>
      </c>
      <c r="E81" s="9">
        <v>0.08</v>
      </c>
      <c r="F81" s="9">
        <f t="shared" si="7"/>
        <v>0.05</v>
      </c>
      <c r="G81" s="9">
        <f t="shared" si="8"/>
        <v>0.04</v>
      </c>
      <c r="H81" s="9">
        <f t="shared" si="5"/>
        <v>3.3510321638293339E-4</v>
      </c>
    </row>
    <row r="82" spans="1:8" x14ac:dyDescent="0.3">
      <c r="A82" s="9" t="s">
        <v>94</v>
      </c>
      <c r="B82" s="9">
        <f t="shared" si="6"/>
        <v>23</v>
      </c>
      <c r="C82" s="9">
        <v>5</v>
      </c>
      <c r="D82" s="9">
        <v>0.14000000000000001</v>
      </c>
      <c r="E82" s="9">
        <v>0.11</v>
      </c>
      <c r="F82" s="9">
        <f t="shared" si="7"/>
        <v>7.0000000000000007E-2</v>
      </c>
      <c r="G82" s="9">
        <f t="shared" si="8"/>
        <v>5.5E-2</v>
      </c>
      <c r="H82" s="9">
        <f t="shared" si="5"/>
        <v>8.8697632586357672E-4</v>
      </c>
    </row>
    <row r="83" spans="1:8" x14ac:dyDescent="0.3">
      <c r="A83" s="9" t="s">
        <v>94</v>
      </c>
      <c r="B83" s="9">
        <f t="shared" si="6"/>
        <v>23</v>
      </c>
      <c r="C83" s="9">
        <v>5</v>
      </c>
      <c r="D83" s="9">
        <v>0.09</v>
      </c>
      <c r="E83" s="9">
        <v>7.0000000000000007E-2</v>
      </c>
      <c r="F83" s="9">
        <f t="shared" si="7"/>
        <v>4.4999999999999998E-2</v>
      </c>
      <c r="G83" s="9">
        <f t="shared" si="8"/>
        <v>3.5000000000000003E-2</v>
      </c>
      <c r="H83" s="9">
        <f t="shared" si="5"/>
        <v>2.3090706003886502E-4</v>
      </c>
    </row>
    <row r="84" spans="1:8" x14ac:dyDescent="0.3">
      <c r="A84" s="9" t="s">
        <v>94</v>
      </c>
      <c r="B84" s="9">
        <f t="shared" si="6"/>
        <v>23</v>
      </c>
      <c r="C84" s="9">
        <v>5</v>
      </c>
      <c r="D84" s="9">
        <v>0.11</v>
      </c>
      <c r="E84" s="9">
        <v>0.09</v>
      </c>
      <c r="F84" s="9">
        <f t="shared" si="7"/>
        <v>5.5E-2</v>
      </c>
      <c r="G84" s="9">
        <f t="shared" si="8"/>
        <v>4.4999999999999998E-2</v>
      </c>
      <c r="H84" s="9">
        <f t="shared" si="5"/>
        <v>4.6652650905811504E-4</v>
      </c>
    </row>
    <row r="85" spans="1:8" x14ac:dyDescent="0.3">
      <c r="A85" s="9" t="s">
        <v>68</v>
      </c>
      <c r="B85" s="9">
        <f t="shared" si="6"/>
        <v>25</v>
      </c>
      <c r="C85" s="9">
        <v>5</v>
      </c>
      <c r="D85" s="9">
        <v>0.1</v>
      </c>
      <c r="E85" s="9">
        <v>0.08</v>
      </c>
      <c r="F85" s="9">
        <f t="shared" si="7"/>
        <v>0.05</v>
      </c>
      <c r="G85" s="9">
        <f t="shared" si="8"/>
        <v>0.04</v>
      </c>
      <c r="H85" s="9">
        <f t="shared" si="5"/>
        <v>3.3510321638293339E-4</v>
      </c>
    </row>
    <row r="86" spans="1:8" x14ac:dyDescent="0.3">
      <c r="A86" s="9" t="s">
        <v>68</v>
      </c>
      <c r="B86" s="9">
        <f t="shared" si="6"/>
        <v>25</v>
      </c>
      <c r="C86" s="9">
        <v>5</v>
      </c>
      <c r="D86" s="9">
        <v>0.1</v>
      </c>
      <c r="E86" s="9">
        <v>0.08</v>
      </c>
      <c r="F86" s="9">
        <f t="shared" si="7"/>
        <v>0.05</v>
      </c>
      <c r="G86" s="9">
        <f t="shared" si="8"/>
        <v>0.04</v>
      </c>
      <c r="H86" s="9">
        <f t="shared" si="5"/>
        <v>3.3510321638293339E-4</v>
      </c>
    </row>
    <row r="87" spans="1:8" x14ac:dyDescent="0.3">
      <c r="A87" s="9" t="s">
        <v>68</v>
      </c>
      <c r="B87" s="9">
        <f t="shared" si="6"/>
        <v>25</v>
      </c>
      <c r="C87" s="9">
        <v>5</v>
      </c>
      <c r="D87" s="9">
        <v>0.09</v>
      </c>
      <c r="E87" s="9">
        <v>7.0000000000000007E-2</v>
      </c>
      <c r="F87" s="9">
        <f t="shared" si="7"/>
        <v>4.4999999999999998E-2</v>
      </c>
      <c r="G87" s="9">
        <f t="shared" si="8"/>
        <v>3.5000000000000003E-2</v>
      </c>
      <c r="H87" s="9">
        <f t="shared" si="5"/>
        <v>2.3090706003886502E-4</v>
      </c>
    </row>
    <row r="88" spans="1:8" x14ac:dyDescent="0.3">
      <c r="A88" s="9" t="s">
        <v>68</v>
      </c>
      <c r="B88" s="9">
        <f t="shared" si="6"/>
        <v>25</v>
      </c>
      <c r="C88" s="9">
        <v>5</v>
      </c>
      <c r="D88" s="9">
        <v>0.08</v>
      </c>
      <c r="E88" s="9">
        <v>7.0000000000000007E-2</v>
      </c>
      <c r="F88" s="9">
        <f t="shared" si="7"/>
        <v>0.04</v>
      </c>
      <c r="G88" s="9">
        <f t="shared" si="8"/>
        <v>3.5000000000000003E-2</v>
      </c>
      <c r="H88" s="9">
        <f t="shared" si="5"/>
        <v>2.0525072003454669E-4</v>
      </c>
    </row>
    <row r="89" spans="1:8" x14ac:dyDescent="0.3">
      <c r="A89" s="9" t="s">
        <v>71</v>
      </c>
      <c r="B89" s="9">
        <f t="shared" si="6"/>
        <v>25</v>
      </c>
      <c r="C89" s="9">
        <v>5</v>
      </c>
      <c r="D89" s="9">
        <v>0.08</v>
      </c>
      <c r="E89" s="9">
        <v>7.0000000000000007E-2</v>
      </c>
      <c r="F89" s="9">
        <f t="shared" si="7"/>
        <v>0.04</v>
      </c>
      <c r="G89" s="9">
        <f t="shared" si="8"/>
        <v>3.5000000000000003E-2</v>
      </c>
      <c r="H89" s="9">
        <f t="shared" si="5"/>
        <v>2.0525072003454669E-4</v>
      </c>
    </row>
    <row r="90" spans="1:8" x14ac:dyDescent="0.3">
      <c r="A90" s="9" t="s">
        <v>71</v>
      </c>
      <c r="B90" s="9">
        <f t="shared" si="6"/>
        <v>25</v>
      </c>
      <c r="C90" s="9">
        <v>5</v>
      </c>
      <c r="D90" s="9">
        <v>0.09</v>
      </c>
      <c r="E90" s="9">
        <v>7.0000000000000007E-2</v>
      </c>
      <c r="F90" s="9">
        <f t="shared" si="7"/>
        <v>4.4999999999999998E-2</v>
      </c>
      <c r="G90" s="9">
        <f t="shared" si="8"/>
        <v>3.5000000000000003E-2</v>
      </c>
      <c r="H90" s="9">
        <f t="shared" si="5"/>
        <v>2.3090706003886502E-4</v>
      </c>
    </row>
    <row r="91" spans="1:8" x14ac:dyDescent="0.3">
      <c r="A91" s="9" t="s">
        <v>71</v>
      </c>
      <c r="B91" s="9">
        <f t="shared" si="6"/>
        <v>25</v>
      </c>
      <c r="C91" s="9">
        <v>5</v>
      </c>
      <c r="D91" s="9">
        <v>0.08</v>
      </c>
      <c r="E91" s="9">
        <v>7.0000000000000007E-2</v>
      </c>
      <c r="F91" s="9">
        <f t="shared" si="7"/>
        <v>0.04</v>
      </c>
      <c r="G91" s="9">
        <f t="shared" si="8"/>
        <v>3.5000000000000003E-2</v>
      </c>
      <c r="H91" s="9">
        <f t="shared" si="5"/>
        <v>2.0525072003454669E-4</v>
      </c>
    </row>
    <row r="92" spans="1:8" x14ac:dyDescent="0.3">
      <c r="A92" s="9" t="s">
        <v>71</v>
      </c>
      <c r="B92" s="9">
        <f t="shared" si="6"/>
        <v>25</v>
      </c>
      <c r="C92" s="9">
        <v>5</v>
      </c>
      <c r="D92" s="9">
        <v>7.0000000000000007E-2</v>
      </c>
      <c r="E92" s="9">
        <v>0.06</v>
      </c>
      <c r="F92" s="9">
        <f t="shared" si="7"/>
        <v>3.5000000000000003E-2</v>
      </c>
      <c r="G92" s="9">
        <f t="shared" si="8"/>
        <v>0.03</v>
      </c>
      <c r="H92" s="9">
        <f t="shared" si="5"/>
        <v>1.3194689145078E-4</v>
      </c>
    </row>
    <row r="93" spans="1:8" x14ac:dyDescent="0.3">
      <c r="A93" s="9" t="s">
        <v>71</v>
      </c>
      <c r="B93" s="9">
        <f t="shared" si="6"/>
        <v>25</v>
      </c>
      <c r="C93" s="9">
        <v>5</v>
      </c>
      <c r="D93" s="9">
        <v>0.08</v>
      </c>
      <c r="E93" s="9">
        <v>7.0000000000000007E-2</v>
      </c>
      <c r="F93" s="9">
        <f t="shared" si="7"/>
        <v>0.04</v>
      </c>
      <c r="G93" s="9">
        <f t="shared" si="8"/>
        <v>3.5000000000000003E-2</v>
      </c>
      <c r="H93" s="9">
        <f t="shared" si="5"/>
        <v>2.0525072003454669E-4</v>
      </c>
    </row>
    <row r="94" spans="1:8" x14ac:dyDescent="0.3">
      <c r="A94" s="9" t="s">
        <v>95</v>
      </c>
      <c r="B94" s="9">
        <f t="shared" si="6"/>
        <v>20</v>
      </c>
      <c r="C94" s="9">
        <v>6</v>
      </c>
      <c r="D94" s="9">
        <v>0.14000000000000001</v>
      </c>
      <c r="E94" s="9">
        <v>0.1</v>
      </c>
      <c r="F94" s="9">
        <f t="shared" si="7"/>
        <v>7.0000000000000007E-2</v>
      </c>
      <c r="G94" s="9">
        <f t="shared" si="8"/>
        <v>0.05</v>
      </c>
      <c r="H94" s="9">
        <f t="shared" si="5"/>
        <v>7.3303828583766689E-4</v>
      </c>
    </row>
    <row r="95" spans="1:8" x14ac:dyDescent="0.3">
      <c r="A95" s="9" t="s">
        <v>95</v>
      </c>
      <c r="B95" s="9">
        <f t="shared" si="6"/>
        <v>20</v>
      </c>
      <c r="C95" s="9">
        <v>6</v>
      </c>
      <c r="D95" s="9">
        <v>0.11</v>
      </c>
      <c r="E95" s="9">
        <v>0.09</v>
      </c>
      <c r="F95" s="9">
        <f t="shared" si="7"/>
        <v>5.5E-2</v>
      </c>
      <c r="G95" s="9">
        <f t="shared" si="8"/>
        <v>4.4999999999999998E-2</v>
      </c>
      <c r="H95" s="9">
        <f t="shared" ref="H95:H126" si="9">(4/3)*3.14159265359*G95^2*F95</f>
        <v>4.6652650905811504E-4</v>
      </c>
    </row>
    <row r="96" spans="1:8" x14ac:dyDescent="0.3">
      <c r="A96" s="9" t="s">
        <v>95</v>
      </c>
      <c r="B96" s="9">
        <f t="shared" si="6"/>
        <v>20</v>
      </c>
      <c r="C96" s="9">
        <v>6</v>
      </c>
      <c r="D96" s="9">
        <v>0.13</v>
      </c>
      <c r="E96" s="9">
        <v>0.09</v>
      </c>
      <c r="F96" s="9">
        <f t="shared" si="7"/>
        <v>6.5000000000000002E-2</v>
      </c>
      <c r="G96" s="9">
        <f t="shared" si="8"/>
        <v>4.4999999999999998E-2</v>
      </c>
      <c r="H96" s="9">
        <f t="shared" si="9"/>
        <v>5.5134951070504501E-4</v>
      </c>
    </row>
    <row r="97" spans="1:8" x14ac:dyDescent="0.3">
      <c r="A97" s="9" t="s">
        <v>95</v>
      </c>
      <c r="B97" s="9">
        <f t="shared" si="6"/>
        <v>20</v>
      </c>
      <c r="C97" s="9">
        <v>6</v>
      </c>
      <c r="D97" s="9">
        <v>0.12</v>
      </c>
      <c r="E97" s="9">
        <v>0.09</v>
      </c>
      <c r="F97" s="9">
        <f t="shared" si="7"/>
        <v>0.06</v>
      </c>
      <c r="G97" s="9">
        <f t="shared" si="8"/>
        <v>4.4999999999999998E-2</v>
      </c>
      <c r="H97" s="9">
        <f t="shared" si="9"/>
        <v>5.0893800988158005E-4</v>
      </c>
    </row>
    <row r="98" spans="1:8" x14ac:dyDescent="0.3">
      <c r="A98" s="9" t="s">
        <v>95</v>
      </c>
      <c r="B98" s="9">
        <f t="shared" si="6"/>
        <v>20</v>
      </c>
      <c r="C98" s="9">
        <v>6</v>
      </c>
      <c r="D98" s="9">
        <v>0.12</v>
      </c>
      <c r="E98" s="9">
        <v>0.1</v>
      </c>
      <c r="F98" s="9">
        <f t="shared" si="7"/>
        <v>0.06</v>
      </c>
      <c r="G98" s="9">
        <f t="shared" si="8"/>
        <v>0.05</v>
      </c>
      <c r="H98" s="9">
        <f t="shared" si="9"/>
        <v>6.2831853071800003E-4</v>
      </c>
    </row>
    <row r="99" spans="1:8" x14ac:dyDescent="0.3">
      <c r="A99" s="9" t="s">
        <v>95</v>
      </c>
      <c r="B99" s="9">
        <f t="shared" si="6"/>
        <v>20</v>
      </c>
      <c r="C99" s="9">
        <v>6</v>
      </c>
      <c r="D99" s="9">
        <v>0.12</v>
      </c>
      <c r="E99" s="9">
        <v>0.1</v>
      </c>
      <c r="F99" s="9">
        <f t="shared" si="7"/>
        <v>0.06</v>
      </c>
      <c r="G99" s="9">
        <f t="shared" si="8"/>
        <v>0.05</v>
      </c>
      <c r="H99" s="9">
        <f t="shared" si="9"/>
        <v>6.2831853071800003E-4</v>
      </c>
    </row>
    <row r="100" spans="1:8" x14ac:dyDescent="0.3">
      <c r="A100" s="9" t="s">
        <v>96</v>
      </c>
      <c r="B100" s="9">
        <f t="shared" si="6"/>
        <v>20</v>
      </c>
      <c r="C100" s="9">
        <v>6</v>
      </c>
      <c r="D100" s="9">
        <v>0.1</v>
      </c>
      <c r="E100" s="9">
        <v>0.08</v>
      </c>
      <c r="F100" s="9">
        <f t="shared" si="7"/>
        <v>0.05</v>
      </c>
      <c r="G100" s="9">
        <f t="shared" si="8"/>
        <v>0.04</v>
      </c>
      <c r="H100" s="9">
        <f t="shared" si="9"/>
        <v>3.3510321638293339E-4</v>
      </c>
    </row>
    <row r="101" spans="1:8" x14ac:dyDescent="0.3">
      <c r="A101" s="9" t="s">
        <v>96</v>
      </c>
      <c r="B101" s="9">
        <f t="shared" si="6"/>
        <v>20</v>
      </c>
      <c r="C101" s="9">
        <v>6</v>
      </c>
      <c r="D101" s="9">
        <v>0.1</v>
      </c>
      <c r="E101" s="9">
        <v>0.09</v>
      </c>
      <c r="F101" s="9">
        <f t="shared" si="7"/>
        <v>0.05</v>
      </c>
      <c r="G101" s="9">
        <f t="shared" si="8"/>
        <v>4.4999999999999998E-2</v>
      </c>
      <c r="H101" s="9">
        <f t="shared" si="9"/>
        <v>4.2411500823465002E-4</v>
      </c>
    </row>
    <row r="102" spans="1:8" x14ac:dyDescent="0.3">
      <c r="A102" s="9" t="s">
        <v>96</v>
      </c>
      <c r="B102" s="9">
        <f t="shared" si="6"/>
        <v>20</v>
      </c>
      <c r="C102" s="9">
        <v>6</v>
      </c>
      <c r="D102" s="9">
        <v>0.11</v>
      </c>
      <c r="E102" s="9">
        <v>0.09</v>
      </c>
      <c r="F102" s="9">
        <f t="shared" si="7"/>
        <v>5.5E-2</v>
      </c>
      <c r="G102" s="9">
        <f t="shared" si="8"/>
        <v>4.4999999999999998E-2</v>
      </c>
      <c r="H102" s="9">
        <f t="shared" si="9"/>
        <v>4.6652650905811504E-4</v>
      </c>
    </row>
    <row r="103" spans="1:8" x14ac:dyDescent="0.3">
      <c r="A103" s="9" t="s">
        <v>96</v>
      </c>
      <c r="B103" s="9">
        <f t="shared" si="6"/>
        <v>20</v>
      </c>
      <c r="C103" s="9">
        <v>6</v>
      </c>
      <c r="D103" s="9">
        <v>0.11</v>
      </c>
      <c r="E103" s="9">
        <v>0.09</v>
      </c>
      <c r="F103" s="9">
        <f t="shared" si="7"/>
        <v>5.5E-2</v>
      </c>
      <c r="G103" s="9">
        <f t="shared" si="8"/>
        <v>4.4999999999999998E-2</v>
      </c>
      <c r="H103" s="9">
        <f t="shared" si="9"/>
        <v>4.6652650905811504E-4</v>
      </c>
    </row>
    <row r="104" spans="1:8" x14ac:dyDescent="0.3">
      <c r="A104" s="9" t="s">
        <v>96</v>
      </c>
      <c r="B104" s="9">
        <f t="shared" si="6"/>
        <v>20</v>
      </c>
      <c r="C104" s="9">
        <v>6</v>
      </c>
      <c r="D104" s="9">
        <v>0.12</v>
      </c>
      <c r="E104" s="9">
        <v>0.1</v>
      </c>
      <c r="F104" s="9">
        <f t="shared" si="7"/>
        <v>0.06</v>
      </c>
      <c r="G104" s="9">
        <f t="shared" si="8"/>
        <v>0.05</v>
      </c>
      <c r="H104" s="9">
        <f t="shared" si="9"/>
        <v>6.2831853071800003E-4</v>
      </c>
    </row>
    <row r="105" spans="1:8" x14ac:dyDescent="0.3">
      <c r="A105" s="9" t="s">
        <v>96</v>
      </c>
      <c r="B105" s="9">
        <f t="shared" si="6"/>
        <v>20</v>
      </c>
      <c r="C105" s="9">
        <v>6</v>
      </c>
      <c r="D105" s="9">
        <v>0.1</v>
      </c>
      <c r="E105" s="9">
        <v>0.08</v>
      </c>
      <c r="F105" s="9">
        <f t="shared" si="7"/>
        <v>0.05</v>
      </c>
      <c r="G105" s="9">
        <f t="shared" si="8"/>
        <v>0.04</v>
      </c>
      <c r="H105" s="9">
        <f t="shared" si="9"/>
        <v>3.3510321638293339E-4</v>
      </c>
    </row>
    <row r="106" spans="1:8" x14ac:dyDescent="0.3">
      <c r="A106" s="9" t="s">
        <v>96</v>
      </c>
      <c r="B106" s="9">
        <f t="shared" si="6"/>
        <v>20</v>
      </c>
      <c r="C106" s="9">
        <v>6</v>
      </c>
      <c r="D106" s="9">
        <v>0.12</v>
      </c>
      <c r="E106" s="9">
        <v>0.09</v>
      </c>
      <c r="F106" s="9">
        <f t="shared" si="7"/>
        <v>0.06</v>
      </c>
      <c r="G106" s="9">
        <f t="shared" si="8"/>
        <v>4.4999999999999998E-2</v>
      </c>
      <c r="H106" s="9">
        <f t="shared" si="9"/>
        <v>5.0893800988158005E-4</v>
      </c>
    </row>
    <row r="107" spans="1:8" x14ac:dyDescent="0.3">
      <c r="A107" s="9" t="s">
        <v>96</v>
      </c>
      <c r="B107" s="9">
        <f t="shared" si="6"/>
        <v>20</v>
      </c>
      <c r="C107" s="9">
        <v>6</v>
      </c>
      <c r="D107" s="9">
        <v>0.12</v>
      </c>
      <c r="E107" s="9">
        <v>0.09</v>
      </c>
      <c r="F107" s="9">
        <f t="shared" si="7"/>
        <v>0.06</v>
      </c>
      <c r="G107" s="9">
        <f t="shared" si="8"/>
        <v>4.4999999999999998E-2</v>
      </c>
      <c r="H107" s="9">
        <f t="shared" si="9"/>
        <v>5.0893800988158005E-4</v>
      </c>
    </row>
    <row r="108" spans="1:8" x14ac:dyDescent="0.3">
      <c r="A108" s="9" t="s">
        <v>72</v>
      </c>
      <c r="B108" s="9">
        <f t="shared" si="6"/>
        <v>23</v>
      </c>
      <c r="C108" s="9">
        <v>6</v>
      </c>
      <c r="D108" s="9">
        <v>0.08</v>
      </c>
      <c r="E108" s="9">
        <v>7.0000000000000007E-2</v>
      </c>
      <c r="F108" s="9">
        <f t="shared" si="7"/>
        <v>0.04</v>
      </c>
      <c r="G108" s="9">
        <f t="shared" si="8"/>
        <v>3.5000000000000003E-2</v>
      </c>
      <c r="H108" s="9">
        <f t="shared" si="9"/>
        <v>2.0525072003454669E-4</v>
      </c>
    </row>
    <row r="109" spans="1:8" x14ac:dyDescent="0.3">
      <c r="A109" s="9" t="s">
        <v>72</v>
      </c>
      <c r="B109" s="9">
        <f t="shared" si="6"/>
        <v>23</v>
      </c>
      <c r="C109" s="9">
        <v>6</v>
      </c>
      <c r="D109" s="9">
        <v>0.1</v>
      </c>
      <c r="E109" s="9">
        <v>0.08</v>
      </c>
      <c r="F109" s="9">
        <f t="shared" si="7"/>
        <v>0.05</v>
      </c>
      <c r="G109" s="9">
        <f t="shared" si="8"/>
        <v>0.04</v>
      </c>
      <c r="H109" s="9">
        <f t="shared" si="9"/>
        <v>3.3510321638293339E-4</v>
      </c>
    </row>
    <row r="110" spans="1:8" x14ac:dyDescent="0.3">
      <c r="A110" s="9" t="s">
        <v>72</v>
      </c>
      <c r="B110" s="9">
        <f t="shared" si="6"/>
        <v>23</v>
      </c>
      <c r="C110" s="9">
        <v>6</v>
      </c>
      <c r="D110" s="9">
        <v>0.1</v>
      </c>
      <c r="E110" s="9">
        <v>0.09</v>
      </c>
      <c r="F110" s="9">
        <f t="shared" si="7"/>
        <v>0.05</v>
      </c>
      <c r="G110" s="9">
        <f t="shared" si="8"/>
        <v>4.4999999999999998E-2</v>
      </c>
      <c r="H110" s="9">
        <f t="shared" si="9"/>
        <v>4.2411500823465002E-4</v>
      </c>
    </row>
    <row r="111" spans="1:8" x14ac:dyDescent="0.3">
      <c r="A111" s="9" t="s">
        <v>72</v>
      </c>
      <c r="B111" s="9">
        <f t="shared" si="6"/>
        <v>23</v>
      </c>
      <c r="C111" s="9">
        <v>6</v>
      </c>
      <c r="D111" s="9">
        <v>0.11</v>
      </c>
      <c r="E111" s="9">
        <v>0.09</v>
      </c>
      <c r="F111" s="9">
        <f t="shared" si="7"/>
        <v>5.5E-2</v>
      </c>
      <c r="G111" s="9">
        <f t="shared" si="8"/>
        <v>4.4999999999999998E-2</v>
      </c>
      <c r="H111" s="9">
        <f t="shared" si="9"/>
        <v>4.6652650905811504E-4</v>
      </c>
    </row>
    <row r="112" spans="1:8" x14ac:dyDescent="0.3">
      <c r="A112" s="9" t="s">
        <v>72</v>
      </c>
      <c r="B112" s="9">
        <f t="shared" si="6"/>
        <v>23</v>
      </c>
      <c r="C112" s="9">
        <v>6</v>
      </c>
      <c r="D112" s="9">
        <v>0.12</v>
      </c>
      <c r="E112" s="9">
        <v>0.08</v>
      </c>
      <c r="F112" s="9">
        <f t="shared" si="7"/>
        <v>0.06</v>
      </c>
      <c r="G112" s="9">
        <f t="shared" si="8"/>
        <v>0.04</v>
      </c>
      <c r="H112" s="9">
        <f t="shared" si="9"/>
        <v>4.0212385965952E-4</v>
      </c>
    </row>
    <row r="113" spans="1:8" x14ac:dyDescent="0.3">
      <c r="A113" s="9" t="s">
        <v>72</v>
      </c>
      <c r="B113" s="9">
        <f t="shared" si="6"/>
        <v>23</v>
      </c>
      <c r="C113" s="9">
        <v>6</v>
      </c>
      <c r="D113" s="9">
        <v>0.11</v>
      </c>
      <c r="E113" s="9">
        <v>0.08</v>
      </c>
      <c r="F113" s="9">
        <f t="shared" si="7"/>
        <v>5.5E-2</v>
      </c>
      <c r="G113" s="9">
        <f t="shared" si="8"/>
        <v>0.04</v>
      </c>
      <c r="H113" s="9">
        <f t="shared" si="9"/>
        <v>3.6861353802122669E-4</v>
      </c>
    </row>
    <row r="114" spans="1:8" x14ac:dyDescent="0.3">
      <c r="A114" s="9" t="s">
        <v>93</v>
      </c>
      <c r="B114" s="9">
        <f t="shared" si="6"/>
        <v>23</v>
      </c>
      <c r="C114" s="9">
        <v>6</v>
      </c>
      <c r="D114" s="9">
        <v>7.0000000000000007E-2</v>
      </c>
      <c r="E114" s="9">
        <v>0.06</v>
      </c>
      <c r="F114" s="9">
        <f t="shared" si="7"/>
        <v>3.5000000000000003E-2</v>
      </c>
      <c r="G114" s="9">
        <f t="shared" si="8"/>
        <v>0.03</v>
      </c>
      <c r="H114" s="9">
        <f t="shared" si="9"/>
        <v>1.3194689145078E-4</v>
      </c>
    </row>
    <row r="115" spans="1:8" x14ac:dyDescent="0.3">
      <c r="A115" s="9" t="s">
        <v>93</v>
      </c>
      <c r="B115" s="9">
        <f t="shared" si="6"/>
        <v>23</v>
      </c>
      <c r="C115" s="9">
        <v>6</v>
      </c>
      <c r="D115" s="9">
        <v>0.09</v>
      </c>
      <c r="E115" s="9">
        <v>7.0000000000000007E-2</v>
      </c>
      <c r="F115" s="9">
        <f t="shared" si="7"/>
        <v>4.4999999999999998E-2</v>
      </c>
      <c r="G115" s="9">
        <f t="shared" si="8"/>
        <v>3.5000000000000003E-2</v>
      </c>
      <c r="H115" s="9">
        <f t="shared" si="9"/>
        <v>2.3090706003886502E-4</v>
      </c>
    </row>
    <row r="116" spans="1:8" x14ac:dyDescent="0.3">
      <c r="A116" s="9" t="s">
        <v>93</v>
      </c>
      <c r="B116" s="9">
        <f t="shared" si="6"/>
        <v>23</v>
      </c>
      <c r="C116" s="9">
        <v>6</v>
      </c>
      <c r="D116" s="9">
        <v>0.09</v>
      </c>
      <c r="E116" s="9">
        <v>7.0000000000000007E-2</v>
      </c>
      <c r="F116" s="9">
        <f t="shared" si="7"/>
        <v>4.4999999999999998E-2</v>
      </c>
      <c r="G116" s="9">
        <f t="shared" si="8"/>
        <v>3.5000000000000003E-2</v>
      </c>
      <c r="H116" s="9">
        <f t="shared" si="9"/>
        <v>2.3090706003886502E-4</v>
      </c>
    </row>
    <row r="117" spans="1:8" x14ac:dyDescent="0.3">
      <c r="A117" s="9" t="s">
        <v>93</v>
      </c>
      <c r="B117" s="9">
        <f t="shared" si="6"/>
        <v>23</v>
      </c>
      <c r="C117" s="9">
        <v>6</v>
      </c>
      <c r="D117" s="9">
        <v>0.09</v>
      </c>
      <c r="E117" s="9">
        <v>7.0000000000000007E-2</v>
      </c>
      <c r="F117" s="9">
        <f t="shared" si="7"/>
        <v>4.4999999999999998E-2</v>
      </c>
      <c r="G117" s="9">
        <f t="shared" si="8"/>
        <v>3.5000000000000003E-2</v>
      </c>
      <c r="H117" s="9">
        <f t="shared" si="9"/>
        <v>2.3090706003886502E-4</v>
      </c>
    </row>
    <row r="118" spans="1:8" x14ac:dyDescent="0.3">
      <c r="A118" s="9" t="s">
        <v>93</v>
      </c>
      <c r="B118" s="9">
        <f t="shared" si="6"/>
        <v>23</v>
      </c>
      <c r="C118" s="9">
        <v>6</v>
      </c>
      <c r="D118" s="9">
        <v>0.08</v>
      </c>
      <c r="E118" s="9">
        <v>7.0000000000000007E-2</v>
      </c>
      <c r="F118" s="9">
        <f t="shared" si="7"/>
        <v>0.04</v>
      </c>
      <c r="G118" s="9">
        <f t="shared" si="8"/>
        <v>3.5000000000000003E-2</v>
      </c>
      <c r="H118" s="9">
        <f t="shared" si="9"/>
        <v>2.0525072003454669E-4</v>
      </c>
    </row>
    <row r="119" spans="1:8" x14ac:dyDescent="0.3">
      <c r="A119" s="9" t="s">
        <v>74</v>
      </c>
      <c r="B119" s="9">
        <f t="shared" si="6"/>
        <v>25</v>
      </c>
      <c r="C119" s="9">
        <v>6</v>
      </c>
      <c r="D119" s="9">
        <v>0.1</v>
      </c>
      <c r="E119" s="9">
        <v>0.08</v>
      </c>
      <c r="F119" s="9">
        <f t="shared" si="7"/>
        <v>0.05</v>
      </c>
      <c r="G119" s="9">
        <f t="shared" si="8"/>
        <v>0.04</v>
      </c>
      <c r="H119" s="9">
        <f t="shared" si="9"/>
        <v>3.3510321638293339E-4</v>
      </c>
    </row>
    <row r="120" spans="1:8" x14ac:dyDescent="0.3">
      <c r="A120" s="9" t="s">
        <v>74</v>
      </c>
      <c r="B120" s="9">
        <f t="shared" si="6"/>
        <v>25</v>
      </c>
      <c r="C120" s="9">
        <v>6</v>
      </c>
      <c r="D120" s="9">
        <v>0.11</v>
      </c>
      <c r="E120" s="9">
        <v>0.08</v>
      </c>
      <c r="F120" s="9">
        <f t="shared" si="7"/>
        <v>5.5E-2</v>
      </c>
      <c r="G120" s="9">
        <f t="shared" si="8"/>
        <v>0.04</v>
      </c>
      <c r="H120" s="9">
        <f t="shared" si="9"/>
        <v>3.6861353802122669E-4</v>
      </c>
    </row>
    <row r="121" spans="1:8" x14ac:dyDescent="0.3">
      <c r="A121" s="9" t="s">
        <v>74</v>
      </c>
      <c r="B121" s="9">
        <f t="shared" si="6"/>
        <v>25</v>
      </c>
      <c r="C121" s="9">
        <v>6</v>
      </c>
      <c r="D121" s="9">
        <v>0.09</v>
      </c>
      <c r="E121" s="9">
        <v>7.0000000000000007E-2</v>
      </c>
      <c r="F121" s="9">
        <f t="shared" si="7"/>
        <v>4.4999999999999998E-2</v>
      </c>
      <c r="G121" s="9">
        <f t="shared" si="8"/>
        <v>3.5000000000000003E-2</v>
      </c>
      <c r="H121" s="9">
        <f t="shared" si="9"/>
        <v>2.3090706003886502E-4</v>
      </c>
    </row>
    <row r="122" spans="1:8" x14ac:dyDescent="0.3">
      <c r="A122" s="9" t="s">
        <v>74</v>
      </c>
      <c r="B122" s="9">
        <f t="shared" si="6"/>
        <v>25</v>
      </c>
      <c r="C122" s="9">
        <v>6</v>
      </c>
      <c r="D122" s="9">
        <v>0.1</v>
      </c>
      <c r="E122" s="9">
        <v>0.08</v>
      </c>
      <c r="F122" s="9">
        <f t="shared" si="7"/>
        <v>0.05</v>
      </c>
      <c r="G122" s="9">
        <f t="shared" si="8"/>
        <v>0.04</v>
      </c>
      <c r="H122" s="9">
        <f t="shared" si="9"/>
        <v>3.3510321638293339E-4</v>
      </c>
    </row>
    <row r="123" spans="1:8" x14ac:dyDescent="0.3">
      <c r="A123" s="9" t="s">
        <v>74</v>
      </c>
      <c r="B123" s="9">
        <f t="shared" si="6"/>
        <v>25</v>
      </c>
      <c r="C123" s="9">
        <v>6</v>
      </c>
      <c r="D123" s="9">
        <v>0.09</v>
      </c>
      <c r="E123" s="9">
        <v>0.08</v>
      </c>
      <c r="F123" s="9">
        <f t="shared" si="7"/>
        <v>4.4999999999999998E-2</v>
      </c>
      <c r="G123" s="9">
        <f t="shared" si="8"/>
        <v>0.04</v>
      </c>
      <c r="H123" s="9">
        <f t="shared" si="9"/>
        <v>3.0159289474464003E-4</v>
      </c>
    </row>
    <row r="124" spans="1:8" x14ac:dyDescent="0.3">
      <c r="A124" s="9" t="s">
        <v>74</v>
      </c>
      <c r="B124" s="9">
        <f t="shared" si="6"/>
        <v>25</v>
      </c>
      <c r="C124" s="9">
        <v>6</v>
      </c>
      <c r="D124" s="9">
        <v>0.1</v>
      </c>
      <c r="E124" s="9">
        <v>0.09</v>
      </c>
      <c r="F124" s="9">
        <f t="shared" si="7"/>
        <v>0.05</v>
      </c>
      <c r="G124" s="9">
        <f t="shared" si="8"/>
        <v>4.4999999999999998E-2</v>
      </c>
      <c r="H124" s="9">
        <f t="shared" si="9"/>
        <v>4.2411500823465002E-4</v>
      </c>
    </row>
    <row r="125" spans="1:8" x14ac:dyDescent="0.3">
      <c r="A125" s="9" t="s">
        <v>74</v>
      </c>
      <c r="B125" s="9">
        <f t="shared" si="6"/>
        <v>25</v>
      </c>
      <c r="C125" s="9">
        <v>6</v>
      </c>
      <c r="D125" s="9">
        <v>0.08</v>
      </c>
      <c r="E125" s="9">
        <v>7.0000000000000007E-2</v>
      </c>
      <c r="F125" s="9">
        <f t="shared" si="7"/>
        <v>0.04</v>
      </c>
      <c r="G125" s="9">
        <f t="shared" si="8"/>
        <v>3.5000000000000003E-2</v>
      </c>
      <c r="H125" s="9">
        <f t="shared" si="9"/>
        <v>2.0525072003454669E-4</v>
      </c>
    </row>
    <row r="126" spans="1:8" x14ac:dyDescent="0.3">
      <c r="A126" s="9" t="s">
        <v>97</v>
      </c>
      <c r="B126" s="9">
        <f t="shared" si="6"/>
        <v>27</v>
      </c>
      <c r="C126" s="9">
        <v>6</v>
      </c>
      <c r="D126" s="9">
        <v>0.1</v>
      </c>
      <c r="E126" s="9">
        <v>0.08</v>
      </c>
      <c r="F126" s="9">
        <f t="shared" si="7"/>
        <v>0.05</v>
      </c>
      <c r="G126" s="9">
        <f t="shared" si="8"/>
        <v>0.04</v>
      </c>
      <c r="H126" s="9">
        <f t="shared" si="9"/>
        <v>3.3510321638293339E-4</v>
      </c>
    </row>
    <row r="127" spans="1:8" x14ac:dyDescent="0.3">
      <c r="A127" s="9" t="s">
        <v>97</v>
      </c>
      <c r="B127" s="9">
        <f t="shared" si="6"/>
        <v>27</v>
      </c>
      <c r="C127" s="9">
        <v>6</v>
      </c>
      <c r="D127" s="9">
        <v>0.09</v>
      </c>
      <c r="E127" s="9">
        <v>0.08</v>
      </c>
      <c r="F127" s="9">
        <f t="shared" si="7"/>
        <v>4.4999999999999998E-2</v>
      </c>
      <c r="G127" s="9">
        <f t="shared" si="8"/>
        <v>0.04</v>
      </c>
      <c r="H127" s="9">
        <f t="shared" ref="H127:H158" si="10">(4/3)*3.14159265359*G127^2*F127</f>
        <v>3.0159289474464003E-4</v>
      </c>
    </row>
    <row r="128" spans="1:8" x14ac:dyDescent="0.3">
      <c r="A128" s="9" t="s">
        <v>97</v>
      </c>
      <c r="B128" s="9">
        <f t="shared" si="6"/>
        <v>27</v>
      </c>
      <c r="C128" s="9">
        <v>6</v>
      </c>
      <c r="D128" s="9">
        <v>0.11</v>
      </c>
      <c r="E128" s="9">
        <v>0.09</v>
      </c>
      <c r="F128" s="9">
        <f t="shared" si="7"/>
        <v>5.5E-2</v>
      </c>
      <c r="G128" s="9">
        <f t="shared" si="8"/>
        <v>4.4999999999999998E-2</v>
      </c>
      <c r="H128" s="9">
        <f t="shared" si="10"/>
        <v>4.6652650905811504E-4</v>
      </c>
    </row>
    <row r="129" spans="1:8" x14ac:dyDescent="0.3">
      <c r="A129" s="9" t="s">
        <v>97</v>
      </c>
      <c r="B129" s="9">
        <f t="shared" si="6"/>
        <v>27</v>
      </c>
      <c r="C129" s="9">
        <v>6</v>
      </c>
      <c r="D129" s="9">
        <v>0.1</v>
      </c>
      <c r="E129" s="9">
        <v>0.09</v>
      </c>
      <c r="F129" s="9">
        <f t="shared" si="7"/>
        <v>0.05</v>
      </c>
      <c r="G129" s="9">
        <f t="shared" si="8"/>
        <v>4.4999999999999998E-2</v>
      </c>
      <c r="H129" s="9">
        <f t="shared" si="10"/>
        <v>4.2411500823465002E-4</v>
      </c>
    </row>
    <row r="130" spans="1:8" x14ac:dyDescent="0.3">
      <c r="A130" s="9" t="s">
        <v>97</v>
      </c>
      <c r="B130" s="9">
        <f t="shared" ref="B130:B193" si="11">LEFT(A130,2)+0</f>
        <v>27</v>
      </c>
      <c r="C130" s="9">
        <v>6</v>
      </c>
      <c r="D130" s="9">
        <v>0.1</v>
      </c>
      <c r="E130" s="9">
        <v>0.08</v>
      </c>
      <c r="F130" s="9">
        <f t="shared" ref="F130:F193" si="12">D130/2</f>
        <v>0.05</v>
      </c>
      <c r="G130" s="9">
        <f t="shared" ref="G130:G193" si="13">E130/2</f>
        <v>0.04</v>
      </c>
      <c r="H130" s="9">
        <f t="shared" si="10"/>
        <v>3.3510321638293339E-4</v>
      </c>
    </row>
    <row r="131" spans="1:8" x14ac:dyDescent="0.3">
      <c r="A131" s="9" t="s">
        <v>97</v>
      </c>
      <c r="B131" s="9">
        <f t="shared" si="11"/>
        <v>27</v>
      </c>
      <c r="C131" s="9">
        <v>6</v>
      </c>
      <c r="D131" s="9">
        <v>0.08</v>
      </c>
      <c r="E131" s="9">
        <v>7.0000000000000007E-2</v>
      </c>
      <c r="F131" s="9">
        <f t="shared" si="12"/>
        <v>0.04</v>
      </c>
      <c r="G131" s="9">
        <f t="shared" si="13"/>
        <v>3.5000000000000003E-2</v>
      </c>
      <c r="H131" s="9">
        <f t="shared" si="10"/>
        <v>2.0525072003454669E-4</v>
      </c>
    </row>
    <row r="132" spans="1:8" x14ac:dyDescent="0.3">
      <c r="A132" s="9" t="s">
        <v>97</v>
      </c>
      <c r="B132" s="9">
        <f t="shared" si="11"/>
        <v>27</v>
      </c>
      <c r="C132" s="9">
        <v>6</v>
      </c>
      <c r="D132" s="9">
        <v>0.1</v>
      </c>
      <c r="E132" s="9">
        <v>7.0000000000000007E-2</v>
      </c>
      <c r="F132" s="9">
        <f t="shared" si="12"/>
        <v>0.05</v>
      </c>
      <c r="G132" s="9">
        <f t="shared" si="13"/>
        <v>3.5000000000000003E-2</v>
      </c>
      <c r="H132" s="9">
        <f t="shared" si="10"/>
        <v>2.5656340004318338E-4</v>
      </c>
    </row>
    <row r="133" spans="1:8" x14ac:dyDescent="0.3">
      <c r="A133" s="9" t="s">
        <v>97</v>
      </c>
      <c r="B133" s="9">
        <f t="shared" si="11"/>
        <v>27</v>
      </c>
      <c r="C133" s="9">
        <v>6</v>
      </c>
      <c r="D133" s="9">
        <v>0.09</v>
      </c>
      <c r="E133" s="9">
        <v>7.0000000000000007E-2</v>
      </c>
      <c r="F133" s="9">
        <f t="shared" si="12"/>
        <v>4.4999999999999998E-2</v>
      </c>
      <c r="G133" s="9">
        <f t="shared" si="13"/>
        <v>3.5000000000000003E-2</v>
      </c>
      <c r="H133" s="9">
        <f t="shared" si="10"/>
        <v>2.3090706003886502E-4</v>
      </c>
    </row>
    <row r="134" spans="1:8" x14ac:dyDescent="0.3">
      <c r="A134" s="9" t="s">
        <v>98</v>
      </c>
      <c r="B134" s="9">
        <f t="shared" si="11"/>
        <v>20</v>
      </c>
      <c r="C134" s="9">
        <v>7</v>
      </c>
      <c r="D134" s="9">
        <v>0.1</v>
      </c>
      <c r="E134" s="9">
        <v>0.08</v>
      </c>
      <c r="F134" s="9">
        <f t="shared" si="12"/>
        <v>0.05</v>
      </c>
      <c r="G134" s="9">
        <f t="shared" si="13"/>
        <v>0.04</v>
      </c>
      <c r="H134" s="9">
        <f t="shared" si="10"/>
        <v>3.3510321638293339E-4</v>
      </c>
    </row>
    <row r="135" spans="1:8" x14ac:dyDescent="0.3">
      <c r="A135" s="9" t="s">
        <v>98</v>
      </c>
      <c r="B135" s="9">
        <f t="shared" si="11"/>
        <v>20</v>
      </c>
      <c r="C135" s="9">
        <v>7</v>
      </c>
      <c r="D135" s="9">
        <v>0.09</v>
      </c>
      <c r="E135" s="9">
        <v>0.08</v>
      </c>
      <c r="F135" s="9">
        <f t="shared" si="12"/>
        <v>4.4999999999999998E-2</v>
      </c>
      <c r="G135" s="9">
        <f t="shared" si="13"/>
        <v>0.04</v>
      </c>
      <c r="H135" s="9">
        <f t="shared" si="10"/>
        <v>3.0159289474464003E-4</v>
      </c>
    </row>
    <row r="136" spans="1:8" x14ac:dyDescent="0.3">
      <c r="A136" s="9" t="s">
        <v>98</v>
      </c>
      <c r="B136" s="9">
        <f t="shared" si="11"/>
        <v>20</v>
      </c>
      <c r="C136" s="9">
        <v>7</v>
      </c>
      <c r="D136" s="9">
        <v>0.11</v>
      </c>
      <c r="E136" s="9">
        <v>0.09</v>
      </c>
      <c r="F136" s="9">
        <f t="shared" si="12"/>
        <v>5.5E-2</v>
      </c>
      <c r="G136" s="9">
        <f t="shared" si="13"/>
        <v>4.4999999999999998E-2</v>
      </c>
      <c r="H136" s="9">
        <f t="shared" si="10"/>
        <v>4.6652650905811504E-4</v>
      </c>
    </row>
    <row r="137" spans="1:8" x14ac:dyDescent="0.3">
      <c r="A137" s="9" t="s">
        <v>98</v>
      </c>
      <c r="B137" s="9">
        <f t="shared" si="11"/>
        <v>20</v>
      </c>
      <c r="C137" s="9">
        <v>7</v>
      </c>
      <c r="D137" s="9">
        <v>0.09</v>
      </c>
      <c r="E137" s="9">
        <v>0.08</v>
      </c>
      <c r="F137" s="9">
        <f t="shared" si="12"/>
        <v>4.4999999999999998E-2</v>
      </c>
      <c r="G137" s="9">
        <f t="shared" si="13"/>
        <v>0.04</v>
      </c>
      <c r="H137" s="9">
        <f t="shared" si="10"/>
        <v>3.0159289474464003E-4</v>
      </c>
    </row>
    <row r="138" spans="1:8" x14ac:dyDescent="0.3">
      <c r="A138" s="9" t="s">
        <v>98</v>
      </c>
      <c r="B138" s="9">
        <f t="shared" si="11"/>
        <v>20</v>
      </c>
      <c r="C138" s="9">
        <v>7</v>
      </c>
      <c r="D138" s="9">
        <v>0.09</v>
      </c>
      <c r="E138" s="9">
        <v>0.08</v>
      </c>
      <c r="F138" s="9">
        <f t="shared" si="12"/>
        <v>4.4999999999999998E-2</v>
      </c>
      <c r="G138" s="9">
        <f t="shared" si="13"/>
        <v>0.04</v>
      </c>
      <c r="H138" s="9">
        <f t="shared" si="10"/>
        <v>3.0159289474464003E-4</v>
      </c>
    </row>
    <row r="139" spans="1:8" x14ac:dyDescent="0.3">
      <c r="A139" s="9" t="s">
        <v>98</v>
      </c>
      <c r="B139" s="9">
        <f t="shared" si="11"/>
        <v>20</v>
      </c>
      <c r="C139" s="9">
        <v>7</v>
      </c>
      <c r="D139" s="9">
        <v>0.11</v>
      </c>
      <c r="E139" s="9">
        <v>0.09</v>
      </c>
      <c r="F139" s="9">
        <f t="shared" si="12"/>
        <v>5.5E-2</v>
      </c>
      <c r="G139" s="9">
        <f t="shared" si="13"/>
        <v>4.4999999999999998E-2</v>
      </c>
      <c r="H139" s="9">
        <f t="shared" si="10"/>
        <v>4.6652650905811504E-4</v>
      </c>
    </row>
    <row r="140" spans="1:8" x14ac:dyDescent="0.3">
      <c r="A140" s="9" t="s">
        <v>77</v>
      </c>
      <c r="B140" s="9">
        <f t="shared" si="11"/>
        <v>17</v>
      </c>
      <c r="C140" s="9">
        <v>8</v>
      </c>
      <c r="D140" s="9">
        <v>0.1</v>
      </c>
      <c r="E140" s="9">
        <v>0.08</v>
      </c>
      <c r="F140" s="9">
        <f t="shared" si="12"/>
        <v>0.05</v>
      </c>
      <c r="G140" s="9">
        <f t="shared" si="13"/>
        <v>0.04</v>
      </c>
      <c r="H140" s="9">
        <f t="shared" si="10"/>
        <v>3.3510321638293339E-4</v>
      </c>
    </row>
    <row r="141" spans="1:8" x14ac:dyDescent="0.3">
      <c r="A141" s="9" t="s">
        <v>77</v>
      </c>
      <c r="B141" s="9">
        <f t="shared" si="11"/>
        <v>17</v>
      </c>
      <c r="C141" s="9">
        <v>8</v>
      </c>
      <c r="D141" s="9">
        <v>0.14000000000000001</v>
      </c>
      <c r="E141" s="9">
        <v>0.1</v>
      </c>
      <c r="F141" s="9">
        <f t="shared" si="12"/>
        <v>7.0000000000000007E-2</v>
      </c>
      <c r="G141" s="9">
        <f t="shared" si="13"/>
        <v>0.05</v>
      </c>
      <c r="H141" s="9">
        <f t="shared" si="10"/>
        <v>7.3303828583766689E-4</v>
      </c>
    </row>
    <row r="142" spans="1:8" x14ac:dyDescent="0.3">
      <c r="A142" s="9" t="s">
        <v>77</v>
      </c>
      <c r="B142" s="9">
        <f t="shared" si="11"/>
        <v>17</v>
      </c>
      <c r="C142" s="9">
        <v>8</v>
      </c>
      <c r="D142" s="9">
        <v>0.12</v>
      </c>
      <c r="E142" s="9">
        <v>0.09</v>
      </c>
      <c r="F142" s="9">
        <f t="shared" si="12"/>
        <v>0.06</v>
      </c>
      <c r="G142" s="9">
        <f t="shared" si="13"/>
        <v>4.4999999999999998E-2</v>
      </c>
      <c r="H142" s="9">
        <f t="shared" si="10"/>
        <v>5.0893800988158005E-4</v>
      </c>
    </row>
    <row r="143" spans="1:8" x14ac:dyDescent="0.3">
      <c r="A143" s="9" t="s">
        <v>77</v>
      </c>
      <c r="B143" s="9">
        <f t="shared" si="11"/>
        <v>17</v>
      </c>
      <c r="C143" s="9">
        <v>8</v>
      </c>
      <c r="D143" s="9">
        <v>0.11</v>
      </c>
      <c r="E143" s="9">
        <v>0.09</v>
      </c>
      <c r="F143" s="9">
        <f t="shared" si="12"/>
        <v>5.5E-2</v>
      </c>
      <c r="G143" s="9">
        <f t="shared" si="13"/>
        <v>4.4999999999999998E-2</v>
      </c>
      <c r="H143" s="9">
        <f t="shared" si="10"/>
        <v>4.6652650905811504E-4</v>
      </c>
    </row>
    <row r="144" spans="1:8" x14ac:dyDescent="0.3">
      <c r="A144" s="9" t="s">
        <v>77</v>
      </c>
      <c r="B144" s="9">
        <f t="shared" si="11"/>
        <v>17</v>
      </c>
      <c r="C144" s="9">
        <v>8</v>
      </c>
      <c r="D144" s="9">
        <v>0.1</v>
      </c>
      <c r="E144" s="9">
        <v>0.08</v>
      </c>
      <c r="F144" s="9">
        <f t="shared" si="12"/>
        <v>0.05</v>
      </c>
      <c r="G144" s="9">
        <f t="shared" si="13"/>
        <v>0.04</v>
      </c>
      <c r="H144" s="9">
        <f t="shared" si="10"/>
        <v>3.3510321638293339E-4</v>
      </c>
    </row>
    <row r="145" spans="1:8" x14ac:dyDescent="0.3">
      <c r="A145" s="9" t="s">
        <v>79</v>
      </c>
      <c r="B145" s="9">
        <f t="shared" si="11"/>
        <v>20</v>
      </c>
      <c r="C145" s="9">
        <v>8</v>
      </c>
      <c r="D145" s="9">
        <v>0.18</v>
      </c>
      <c r="E145" s="9">
        <v>0.13</v>
      </c>
      <c r="F145" s="9">
        <f t="shared" si="12"/>
        <v>0.09</v>
      </c>
      <c r="G145" s="9">
        <f t="shared" si="13"/>
        <v>6.5000000000000002E-2</v>
      </c>
      <c r="H145" s="9">
        <f t="shared" si="10"/>
        <v>1.5927874753701302E-3</v>
      </c>
    </row>
    <row r="146" spans="1:8" x14ac:dyDescent="0.3">
      <c r="A146" s="9" t="s">
        <v>79</v>
      </c>
      <c r="B146" s="9">
        <f t="shared" si="11"/>
        <v>20</v>
      </c>
      <c r="C146" s="9">
        <v>8</v>
      </c>
      <c r="D146" s="9">
        <v>0.13</v>
      </c>
      <c r="E146" s="9">
        <v>0.12</v>
      </c>
      <c r="F146" s="9">
        <f t="shared" si="12"/>
        <v>6.5000000000000002E-2</v>
      </c>
      <c r="G146" s="9">
        <f t="shared" si="13"/>
        <v>0.06</v>
      </c>
      <c r="H146" s="9">
        <f t="shared" si="10"/>
        <v>9.8017690792007997E-4</v>
      </c>
    </row>
    <row r="147" spans="1:8" x14ac:dyDescent="0.3">
      <c r="A147" s="9" t="s">
        <v>79</v>
      </c>
      <c r="B147" s="9">
        <f t="shared" si="11"/>
        <v>20</v>
      </c>
      <c r="C147" s="9">
        <v>8</v>
      </c>
      <c r="D147" s="9">
        <v>0.12</v>
      </c>
      <c r="E147" s="9">
        <v>0.11</v>
      </c>
      <c r="F147" s="9">
        <f t="shared" si="12"/>
        <v>0.06</v>
      </c>
      <c r="G147" s="9">
        <f t="shared" si="13"/>
        <v>5.5E-2</v>
      </c>
      <c r="H147" s="9">
        <f t="shared" si="10"/>
        <v>7.6026542216877996E-4</v>
      </c>
    </row>
    <row r="148" spans="1:8" x14ac:dyDescent="0.3">
      <c r="A148" s="9" t="s">
        <v>79</v>
      </c>
      <c r="B148" s="9">
        <f t="shared" si="11"/>
        <v>20</v>
      </c>
      <c r="C148" s="9">
        <v>8</v>
      </c>
      <c r="D148" s="9">
        <v>0.19</v>
      </c>
      <c r="E148" s="9">
        <v>0.12</v>
      </c>
      <c r="F148" s="9">
        <f t="shared" si="12"/>
        <v>9.5000000000000001E-2</v>
      </c>
      <c r="G148" s="9">
        <f t="shared" si="13"/>
        <v>0.06</v>
      </c>
      <c r="H148" s="9">
        <f t="shared" si="10"/>
        <v>1.43256625003704E-3</v>
      </c>
    </row>
    <row r="149" spans="1:8" x14ac:dyDescent="0.3">
      <c r="A149" s="9" t="s">
        <v>79</v>
      </c>
      <c r="B149" s="9">
        <f t="shared" si="11"/>
        <v>20</v>
      </c>
      <c r="C149" s="9">
        <v>8</v>
      </c>
      <c r="D149" s="9">
        <v>0.13</v>
      </c>
      <c r="E149" s="9">
        <v>0.11</v>
      </c>
      <c r="F149" s="9">
        <f t="shared" si="12"/>
        <v>6.5000000000000002E-2</v>
      </c>
      <c r="G149" s="9">
        <f t="shared" si="13"/>
        <v>5.5E-2</v>
      </c>
      <c r="H149" s="9">
        <f t="shared" si="10"/>
        <v>8.2362087401617839E-4</v>
      </c>
    </row>
    <row r="150" spans="1:8" x14ac:dyDescent="0.3">
      <c r="A150" s="9" t="s">
        <v>79</v>
      </c>
      <c r="B150" s="9">
        <f t="shared" si="11"/>
        <v>20</v>
      </c>
      <c r="C150" s="9">
        <v>8</v>
      </c>
      <c r="D150" s="9">
        <v>0.16</v>
      </c>
      <c r="E150" s="9">
        <v>0.11</v>
      </c>
      <c r="F150" s="9">
        <f t="shared" si="12"/>
        <v>0.08</v>
      </c>
      <c r="G150" s="9">
        <f t="shared" si="13"/>
        <v>5.5E-2</v>
      </c>
      <c r="H150" s="9">
        <f t="shared" si="10"/>
        <v>1.0136872295583733E-3</v>
      </c>
    </row>
    <row r="151" spans="1:8" x14ac:dyDescent="0.3">
      <c r="A151" s="9" t="s">
        <v>79</v>
      </c>
      <c r="B151" s="9">
        <f t="shared" si="11"/>
        <v>20</v>
      </c>
      <c r="C151" s="9">
        <v>8</v>
      </c>
      <c r="D151" s="9">
        <v>0.17</v>
      </c>
      <c r="E151" s="9">
        <v>0.14000000000000001</v>
      </c>
      <c r="F151" s="9">
        <f t="shared" si="12"/>
        <v>8.5000000000000006E-2</v>
      </c>
      <c r="G151" s="9">
        <f t="shared" si="13"/>
        <v>7.0000000000000007E-2</v>
      </c>
      <c r="H151" s="9">
        <f t="shared" si="10"/>
        <v>1.744631120293647E-3</v>
      </c>
    </row>
    <row r="152" spans="1:8" x14ac:dyDescent="0.3">
      <c r="A152" s="9" t="s">
        <v>76</v>
      </c>
      <c r="B152" s="9">
        <f t="shared" si="11"/>
        <v>17</v>
      </c>
      <c r="C152" s="9">
        <v>9</v>
      </c>
      <c r="D152" s="9">
        <v>0.09</v>
      </c>
      <c r="E152" s="9">
        <v>0.08</v>
      </c>
      <c r="F152" s="9">
        <f t="shared" si="12"/>
        <v>4.4999999999999998E-2</v>
      </c>
      <c r="G152" s="9">
        <f t="shared" si="13"/>
        <v>0.04</v>
      </c>
      <c r="H152" s="9">
        <f t="shared" si="10"/>
        <v>3.0159289474464003E-4</v>
      </c>
    </row>
    <row r="153" spans="1:8" x14ac:dyDescent="0.3">
      <c r="A153" s="9" t="s">
        <v>76</v>
      </c>
      <c r="B153" s="9">
        <f t="shared" si="11"/>
        <v>17</v>
      </c>
      <c r="C153" s="9">
        <v>9</v>
      </c>
      <c r="D153" s="9">
        <v>0.11</v>
      </c>
      <c r="E153" s="9">
        <v>0.11</v>
      </c>
      <c r="F153" s="9">
        <f t="shared" si="12"/>
        <v>5.5E-2</v>
      </c>
      <c r="G153" s="9">
        <f t="shared" si="13"/>
        <v>5.5E-2</v>
      </c>
      <c r="H153" s="9">
        <f t="shared" si="10"/>
        <v>6.9690997032138163E-4</v>
      </c>
    </row>
    <row r="154" spans="1:8" x14ac:dyDescent="0.3">
      <c r="A154" s="9" t="s">
        <v>76</v>
      </c>
      <c r="B154" s="9">
        <f t="shared" si="11"/>
        <v>17</v>
      </c>
      <c r="C154" s="9">
        <v>9</v>
      </c>
      <c r="D154" s="9">
        <v>0.1</v>
      </c>
      <c r="E154" s="9">
        <v>0.1</v>
      </c>
      <c r="F154" s="9">
        <f t="shared" si="12"/>
        <v>0.05</v>
      </c>
      <c r="G154" s="9">
        <f t="shared" si="13"/>
        <v>0.05</v>
      </c>
      <c r="H154" s="9">
        <f t="shared" si="10"/>
        <v>5.235987755983334E-4</v>
      </c>
    </row>
    <row r="155" spans="1:8" x14ac:dyDescent="0.3">
      <c r="A155" s="9" t="s">
        <v>76</v>
      </c>
      <c r="B155" s="9">
        <f t="shared" si="11"/>
        <v>17</v>
      </c>
      <c r="C155" s="9">
        <v>9</v>
      </c>
      <c r="D155" s="9">
        <v>0.11</v>
      </c>
      <c r="E155" s="9">
        <v>0.11</v>
      </c>
      <c r="F155" s="9">
        <f t="shared" si="12"/>
        <v>5.5E-2</v>
      </c>
      <c r="G155" s="9">
        <f t="shared" si="13"/>
        <v>5.5E-2</v>
      </c>
      <c r="H155" s="9">
        <f t="shared" si="10"/>
        <v>6.9690997032138163E-4</v>
      </c>
    </row>
    <row r="156" spans="1:8" x14ac:dyDescent="0.3">
      <c r="A156" s="9" t="s">
        <v>76</v>
      </c>
      <c r="B156" s="9">
        <f t="shared" si="11"/>
        <v>17</v>
      </c>
      <c r="C156" s="9">
        <v>9</v>
      </c>
      <c r="D156" s="9">
        <v>0.1</v>
      </c>
      <c r="E156" s="9">
        <v>0.09</v>
      </c>
      <c r="F156" s="9">
        <f t="shared" si="12"/>
        <v>0.05</v>
      </c>
      <c r="G156" s="9">
        <f t="shared" si="13"/>
        <v>4.4999999999999998E-2</v>
      </c>
      <c r="H156" s="9">
        <f t="shared" si="10"/>
        <v>4.2411500823465002E-4</v>
      </c>
    </row>
    <row r="157" spans="1:8" x14ac:dyDescent="0.3">
      <c r="A157" s="9" t="s">
        <v>77</v>
      </c>
      <c r="B157" s="9">
        <f t="shared" si="11"/>
        <v>17</v>
      </c>
      <c r="C157" s="9">
        <v>9</v>
      </c>
      <c r="D157" s="9">
        <v>0.08</v>
      </c>
      <c r="E157" s="9">
        <v>0.08</v>
      </c>
      <c r="F157" s="9">
        <f t="shared" si="12"/>
        <v>0.04</v>
      </c>
      <c r="G157" s="9">
        <f t="shared" si="13"/>
        <v>0.04</v>
      </c>
      <c r="H157" s="9">
        <f t="shared" si="10"/>
        <v>2.6808257310634672E-4</v>
      </c>
    </row>
    <row r="158" spans="1:8" x14ac:dyDescent="0.3">
      <c r="A158" s="9" t="s">
        <v>77</v>
      </c>
      <c r="B158" s="9">
        <f t="shared" si="11"/>
        <v>17</v>
      </c>
      <c r="C158" s="9">
        <v>9</v>
      </c>
      <c r="D158" s="9">
        <v>0.08</v>
      </c>
      <c r="E158" s="9">
        <v>0.08</v>
      </c>
      <c r="F158" s="9">
        <f t="shared" si="12"/>
        <v>0.04</v>
      </c>
      <c r="G158" s="9">
        <f t="shared" si="13"/>
        <v>0.04</v>
      </c>
      <c r="H158" s="9">
        <f t="shared" si="10"/>
        <v>2.6808257310634672E-4</v>
      </c>
    </row>
    <row r="159" spans="1:8" x14ac:dyDescent="0.3">
      <c r="A159" s="9" t="s">
        <v>77</v>
      </c>
      <c r="B159" s="9">
        <f t="shared" si="11"/>
        <v>17</v>
      </c>
      <c r="C159" s="9">
        <v>9</v>
      </c>
      <c r="D159" s="9">
        <v>0.08</v>
      </c>
      <c r="E159" s="9">
        <v>0.08</v>
      </c>
      <c r="F159" s="9">
        <f t="shared" si="12"/>
        <v>0.04</v>
      </c>
      <c r="G159" s="9">
        <f t="shared" si="13"/>
        <v>0.04</v>
      </c>
      <c r="H159" s="9">
        <f t="shared" ref="H159:H190" si="14">(4/3)*3.14159265359*G159^2*F159</f>
        <v>2.6808257310634672E-4</v>
      </c>
    </row>
    <row r="160" spans="1:8" x14ac:dyDescent="0.3">
      <c r="A160" s="9" t="s">
        <v>77</v>
      </c>
      <c r="B160" s="9">
        <f t="shared" si="11"/>
        <v>17</v>
      </c>
      <c r="C160" s="9">
        <v>9</v>
      </c>
      <c r="D160" s="9">
        <v>0.08</v>
      </c>
      <c r="E160" s="9">
        <v>0.08</v>
      </c>
      <c r="F160" s="9">
        <f t="shared" si="12"/>
        <v>0.04</v>
      </c>
      <c r="G160" s="9">
        <f t="shared" si="13"/>
        <v>0.04</v>
      </c>
      <c r="H160" s="9">
        <f t="shared" si="14"/>
        <v>2.6808257310634672E-4</v>
      </c>
    </row>
    <row r="161" spans="1:8" x14ac:dyDescent="0.3">
      <c r="A161" s="9" t="s">
        <v>78</v>
      </c>
      <c r="B161" s="9">
        <f t="shared" si="11"/>
        <v>17</v>
      </c>
      <c r="C161" s="9">
        <v>9</v>
      </c>
      <c r="D161" s="9">
        <v>0.11</v>
      </c>
      <c r="E161" s="9">
        <v>0.11</v>
      </c>
      <c r="F161" s="9">
        <f t="shared" si="12"/>
        <v>5.5E-2</v>
      </c>
      <c r="G161" s="9">
        <f t="shared" si="13"/>
        <v>5.5E-2</v>
      </c>
      <c r="H161" s="9">
        <f t="shared" si="14"/>
        <v>6.9690997032138163E-4</v>
      </c>
    </row>
    <row r="162" spans="1:8" x14ac:dyDescent="0.3">
      <c r="A162" s="9" t="s">
        <v>78</v>
      </c>
      <c r="B162" s="9">
        <f t="shared" si="11"/>
        <v>17</v>
      </c>
      <c r="C162" s="9">
        <v>9</v>
      </c>
      <c r="D162" s="9">
        <v>0.1</v>
      </c>
      <c r="E162" s="9">
        <v>0.1</v>
      </c>
      <c r="F162" s="9">
        <f t="shared" si="12"/>
        <v>0.05</v>
      </c>
      <c r="G162" s="9">
        <f t="shared" si="13"/>
        <v>0.05</v>
      </c>
      <c r="H162" s="9">
        <f t="shared" si="14"/>
        <v>5.235987755983334E-4</v>
      </c>
    </row>
    <row r="163" spans="1:8" x14ac:dyDescent="0.3">
      <c r="A163" s="9" t="s">
        <v>78</v>
      </c>
      <c r="B163" s="9">
        <f t="shared" si="11"/>
        <v>17</v>
      </c>
      <c r="C163" s="9">
        <v>9</v>
      </c>
      <c r="D163" s="9">
        <v>0.09</v>
      </c>
      <c r="E163" s="9">
        <v>0.09</v>
      </c>
      <c r="F163" s="9">
        <f t="shared" si="12"/>
        <v>4.4999999999999998E-2</v>
      </c>
      <c r="G163" s="9">
        <f t="shared" si="13"/>
        <v>4.4999999999999998E-2</v>
      </c>
      <c r="H163" s="9">
        <f t="shared" si="14"/>
        <v>3.8170350741118501E-4</v>
      </c>
    </row>
    <row r="164" spans="1:8" x14ac:dyDescent="0.3">
      <c r="A164" s="9" t="s">
        <v>78</v>
      </c>
      <c r="B164" s="9">
        <f t="shared" si="11"/>
        <v>17</v>
      </c>
      <c r="C164" s="9">
        <v>9</v>
      </c>
      <c r="D164" s="9">
        <v>0.11</v>
      </c>
      <c r="E164" s="9">
        <v>0.1</v>
      </c>
      <c r="F164" s="9">
        <f t="shared" si="12"/>
        <v>5.5E-2</v>
      </c>
      <c r="G164" s="9">
        <f t="shared" si="13"/>
        <v>0.05</v>
      </c>
      <c r="H164" s="9">
        <f t="shared" si="14"/>
        <v>5.7595865315816677E-4</v>
      </c>
    </row>
    <row r="165" spans="1:8" x14ac:dyDescent="0.3">
      <c r="A165" s="9" t="s">
        <v>78</v>
      </c>
      <c r="B165" s="9">
        <f t="shared" si="11"/>
        <v>17</v>
      </c>
      <c r="C165" s="9">
        <v>9</v>
      </c>
      <c r="D165" s="9">
        <v>0.1</v>
      </c>
      <c r="E165" s="9">
        <v>0.1</v>
      </c>
      <c r="F165" s="9">
        <f t="shared" si="12"/>
        <v>0.05</v>
      </c>
      <c r="G165" s="9">
        <f t="shared" si="13"/>
        <v>0.05</v>
      </c>
      <c r="H165" s="9">
        <f t="shared" si="14"/>
        <v>5.235987755983334E-4</v>
      </c>
    </row>
    <row r="166" spans="1:8" x14ac:dyDescent="0.3">
      <c r="A166" s="9" t="s">
        <v>79</v>
      </c>
      <c r="B166" s="9">
        <f t="shared" si="11"/>
        <v>20</v>
      </c>
      <c r="C166" s="9">
        <v>9</v>
      </c>
      <c r="D166" s="9">
        <v>0.09</v>
      </c>
      <c r="E166" s="9">
        <v>0.08</v>
      </c>
      <c r="F166" s="9">
        <f t="shared" si="12"/>
        <v>4.4999999999999998E-2</v>
      </c>
      <c r="G166" s="9">
        <f t="shared" si="13"/>
        <v>0.04</v>
      </c>
      <c r="H166" s="9">
        <f t="shared" si="14"/>
        <v>3.0159289474464003E-4</v>
      </c>
    </row>
    <row r="167" spans="1:8" x14ac:dyDescent="0.3">
      <c r="A167" s="9" t="s">
        <v>79</v>
      </c>
      <c r="B167" s="9">
        <f t="shared" si="11"/>
        <v>20</v>
      </c>
      <c r="C167" s="9">
        <v>9</v>
      </c>
      <c r="D167" s="9">
        <v>0.1</v>
      </c>
      <c r="E167" s="9">
        <v>0.09</v>
      </c>
      <c r="F167" s="9">
        <f t="shared" si="12"/>
        <v>0.05</v>
      </c>
      <c r="G167" s="9">
        <f t="shared" si="13"/>
        <v>4.4999999999999998E-2</v>
      </c>
      <c r="H167" s="9">
        <f t="shared" si="14"/>
        <v>4.2411500823465002E-4</v>
      </c>
    </row>
    <row r="168" spans="1:8" x14ac:dyDescent="0.3">
      <c r="A168" s="9" t="s">
        <v>79</v>
      </c>
      <c r="B168" s="9">
        <f t="shared" si="11"/>
        <v>20</v>
      </c>
      <c r="C168" s="9">
        <v>9</v>
      </c>
      <c r="D168" s="9">
        <v>0.08</v>
      </c>
      <c r="E168" s="9">
        <v>0.08</v>
      </c>
      <c r="F168" s="9">
        <f t="shared" si="12"/>
        <v>0.04</v>
      </c>
      <c r="G168" s="9">
        <f t="shared" si="13"/>
        <v>0.04</v>
      </c>
      <c r="H168" s="9">
        <f t="shared" si="14"/>
        <v>2.6808257310634672E-4</v>
      </c>
    </row>
    <row r="169" spans="1:8" x14ac:dyDescent="0.3">
      <c r="A169" s="9" t="s">
        <v>79</v>
      </c>
      <c r="B169" s="9">
        <f t="shared" si="11"/>
        <v>20</v>
      </c>
      <c r="C169" s="9">
        <v>9</v>
      </c>
      <c r="D169" s="9">
        <v>0.09</v>
      </c>
      <c r="E169" s="9">
        <v>0.08</v>
      </c>
      <c r="F169" s="9">
        <f t="shared" si="12"/>
        <v>4.4999999999999998E-2</v>
      </c>
      <c r="G169" s="9">
        <f t="shared" si="13"/>
        <v>0.04</v>
      </c>
      <c r="H169" s="9">
        <f t="shared" si="14"/>
        <v>3.0159289474464003E-4</v>
      </c>
    </row>
    <row r="170" spans="1:8" x14ac:dyDescent="0.3">
      <c r="A170" s="9" t="s">
        <v>79</v>
      </c>
      <c r="B170" s="9">
        <f t="shared" si="11"/>
        <v>20</v>
      </c>
      <c r="C170" s="9">
        <v>9</v>
      </c>
      <c r="D170" s="9">
        <v>0.08</v>
      </c>
      <c r="E170" s="9">
        <v>0.08</v>
      </c>
      <c r="F170" s="9">
        <f t="shared" si="12"/>
        <v>0.04</v>
      </c>
      <c r="G170" s="9">
        <f t="shared" si="13"/>
        <v>0.04</v>
      </c>
      <c r="H170" s="9">
        <f t="shared" si="14"/>
        <v>2.6808257310634672E-4</v>
      </c>
    </row>
    <row r="171" spans="1:8" x14ac:dyDescent="0.3">
      <c r="A171" s="9" t="s">
        <v>80</v>
      </c>
      <c r="B171" s="9">
        <f t="shared" si="11"/>
        <v>20</v>
      </c>
      <c r="C171" s="9">
        <v>10</v>
      </c>
      <c r="D171" s="9">
        <v>0.09</v>
      </c>
      <c r="E171" s="9">
        <v>0.09</v>
      </c>
      <c r="F171" s="9">
        <f t="shared" si="12"/>
        <v>4.4999999999999998E-2</v>
      </c>
      <c r="G171" s="9">
        <f t="shared" si="13"/>
        <v>4.4999999999999998E-2</v>
      </c>
      <c r="H171" s="9">
        <f t="shared" si="14"/>
        <v>3.8170350741118501E-4</v>
      </c>
    </row>
    <row r="172" spans="1:8" x14ac:dyDescent="0.3">
      <c r="A172" s="9" t="s">
        <v>80</v>
      </c>
      <c r="B172" s="9">
        <f t="shared" si="11"/>
        <v>20</v>
      </c>
      <c r="C172" s="9">
        <v>10</v>
      </c>
      <c r="D172" s="9">
        <v>0.09</v>
      </c>
      <c r="E172" s="9">
        <v>0.08</v>
      </c>
      <c r="F172" s="9">
        <f t="shared" si="12"/>
        <v>4.4999999999999998E-2</v>
      </c>
      <c r="G172" s="9">
        <f t="shared" si="13"/>
        <v>0.04</v>
      </c>
      <c r="H172" s="9">
        <f t="shared" si="14"/>
        <v>3.0159289474464003E-4</v>
      </c>
    </row>
    <row r="173" spans="1:8" x14ac:dyDescent="0.3">
      <c r="A173" s="9" t="s">
        <v>80</v>
      </c>
      <c r="B173" s="9">
        <f t="shared" si="11"/>
        <v>20</v>
      </c>
      <c r="C173" s="9">
        <v>10</v>
      </c>
      <c r="D173" s="9">
        <v>0.09</v>
      </c>
      <c r="E173" s="9">
        <v>0.09</v>
      </c>
      <c r="F173" s="9">
        <f t="shared" si="12"/>
        <v>4.4999999999999998E-2</v>
      </c>
      <c r="G173" s="9">
        <f t="shared" si="13"/>
        <v>4.4999999999999998E-2</v>
      </c>
      <c r="H173" s="9">
        <f t="shared" si="14"/>
        <v>3.8170350741118501E-4</v>
      </c>
    </row>
    <row r="174" spans="1:8" x14ac:dyDescent="0.3">
      <c r="A174" s="9" t="s">
        <v>80</v>
      </c>
      <c r="B174" s="9">
        <f t="shared" si="11"/>
        <v>20</v>
      </c>
      <c r="C174" s="9">
        <v>10</v>
      </c>
      <c r="D174" s="9">
        <v>0.08</v>
      </c>
      <c r="E174" s="9">
        <v>7.0000000000000007E-2</v>
      </c>
      <c r="F174" s="9">
        <f t="shared" si="12"/>
        <v>0.04</v>
      </c>
      <c r="G174" s="9">
        <f t="shared" si="13"/>
        <v>3.5000000000000003E-2</v>
      </c>
      <c r="H174" s="9">
        <f t="shared" si="14"/>
        <v>2.0525072003454669E-4</v>
      </c>
    </row>
    <row r="175" spans="1:8" x14ac:dyDescent="0.3">
      <c r="A175" s="9" t="s">
        <v>80</v>
      </c>
      <c r="B175" s="9">
        <f t="shared" si="11"/>
        <v>20</v>
      </c>
      <c r="C175" s="9">
        <v>10</v>
      </c>
      <c r="D175" s="9">
        <v>0.09</v>
      </c>
      <c r="E175" s="9">
        <v>0.08</v>
      </c>
      <c r="F175" s="9">
        <f t="shared" si="12"/>
        <v>4.4999999999999998E-2</v>
      </c>
      <c r="G175" s="9">
        <f t="shared" si="13"/>
        <v>0.04</v>
      </c>
      <c r="H175" s="9">
        <f t="shared" si="14"/>
        <v>3.0159289474464003E-4</v>
      </c>
    </row>
    <row r="176" spans="1:8" x14ac:dyDescent="0.3">
      <c r="A176" s="9" t="s">
        <v>80</v>
      </c>
      <c r="B176" s="9">
        <f t="shared" si="11"/>
        <v>20</v>
      </c>
      <c r="C176" s="9">
        <v>10</v>
      </c>
      <c r="D176" s="9">
        <v>0.08</v>
      </c>
      <c r="E176" s="9">
        <v>0.08</v>
      </c>
      <c r="F176" s="9">
        <f t="shared" si="12"/>
        <v>0.04</v>
      </c>
      <c r="G176" s="9">
        <f t="shared" si="13"/>
        <v>0.04</v>
      </c>
      <c r="H176" s="9">
        <f t="shared" si="14"/>
        <v>2.6808257310634672E-4</v>
      </c>
    </row>
    <row r="177" spans="1:8" x14ac:dyDescent="0.3">
      <c r="A177" s="9" t="s">
        <v>81</v>
      </c>
      <c r="B177" s="9">
        <f t="shared" si="11"/>
        <v>20</v>
      </c>
      <c r="C177" s="9">
        <v>10</v>
      </c>
      <c r="D177" s="9">
        <v>0.09</v>
      </c>
      <c r="E177" s="9">
        <v>0.09</v>
      </c>
      <c r="F177" s="9">
        <f t="shared" si="12"/>
        <v>4.4999999999999998E-2</v>
      </c>
      <c r="G177" s="9">
        <f t="shared" si="13"/>
        <v>4.4999999999999998E-2</v>
      </c>
      <c r="H177" s="9">
        <f t="shared" si="14"/>
        <v>3.8170350741118501E-4</v>
      </c>
    </row>
    <row r="178" spans="1:8" x14ac:dyDescent="0.3">
      <c r="A178" s="9" t="s">
        <v>81</v>
      </c>
      <c r="B178" s="9">
        <f t="shared" si="11"/>
        <v>20</v>
      </c>
      <c r="C178" s="9">
        <v>10</v>
      </c>
      <c r="D178" s="9">
        <v>0.1</v>
      </c>
      <c r="E178" s="9">
        <v>0.1</v>
      </c>
      <c r="F178" s="9">
        <f t="shared" si="12"/>
        <v>0.05</v>
      </c>
      <c r="G178" s="9">
        <f t="shared" si="13"/>
        <v>0.05</v>
      </c>
      <c r="H178" s="9">
        <f t="shared" si="14"/>
        <v>5.235987755983334E-4</v>
      </c>
    </row>
    <row r="179" spans="1:8" x14ac:dyDescent="0.3">
      <c r="A179" s="9" t="s">
        <v>81</v>
      </c>
      <c r="B179" s="9">
        <f t="shared" si="11"/>
        <v>20</v>
      </c>
      <c r="C179" s="9">
        <v>10</v>
      </c>
      <c r="D179" s="9">
        <v>0.09</v>
      </c>
      <c r="E179" s="9">
        <v>0.09</v>
      </c>
      <c r="F179" s="9">
        <f t="shared" si="12"/>
        <v>4.4999999999999998E-2</v>
      </c>
      <c r="G179" s="9">
        <f t="shared" si="13"/>
        <v>4.4999999999999998E-2</v>
      </c>
      <c r="H179" s="9">
        <f t="shared" si="14"/>
        <v>3.8170350741118501E-4</v>
      </c>
    </row>
    <row r="180" spans="1:8" x14ac:dyDescent="0.3">
      <c r="A180" s="9" t="s">
        <v>81</v>
      </c>
      <c r="B180" s="9">
        <f t="shared" si="11"/>
        <v>20</v>
      </c>
      <c r="C180" s="9">
        <v>10</v>
      </c>
      <c r="D180" s="9">
        <v>0.1</v>
      </c>
      <c r="E180" s="9">
        <v>0.09</v>
      </c>
      <c r="F180" s="9">
        <f t="shared" si="12"/>
        <v>0.05</v>
      </c>
      <c r="G180" s="9">
        <f t="shared" si="13"/>
        <v>4.4999999999999998E-2</v>
      </c>
      <c r="H180" s="9">
        <f t="shared" si="14"/>
        <v>4.2411500823465002E-4</v>
      </c>
    </row>
    <row r="181" spans="1:8" x14ac:dyDescent="0.3">
      <c r="A181" s="9" t="s">
        <v>81</v>
      </c>
      <c r="B181" s="9">
        <f t="shared" si="11"/>
        <v>20</v>
      </c>
      <c r="C181" s="9">
        <v>10</v>
      </c>
      <c r="D181" s="9">
        <v>0.11</v>
      </c>
      <c r="E181" s="9">
        <v>0.11</v>
      </c>
      <c r="F181" s="9">
        <f t="shared" si="12"/>
        <v>5.5E-2</v>
      </c>
      <c r="G181" s="9">
        <f t="shared" si="13"/>
        <v>5.5E-2</v>
      </c>
      <c r="H181" s="9">
        <f t="shared" si="14"/>
        <v>6.9690997032138163E-4</v>
      </c>
    </row>
    <row r="182" spans="1:8" x14ac:dyDescent="0.3">
      <c r="A182" s="9" t="s">
        <v>81</v>
      </c>
      <c r="B182" s="9">
        <f t="shared" si="11"/>
        <v>20</v>
      </c>
      <c r="C182" s="9">
        <v>10</v>
      </c>
      <c r="D182" s="9">
        <v>0.09</v>
      </c>
      <c r="E182" s="9">
        <v>0.09</v>
      </c>
      <c r="F182" s="9">
        <f t="shared" si="12"/>
        <v>4.4999999999999998E-2</v>
      </c>
      <c r="G182" s="9">
        <f t="shared" si="13"/>
        <v>4.4999999999999998E-2</v>
      </c>
      <c r="H182" s="9">
        <f t="shared" si="14"/>
        <v>3.8170350741118501E-4</v>
      </c>
    </row>
    <row r="183" spans="1:8" x14ac:dyDescent="0.3">
      <c r="A183" s="9" t="s">
        <v>81</v>
      </c>
      <c r="B183" s="9">
        <f t="shared" si="11"/>
        <v>20</v>
      </c>
      <c r="C183" s="9">
        <v>10</v>
      </c>
      <c r="D183" s="9">
        <v>0.1</v>
      </c>
      <c r="E183" s="9">
        <v>0.09</v>
      </c>
      <c r="F183" s="9">
        <f t="shared" si="12"/>
        <v>0.05</v>
      </c>
      <c r="G183" s="9">
        <f t="shared" si="13"/>
        <v>4.4999999999999998E-2</v>
      </c>
      <c r="H183" s="9">
        <f t="shared" si="14"/>
        <v>4.2411500823465002E-4</v>
      </c>
    </row>
    <row r="184" spans="1:8" x14ac:dyDescent="0.3">
      <c r="A184" s="9" t="s">
        <v>82</v>
      </c>
      <c r="B184" s="9">
        <f t="shared" si="11"/>
        <v>23</v>
      </c>
      <c r="C184" s="9">
        <v>10</v>
      </c>
      <c r="D184" s="9">
        <v>0.09</v>
      </c>
      <c r="E184" s="9">
        <v>0.09</v>
      </c>
      <c r="F184" s="9">
        <f t="shared" si="12"/>
        <v>4.4999999999999998E-2</v>
      </c>
      <c r="G184" s="9">
        <f t="shared" si="13"/>
        <v>4.4999999999999998E-2</v>
      </c>
      <c r="H184" s="9">
        <f t="shared" si="14"/>
        <v>3.8170350741118501E-4</v>
      </c>
    </row>
    <row r="185" spans="1:8" x14ac:dyDescent="0.3">
      <c r="A185" s="9" t="s">
        <v>82</v>
      </c>
      <c r="B185" s="9">
        <f t="shared" si="11"/>
        <v>23</v>
      </c>
      <c r="C185" s="9">
        <v>10</v>
      </c>
      <c r="D185" s="9">
        <v>0.09</v>
      </c>
      <c r="E185" s="9">
        <v>0.08</v>
      </c>
      <c r="F185" s="9">
        <f t="shared" si="12"/>
        <v>4.4999999999999998E-2</v>
      </c>
      <c r="G185" s="9">
        <f t="shared" si="13"/>
        <v>0.04</v>
      </c>
      <c r="H185" s="9">
        <f t="shared" si="14"/>
        <v>3.0159289474464003E-4</v>
      </c>
    </row>
    <row r="186" spans="1:8" x14ac:dyDescent="0.3">
      <c r="A186" s="9" t="s">
        <v>82</v>
      </c>
      <c r="B186" s="9">
        <f t="shared" si="11"/>
        <v>23</v>
      </c>
      <c r="C186" s="9">
        <v>10</v>
      </c>
      <c r="D186" s="9">
        <v>7.0000000000000007E-2</v>
      </c>
      <c r="E186" s="9">
        <v>7.0000000000000007E-2</v>
      </c>
      <c r="F186" s="9">
        <f t="shared" si="12"/>
        <v>3.5000000000000003E-2</v>
      </c>
      <c r="G186" s="9">
        <f t="shared" si="13"/>
        <v>3.5000000000000003E-2</v>
      </c>
      <c r="H186" s="9">
        <f t="shared" si="14"/>
        <v>1.7959438003022836E-4</v>
      </c>
    </row>
    <row r="187" spans="1:8" x14ac:dyDescent="0.3">
      <c r="A187" s="9" t="s">
        <v>82</v>
      </c>
      <c r="B187" s="9">
        <f t="shared" si="11"/>
        <v>23</v>
      </c>
      <c r="C187" s="9">
        <v>10</v>
      </c>
      <c r="D187" s="9">
        <v>0.09</v>
      </c>
      <c r="E187" s="9">
        <v>0.09</v>
      </c>
      <c r="F187" s="9">
        <f t="shared" si="12"/>
        <v>4.4999999999999998E-2</v>
      </c>
      <c r="G187" s="9">
        <f t="shared" si="13"/>
        <v>4.4999999999999998E-2</v>
      </c>
      <c r="H187" s="9">
        <f t="shared" si="14"/>
        <v>3.8170350741118501E-4</v>
      </c>
    </row>
    <row r="188" spans="1:8" x14ac:dyDescent="0.3">
      <c r="A188" s="9" t="s">
        <v>83</v>
      </c>
      <c r="B188" s="9">
        <f t="shared" si="11"/>
        <v>17</v>
      </c>
      <c r="C188" s="9">
        <v>11</v>
      </c>
      <c r="D188" s="9">
        <v>0.1</v>
      </c>
      <c r="E188" s="9">
        <v>0.1</v>
      </c>
      <c r="F188" s="9">
        <f t="shared" si="12"/>
        <v>0.05</v>
      </c>
      <c r="G188" s="9">
        <f t="shared" si="13"/>
        <v>0.05</v>
      </c>
      <c r="H188" s="9">
        <f t="shared" si="14"/>
        <v>5.235987755983334E-4</v>
      </c>
    </row>
    <row r="189" spans="1:8" x14ac:dyDescent="0.3">
      <c r="A189" s="9" t="s">
        <v>83</v>
      </c>
      <c r="B189" s="9">
        <f t="shared" si="11"/>
        <v>17</v>
      </c>
      <c r="C189" s="9">
        <v>11</v>
      </c>
      <c r="D189" s="9">
        <v>0.09</v>
      </c>
      <c r="E189" s="9">
        <v>0.09</v>
      </c>
      <c r="F189" s="9">
        <f t="shared" si="12"/>
        <v>4.4999999999999998E-2</v>
      </c>
      <c r="G189" s="9">
        <f t="shared" si="13"/>
        <v>4.4999999999999998E-2</v>
      </c>
      <c r="H189" s="9">
        <f t="shared" si="14"/>
        <v>3.8170350741118501E-4</v>
      </c>
    </row>
    <row r="190" spans="1:8" x14ac:dyDescent="0.3">
      <c r="A190" s="9" t="s">
        <v>83</v>
      </c>
      <c r="B190" s="9">
        <f t="shared" si="11"/>
        <v>17</v>
      </c>
      <c r="C190" s="9">
        <v>11</v>
      </c>
      <c r="D190" s="9">
        <v>0.1</v>
      </c>
      <c r="E190" s="9">
        <v>0.1</v>
      </c>
      <c r="F190" s="9">
        <f t="shared" si="12"/>
        <v>0.05</v>
      </c>
      <c r="G190" s="9">
        <f t="shared" si="13"/>
        <v>0.05</v>
      </c>
      <c r="H190" s="9">
        <f t="shared" si="14"/>
        <v>5.235987755983334E-4</v>
      </c>
    </row>
    <row r="191" spans="1:8" x14ac:dyDescent="0.3">
      <c r="A191" s="9" t="s">
        <v>83</v>
      </c>
      <c r="B191" s="9">
        <f t="shared" si="11"/>
        <v>17</v>
      </c>
      <c r="C191" s="9">
        <v>11</v>
      </c>
      <c r="D191" s="9">
        <v>0.1</v>
      </c>
      <c r="E191" s="9">
        <v>0.1</v>
      </c>
      <c r="F191" s="9">
        <f t="shared" si="12"/>
        <v>0.05</v>
      </c>
      <c r="G191" s="9">
        <f t="shared" si="13"/>
        <v>0.05</v>
      </c>
      <c r="H191" s="9">
        <f t="shared" ref="H191:H222" si="15">(4/3)*3.14159265359*G191^2*F191</f>
        <v>5.235987755983334E-4</v>
      </c>
    </row>
    <row r="192" spans="1:8" x14ac:dyDescent="0.3">
      <c r="A192" s="9" t="s">
        <v>83</v>
      </c>
      <c r="B192" s="9">
        <f t="shared" si="11"/>
        <v>17</v>
      </c>
      <c r="C192" s="9">
        <v>11</v>
      </c>
      <c r="D192" s="9">
        <v>0.1</v>
      </c>
      <c r="E192" s="9">
        <v>0.1</v>
      </c>
      <c r="F192" s="9">
        <f t="shared" si="12"/>
        <v>0.05</v>
      </c>
      <c r="G192" s="9">
        <f t="shared" si="13"/>
        <v>0.05</v>
      </c>
      <c r="H192" s="9">
        <f t="shared" si="15"/>
        <v>5.235987755983334E-4</v>
      </c>
    </row>
    <row r="193" spans="1:8" x14ac:dyDescent="0.3">
      <c r="A193" s="9" t="s">
        <v>78</v>
      </c>
      <c r="B193" s="9">
        <f t="shared" si="11"/>
        <v>17</v>
      </c>
      <c r="C193" s="9">
        <v>11</v>
      </c>
      <c r="D193" s="9">
        <v>0.08</v>
      </c>
      <c r="E193" s="9">
        <v>0.08</v>
      </c>
      <c r="F193" s="9">
        <f t="shared" si="12"/>
        <v>0.04</v>
      </c>
      <c r="G193" s="9">
        <f t="shared" si="13"/>
        <v>0.04</v>
      </c>
      <c r="H193" s="9">
        <f t="shared" si="15"/>
        <v>2.6808257310634672E-4</v>
      </c>
    </row>
    <row r="194" spans="1:8" x14ac:dyDescent="0.3">
      <c r="A194" s="9" t="s">
        <v>78</v>
      </c>
      <c r="B194" s="9">
        <f t="shared" ref="B194:B257" si="16">LEFT(A194,2)+0</f>
        <v>17</v>
      </c>
      <c r="C194" s="9">
        <v>11</v>
      </c>
      <c r="D194" s="9">
        <v>0.08</v>
      </c>
      <c r="E194" s="9">
        <v>0.08</v>
      </c>
      <c r="F194" s="9">
        <f t="shared" ref="F194:F203" si="17">D194/2</f>
        <v>0.04</v>
      </c>
      <c r="G194" s="9">
        <f t="shared" ref="G194:G203" si="18">E194/2</f>
        <v>0.04</v>
      </c>
      <c r="H194" s="9">
        <f t="shared" si="15"/>
        <v>2.6808257310634672E-4</v>
      </c>
    </row>
    <row r="195" spans="1:8" x14ac:dyDescent="0.3">
      <c r="A195" s="9" t="s">
        <v>78</v>
      </c>
      <c r="B195" s="9">
        <f t="shared" si="16"/>
        <v>17</v>
      </c>
      <c r="C195" s="9">
        <v>11</v>
      </c>
      <c r="D195" s="9">
        <v>7.0000000000000007E-2</v>
      </c>
      <c r="E195" s="9">
        <v>0.06</v>
      </c>
      <c r="F195" s="9">
        <f t="shared" si="17"/>
        <v>3.5000000000000003E-2</v>
      </c>
      <c r="G195" s="9">
        <f t="shared" si="18"/>
        <v>0.03</v>
      </c>
      <c r="H195" s="9">
        <f t="shared" si="15"/>
        <v>1.3194689145078E-4</v>
      </c>
    </row>
    <row r="196" spans="1:8" x14ac:dyDescent="0.3">
      <c r="A196" s="9" t="s">
        <v>78</v>
      </c>
      <c r="B196" s="9">
        <f t="shared" si="16"/>
        <v>17</v>
      </c>
      <c r="C196" s="9">
        <v>11</v>
      </c>
      <c r="D196" s="9">
        <v>0.08</v>
      </c>
      <c r="E196" s="9">
        <v>0.08</v>
      </c>
      <c r="F196" s="9">
        <f t="shared" si="17"/>
        <v>0.04</v>
      </c>
      <c r="G196" s="9">
        <f t="shared" si="18"/>
        <v>0.04</v>
      </c>
      <c r="H196" s="9">
        <f t="shared" si="15"/>
        <v>2.6808257310634672E-4</v>
      </c>
    </row>
    <row r="197" spans="1:8" x14ac:dyDescent="0.3">
      <c r="A197" s="9" t="s">
        <v>84</v>
      </c>
      <c r="B197" s="9">
        <f t="shared" si="16"/>
        <v>17</v>
      </c>
      <c r="C197" s="9">
        <v>11</v>
      </c>
      <c r="D197" s="9">
        <v>0.1</v>
      </c>
      <c r="E197" s="9">
        <v>0.1</v>
      </c>
      <c r="F197" s="9">
        <f t="shared" si="17"/>
        <v>0.05</v>
      </c>
      <c r="G197" s="9">
        <f t="shared" si="18"/>
        <v>0.05</v>
      </c>
      <c r="H197" s="9">
        <f t="shared" si="15"/>
        <v>5.235987755983334E-4</v>
      </c>
    </row>
    <row r="198" spans="1:8" x14ac:dyDescent="0.3">
      <c r="A198" s="9" t="s">
        <v>84</v>
      </c>
      <c r="B198" s="9">
        <f t="shared" si="16"/>
        <v>17</v>
      </c>
      <c r="C198" s="9">
        <v>11</v>
      </c>
      <c r="D198" s="9">
        <v>0.1</v>
      </c>
      <c r="E198" s="9">
        <v>0.1</v>
      </c>
      <c r="F198" s="9">
        <f t="shared" si="17"/>
        <v>0.05</v>
      </c>
      <c r="G198" s="9">
        <f t="shared" si="18"/>
        <v>0.05</v>
      </c>
      <c r="H198" s="9">
        <f t="shared" si="15"/>
        <v>5.235987755983334E-4</v>
      </c>
    </row>
    <row r="199" spans="1:8" x14ac:dyDescent="0.3">
      <c r="A199" s="9" t="s">
        <v>84</v>
      </c>
      <c r="B199" s="9">
        <f t="shared" si="16"/>
        <v>17</v>
      </c>
      <c r="C199" s="9">
        <v>11</v>
      </c>
      <c r="D199" s="9">
        <v>0.1</v>
      </c>
      <c r="E199" s="9">
        <v>0.09</v>
      </c>
      <c r="F199" s="9">
        <f t="shared" si="17"/>
        <v>0.05</v>
      </c>
      <c r="G199" s="9">
        <f t="shared" si="18"/>
        <v>4.4999999999999998E-2</v>
      </c>
      <c r="H199" s="9">
        <f t="shared" si="15"/>
        <v>4.2411500823465002E-4</v>
      </c>
    </row>
    <row r="200" spans="1:8" x14ac:dyDescent="0.3">
      <c r="A200" s="9" t="s">
        <v>84</v>
      </c>
      <c r="B200" s="9">
        <f t="shared" si="16"/>
        <v>17</v>
      </c>
      <c r="C200" s="9">
        <v>11</v>
      </c>
      <c r="D200" s="9">
        <v>0.13</v>
      </c>
      <c r="E200" s="9">
        <v>0.12</v>
      </c>
      <c r="F200" s="9">
        <f t="shared" si="17"/>
        <v>6.5000000000000002E-2</v>
      </c>
      <c r="G200" s="9">
        <f t="shared" si="18"/>
        <v>0.06</v>
      </c>
      <c r="H200" s="9">
        <f t="shared" si="15"/>
        <v>9.8017690792007997E-4</v>
      </c>
    </row>
    <row r="201" spans="1:8" x14ac:dyDescent="0.3">
      <c r="A201" s="9" t="s">
        <v>84</v>
      </c>
      <c r="B201" s="9">
        <f t="shared" si="16"/>
        <v>17</v>
      </c>
      <c r="C201" s="9">
        <v>11</v>
      </c>
      <c r="D201" s="9">
        <v>0.1</v>
      </c>
      <c r="E201" s="9">
        <v>0.1</v>
      </c>
      <c r="F201" s="9">
        <f t="shared" si="17"/>
        <v>0.05</v>
      </c>
      <c r="G201" s="9">
        <f t="shared" si="18"/>
        <v>0.05</v>
      </c>
      <c r="H201" s="9">
        <f t="shared" si="15"/>
        <v>5.235987755983334E-4</v>
      </c>
    </row>
    <row r="202" spans="1:8" x14ac:dyDescent="0.3">
      <c r="A202" s="9" t="s">
        <v>84</v>
      </c>
      <c r="B202" s="9">
        <f t="shared" si="16"/>
        <v>17</v>
      </c>
      <c r="C202" s="9">
        <v>11</v>
      </c>
      <c r="D202" s="9">
        <v>0.1</v>
      </c>
      <c r="E202" s="9">
        <v>0.1</v>
      </c>
      <c r="F202" s="9">
        <f t="shared" si="17"/>
        <v>0.05</v>
      </c>
      <c r="G202" s="9">
        <f t="shared" si="18"/>
        <v>0.05</v>
      </c>
      <c r="H202" s="9">
        <f t="shared" si="15"/>
        <v>5.235987755983334E-4</v>
      </c>
    </row>
    <row r="203" spans="1:8" x14ac:dyDescent="0.3">
      <c r="A203" s="9" t="s">
        <v>84</v>
      </c>
      <c r="B203" s="9">
        <f t="shared" si="16"/>
        <v>17</v>
      </c>
      <c r="C203" s="9">
        <v>11</v>
      </c>
      <c r="D203" s="9">
        <v>0.1</v>
      </c>
      <c r="E203" s="9">
        <v>0.1</v>
      </c>
      <c r="F203" s="9">
        <f t="shared" si="17"/>
        <v>0.05</v>
      </c>
      <c r="G203" s="9">
        <f t="shared" si="18"/>
        <v>0.05</v>
      </c>
      <c r="H203" s="9">
        <f t="shared" si="15"/>
        <v>5.235987755983334E-4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G28" sqref="G28"/>
    </sheetView>
  </sheetViews>
  <sheetFormatPr defaultRowHeight="15.6" x14ac:dyDescent="0.3"/>
  <cols>
    <col min="1" max="1" width="6.5" style="30" bestFit="1" customWidth="1"/>
    <col min="2" max="2" width="11.19921875" style="5" bestFit="1" customWidth="1"/>
    <col min="3" max="3" width="8.5" style="5" bestFit="1" customWidth="1"/>
    <col min="4" max="4" width="11.19921875" style="5" bestFit="1" customWidth="1"/>
    <col min="5" max="5" width="8.5" style="5" bestFit="1" customWidth="1"/>
    <col min="6" max="6" width="11.19921875" style="5" bestFit="1" customWidth="1"/>
    <col min="7" max="7" width="8.5" style="5" bestFit="1" customWidth="1"/>
    <col min="8" max="8" width="11.19921875" style="5" bestFit="1" customWidth="1"/>
    <col min="9" max="9" width="8.5" style="5" bestFit="1" customWidth="1"/>
    <col min="10" max="10" width="11.19921875" style="5" bestFit="1" customWidth="1"/>
    <col min="11" max="11" width="8.5" style="5" bestFit="1" customWidth="1"/>
    <col min="12" max="12" width="11.19921875" style="5" bestFit="1" customWidth="1"/>
    <col min="13" max="13" width="8.5" style="5" bestFit="1" customWidth="1"/>
  </cols>
  <sheetData>
    <row r="1" spans="1:13" x14ac:dyDescent="0.3">
      <c r="A1" s="33" t="s">
        <v>124</v>
      </c>
      <c r="B1" s="26" t="s">
        <v>117</v>
      </c>
      <c r="C1" s="26"/>
      <c r="D1" s="26" t="s">
        <v>122</v>
      </c>
      <c r="E1" s="26"/>
      <c r="F1" s="26" t="s">
        <v>121</v>
      </c>
      <c r="G1" s="26"/>
      <c r="H1" s="26" t="s">
        <v>120</v>
      </c>
      <c r="I1" s="26"/>
      <c r="J1" s="26" t="s">
        <v>119</v>
      </c>
      <c r="K1" s="26"/>
      <c r="L1" s="26" t="s">
        <v>118</v>
      </c>
      <c r="M1" s="26"/>
    </row>
    <row r="2" spans="1:13" x14ac:dyDescent="0.3">
      <c r="A2" s="31" t="s">
        <v>65</v>
      </c>
      <c r="B2" s="27" t="s">
        <v>2</v>
      </c>
      <c r="C2" s="27" t="s">
        <v>63</v>
      </c>
      <c r="D2" s="27" t="s">
        <v>2</v>
      </c>
      <c r="E2" s="27" t="s">
        <v>63</v>
      </c>
      <c r="F2" s="27" t="s">
        <v>2</v>
      </c>
      <c r="G2" s="27" t="s">
        <v>63</v>
      </c>
      <c r="H2" s="27" t="s">
        <v>2</v>
      </c>
      <c r="I2" s="27" t="s">
        <v>63</v>
      </c>
      <c r="J2" s="27" t="s">
        <v>2</v>
      </c>
      <c r="K2" s="27" t="s">
        <v>63</v>
      </c>
      <c r="L2" s="18" t="s">
        <v>2</v>
      </c>
      <c r="M2" s="18" t="s">
        <v>63</v>
      </c>
    </row>
    <row r="3" spans="1:13" x14ac:dyDescent="0.3">
      <c r="A3" s="32">
        <v>0</v>
      </c>
      <c r="B3" s="5">
        <v>8.3333333333333339</v>
      </c>
      <c r="C3" s="5">
        <v>0.33333333333333331</v>
      </c>
      <c r="D3" s="5">
        <v>8.3333333333333339</v>
      </c>
      <c r="E3" s="5">
        <v>0.33333333333333331</v>
      </c>
      <c r="F3" s="5">
        <v>8.3333333333333339</v>
      </c>
      <c r="G3" s="5">
        <v>0.33333333333333331</v>
      </c>
      <c r="H3" s="5">
        <v>8.3333333333333339</v>
      </c>
      <c r="I3" s="5">
        <v>0.33333333333333331</v>
      </c>
      <c r="J3" s="5">
        <v>8.3333333333333339</v>
      </c>
      <c r="K3" s="5">
        <v>0.33333333333333331</v>
      </c>
      <c r="L3" s="5">
        <v>8.3333333333333339</v>
      </c>
      <c r="M3" s="5">
        <v>0.33333333333333331</v>
      </c>
    </row>
    <row r="4" spans="1:13" x14ac:dyDescent="0.3">
      <c r="A4" s="32">
        <v>1</v>
      </c>
      <c r="F4" s="5">
        <v>50.375</v>
      </c>
      <c r="G4" s="5">
        <v>0.29166666666666663</v>
      </c>
      <c r="H4" s="5">
        <v>71.7</v>
      </c>
      <c r="I4" s="5">
        <v>0.46666666666666662</v>
      </c>
      <c r="J4" s="5">
        <v>64.694444444444443</v>
      </c>
      <c r="K4" s="5">
        <v>0.47222222222222215</v>
      </c>
      <c r="L4" s="5">
        <v>54.222222222222221</v>
      </c>
      <c r="M4" s="5">
        <v>1.0555555555555556</v>
      </c>
    </row>
    <row r="5" spans="1:13" x14ac:dyDescent="0.3">
      <c r="A5" s="32">
        <v>2</v>
      </c>
      <c r="B5" s="5">
        <v>64</v>
      </c>
      <c r="C5" s="5">
        <v>0.36666666666666664</v>
      </c>
      <c r="D5" s="5">
        <v>70</v>
      </c>
      <c r="E5" s="5">
        <v>0.41666666666666669</v>
      </c>
      <c r="F5" s="5">
        <v>80</v>
      </c>
      <c r="G5" s="5">
        <v>0.49999999999999994</v>
      </c>
      <c r="H5" s="5">
        <v>92</v>
      </c>
      <c r="I5" s="5">
        <v>1.2666666666666666</v>
      </c>
      <c r="J5" s="5">
        <v>68.8611111111111</v>
      </c>
      <c r="K5" s="5">
        <v>2</v>
      </c>
      <c r="L5" s="5">
        <v>12.944444444444445</v>
      </c>
      <c r="M5" s="5">
        <v>7.6944444444444455</v>
      </c>
    </row>
    <row r="6" spans="1:13" x14ac:dyDescent="0.3">
      <c r="A6" s="32">
        <v>3</v>
      </c>
      <c r="H6" s="5">
        <v>43.13333333333334</v>
      </c>
      <c r="I6" s="5">
        <v>6.1666666666666661</v>
      </c>
      <c r="J6" s="5">
        <v>26.611111111111111</v>
      </c>
      <c r="K6" s="5">
        <v>9.9027777777777786</v>
      </c>
      <c r="L6" s="5">
        <v>0</v>
      </c>
      <c r="M6" s="5">
        <v>11.333333333333334</v>
      </c>
    </row>
    <row r="7" spans="1:13" x14ac:dyDescent="0.3">
      <c r="A7" s="32">
        <v>4</v>
      </c>
      <c r="B7" s="5">
        <v>106</v>
      </c>
      <c r="C7" s="5">
        <v>0.7</v>
      </c>
      <c r="D7" s="5">
        <v>105</v>
      </c>
      <c r="E7" s="5">
        <v>1.6111111111111109</v>
      </c>
      <c r="F7" s="5">
        <v>33.895833333333329</v>
      </c>
      <c r="G7" s="5">
        <v>7.416666666666667</v>
      </c>
      <c r="H7" s="5">
        <v>12</v>
      </c>
      <c r="I7" s="5">
        <v>12.316666666666666</v>
      </c>
      <c r="J7" s="5">
        <v>5.3055555555555554</v>
      </c>
      <c r="K7" s="5">
        <v>15.194444444444445</v>
      </c>
      <c r="L7" s="5">
        <v>0</v>
      </c>
      <c r="M7" s="5">
        <v>6.25</v>
      </c>
    </row>
    <row r="8" spans="1:13" x14ac:dyDescent="0.3">
      <c r="A8" s="32">
        <v>5</v>
      </c>
      <c r="F8" s="5">
        <v>7.625</v>
      </c>
      <c r="G8" s="5">
        <v>14.333333333333332</v>
      </c>
      <c r="H8" s="5">
        <v>3.9666666666666663</v>
      </c>
      <c r="I8" s="5">
        <v>13.883333333333335</v>
      </c>
      <c r="J8" s="5">
        <v>0.3611111111111111</v>
      </c>
      <c r="K8" s="5">
        <v>10.944444444444445</v>
      </c>
      <c r="L8" s="5">
        <v>0</v>
      </c>
      <c r="M8" s="5">
        <v>0.1111111111111111</v>
      </c>
    </row>
    <row r="9" spans="1:13" x14ac:dyDescent="0.3">
      <c r="A9" s="32">
        <v>6</v>
      </c>
      <c r="B9" s="5">
        <v>114</v>
      </c>
      <c r="C9" s="5">
        <v>2.6166666666666671</v>
      </c>
      <c r="D9" s="5">
        <v>95.666666666666671</v>
      </c>
      <c r="E9" s="5">
        <v>9.5138888888888875</v>
      </c>
      <c r="F9" s="5">
        <v>0</v>
      </c>
      <c r="G9" s="5">
        <v>16.416666666666664</v>
      </c>
      <c r="H9" s="5">
        <v>0</v>
      </c>
      <c r="I9" s="5">
        <v>13.366666666666669</v>
      </c>
      <c r="J9" s="5">
        <v>0</v>
      </c>
      <c r="K9" s="5">
        <v>4.3750000000000009</v>
      </c>
      <c r="L9" s="5">
        <v>0</v>
      </c>
      <c r="M9" s="5">
        <v>0</v>
      </c>
    </row>
    <row r="10" spans="1:13" x14ac:dyDescent="0.3">
      <c r="A10" s="32">
        <v>7</v>
      </c>
      <c r="B10" s="5">
        <v>106.53333333333335</v>
      </c>
      <c r="C10" s="5">
        <v>4.0166666666666666</v>
      </c>
      <c r="D10" s="5">
        <v>80</v>
      </c>
      <c r="E10" s="5">
        <v>10.333333333333334</v>
      </c>
      <c r="F10" s="5">
        <v>0</v>
      </c>
      <c r="G10" s="5">
        <v>11.395833333333332</v>
      </c>
      <c r="H10" s="5">
        <v>0</v>
      </c>
      <c r="I10" s="5">
        <v>6.3666666666666663</v>
      </c>
      <c r="J10" s="5">
        <v>0</v>
      </c>
      <c r="K10" s="5">
        <v>1</v>
      </c>
      <c r="L10" s="5">
        <v>0</v>
      </c>
      <c r="M10" s="5">
        <v>0</v>
      </c>
    </row>
    <row r="11" spans="1:13" x14ac:dyDescent="0.3">
      <c r="A11" s="32">
        <v>8</v>
      </c>
      <c r="B11" s="5">
        <v>52.95</v>
      </c>
      <c r="C11" s="5">
        <v>7.45</v>
      </c>
      <c r="D11" s="5">
        <v>55</v>
      </c>
      <c r="E11" s="5">
        <v>14.388888888888888</v>
      </c>
      <c r="F11" s="5">
        <v>0</v>
      </c>
      <c r="G11" s="5">
        <v>6.0833333333333339</v>
      </c>
      <c r="H11" s="5">
        <v>0</v>
      </c>
      <c r="I11" s="5">
        <v>2.4666666666666668</v>
      </c>
      <c r="J11" s="5">
        <v>0</v>
      </c>
      <c r="K11" s="5">
        <v>8.3333333333333329E-2</v>
      </c>
      <c r="L11" s="5">
        <v>0</v>
      </c>
      <c r="M11" s="5">
        <v>0</v>
      </c>
    </row>
    <row r="12" spans="1:13" x14ac:dyDescent="0.3">
      <c r="A12" s="32">
        <v>9</v>
      </c>
      <c r="B12" s="5">
        <v>50</v>
      </c>
      <c r="C12" s="5">
        <v>12.613333333333333</v>
      </c>
      <c r="D12" s="5">
        <v>8.1666666666666661</v>
      </c>
      <c r="E12" s="5">
        <v>17.180555555555557</v>
      </c>
      <c r="F12" s="5">
        <v>0</v>
      </c>
      <c r="G12" s="5">
        <v>2.7083333333333335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x14ac:dyDescent="0.3">
      <c r="A13" s="32">
        <v>10</v>
      </c>
      <c r="B13" s="5">
        <v>2.95</v>
      </c>
      <c r="C13" s="5">
        <v>15.500000000000004</v>
      </c>
      <c r="D13" s="5">
        <v>0</v>
      </c>
      <c r="E13" s="5">
        <v>21.777777777777775</v>
      </c>
      <c r="F13" s="5">
        <v>0</v>
      </c>
      <c r="G13" s="5">
        <v>0.95833333333333337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x14ac:dyDescent="0.3">
      <c r="A14" s="32">
        <v>11</v>
      </c>
      <c r="B14" s="5">
        <v>0</v>
      </c>
      <c r="C14" s="5">
        <v>17.616666666666667</v>
      </c>
      <c r="D14" s="5">
        <v>0</v>
      </c>
      <c r="E14" s="5">
        <v>18.055555555555554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x14ac:dyDescent="0.3">
      <c r="A15" s="32">
        <v>12</v>
      </c>
      <c r="B15" s="5">
        <v>0</v>
      </c>
      <c r="C15" s="5">
        <v>17.416666666666664</v>
      </c>
      <c r="D15" s="5">
        <v>0</v>
      </c>
      <c r="E15" s="5">
        <v>12.2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1:13" x14ac:dyDescent="0.3">
      <c r="A16" s="32">
        <v>13</v>
      </c>
      <c r="B16" s="5">
        <v>0</v>
      </c>
      <c r="C16" s="5">
        <v>17.233333333333334</v>
      </c>
      <c r="D16" s="5">
        <v>0</v>
      </c>
      <c r="E16" s="5">
        <v>12.972222222222221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x14ac:dyDescent="0.3">
      <c r="A17" s="32">
        <v>14</v>
      </c>
      <c r="B17" s="5">
        <v>0</v>
      </c>
      <c r="C17" s="5">
        <v>16.533333333333335</v>
      </c>
      <c r="D17" s="5">
        <v>0</v>
      </c>
      <c r="E17" s="5">
        <v>10.236111111111112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</row>
    <row r="18" spans="1:13" x14ac:dyDescent="0.3">
      <c r="A18" s="32">
        <v>15</v>
      </c>
      <c r="B18" s="5">
        <v>0</v>
      </c>
      <c r="C18" s="5">
        <v>15.6</v>
      </c>
      <c r="D18" s="5">
        <v>0</v>
      </c>
      <c r="E18" s="5">
        <v>7.208333333333333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</row>
    <row r="19" spans="1:13" x14ac:dyDescent="0.3">
      <c r="A19" s="32">
        <v>16</v>
      </c>
      <c r="B19" s="5">
        <v>0</v>
      </c>
      <c r="C19" s="5">
        <v>13.266666666666666</v>
      </c>
      <c r="D19" s="5">
        <v>0</v>
      </c>
      <c r="E19" s="5">
        <v>2.4722222222222223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</row>
    <row r="20" spans="1:13" x14ac:dyDescent="0.3">
      <c r="A20" s="32">
        <v>17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1:13" x14ac:dyDescent="0.3">
      <c r="A21" s="32">
        <v>18</v>
      </c>
      <c r="B21" s="5">
        <v>0</v>
      </c>
      <c r="C21" s="5">
        <v>2.4666666666666668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</row>
    <row r="23" spans="1:13" x14ac:dyDescent="0.3">
      <c r="A23" s="33" t="s">
        <v>123</v>
      </c>
      <c r="B23" s="26" t="s">
        <v>117</v>
      </c>
      <c r="C23" s="26"/>
      <c r="D23" s="26" t="s">
        <v>122</v>
      </c>
      <c r="E23" s="26"/>
      <c r="F23" s="26" t="s">
        <v>121</v>
      </c>
      <c r="G23" s="26"/>
      <c r="H23" s="26" t="s">
        <v>120</v>
      </c>
      <c r="I23" s="26"/>
      <c r="J23" s="26" t="s">
        <v>119</v>
      </c>
      <c r="K23" s="26"/>
      <c r="L23" s="26" t="s">
        <v>118</v>
      </c>
      <c r="M23" s="26"/>
    </row>
    <row r="24" spans="1:13" x14ac:dyDescent="0.3">
      <c r="A24" s="31" t="s">
        <v>65</v>
      </c>
      <c r="B24" s="27" t="s">
        <v>2</v>
      </c>
      <c r="C24" s="27" t="s">
        <v>63</v>
      </c>
      <c r="D24" s="27" t="s">
        <v>2</v>
      </c>
      <c r="E24" s="27" t="s">
        <v>63</v>
      </c>
      <c r="F24" s="27" t="s">
        <v>2</v>
      </c>
      <c r="G24" s="27" t="s">
        <v>63</v>
      </c>
      <c r="H24" s="27" t="s">
        <v>2</v>
      </c>
      <c r="I24" s="27" t="s">
        <v>63</v>
      </c>
      <c r="J24" s="27" t="s">
        <v>2</v>
      </c>
      <c r="K24" s="27" t="s">
        <v>63</v>
      </c>
      <c r="L24" s="18" t="s">
        <v>2</v>
      </c>
      <c r="M24" s="18" t="s">
        <v>63</v>
      </c>
    </row>
    <row r="25" spans="1:13" x14ac:dyDescent="0.3">
      <c r="A25" s="32">
        <v>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</row>
    <row r="26" spans="1:13" x14ac:dyDescent="0.3">
      <c r="A26" s="32">
        <v>1</v>
      </c>
      <c r="F26" s="5">
        <v>1.5715939066461828</v>
      </c>
      <c r="G26" s="5">
        <v>8.3333333333333523E-2</v>
      </c>
      <c r="H26" s="5">
        <v>11.751122877788719</v>
      </c>
      <c r="I26" s="5">
        <v>7.4535599249992854E-2</v>
      </c>
      <c r="J26" s="5">
        <v>7.1642760870762476</v>
      </c>
      <c r="K26" s="5">
        <v>0.16386534670836267</v>
      </c>
      <c r="L26" s="5">
        <v>8.5526690657448405</v>
      </c>
      <c r="M26" s="5">
        <v>0.34694433324435625</v>
      </c>
    </row>
    <row r="27" spans="1:13" x14ac:dyDescent="0.3">
      <c r="A27" s="32">
        <v>2</v>
      </c>
      <c r="B27" s="5">
        <v>39.11521443121589</v>
      </c>
      <c r="C27" s="5">
        <v>0.13944333775567941</v>
      </c>
      <c r="D27" s="5">
        <v>23.664319132398465</v>
      </c>
      <c r="E27" s="5">
        <v>0.20412414523193148</v>
      </c>
      <c r="F27" s="5">
        <v>21.602468994692867</v>
      </c>
      <c r="G27" s="5">
        <v>0.13608276348795437</v>
      </c>
      <c r="H27" s="5">
        <v>54.037024344425184</v>
      </c>
      <c r="I27" s="5">
        <v>0.68313005106397329</v>
      </c>
      <c r="J27" s="5">
        <v>26.960344678530852</v>
      </c>
      <c r="K27" s="5">
        <v>1.9585992727230115</v>
      </c>
      <c r="L27" s="5">
        <v>11.628011358273955</v>
      </c>
      <c r="M27" s="5">
        <v>2.9934341730106784</v>
      </c>
    </row>
    <row r="28" spans="1:13" x14ac:dyDescent="0.3">
      <c r="A28" s="32">
        <v>3</v>
      </c>
      <c r="H28" s="5">
        <v>33.707617421322169</v>
      </c>
      <c r="I28" s="5">
        <v>4.6796693852830629</v>
      </c>
      <c r="J28" s="5">
        <v>28.231368815294545</v>
      </c>
      <c r="K28" s="5">
        <v>7.1944069068089807</v>
      </c>
      <c r="L28" s="5">
        <v>0</v>
      </c>
      <c r="M28" s="5">
        <v>2.3018712194888562</v>
      </c>
    </row>
    <row r="29" spans="1:13" x14ac:dyDescent="0.3">
      <c r="A29" s="32">
        <v>4</v>
      </c>
      <c r="B29" s="5">
        <v>63.08724118235002</v>
      </c>
      <c r="C29" s="5">
        <v>0.36132472314464664</v>
      </c>
      <c r="D29" s="5">
        <v>28.106938645110393</v>
      </c>
      <c r="E29" s="5">
        <v>1.8117415399022587</v>
      </c>
      <c r="F29" s="5">
        <v>45.383314716199706</v>
      </c>
      <c r="G29" s="5">
        <v>4.276875806785446</v>
      </c>
      <c r="H29" s="5">
        <v>21.66057606702914</v>
      </c>
      <c r="I29" s="5">
        <v>7.1766887288714907</v>
      </c>
      <c r="J29" s="5">
        <v>12.995903913099641</v>
      </c>
      <c r="K29" s="5">
        <v>6.3680335938067936</v>
      </c>
      <c r="L29" s="5">
        <v>0</v>
      </c>
      <c r="M29" s="5">
        <v>3.0855847635956022</v>
      </c>
    </row>
    <row r="30" spans="1:13" x14ac:dyDescent="0.3">
      <c r="A30" s="32">
        <v>5</v>
      </c>
      <c r="F30" s="5">
        <v>15.25</v>
      </c>
      <c r="G30" s="5">
        <v>6.7175144212722042</v>
      </c>
      <c r="H30" s="5">
        <v>8.8697363107491647</v>
      </c>
      <c r="I30" s="5">
        <v>3.5426959288717383</v>
      </c>
      <c r="J30" s="5">
        <v>0.88453796267170315</v>
      </c>
      <c r="K30" s="5">
        <v>5.0986563226301422</v>
      </c>
      <c r="L30" s="5">
        <v>0</v>
      </c>
      <c r="M30" s="5">
        <v>0.19245008972987526</v>
      </c>
    </row>
    <row r="31" spans="1:13" x14ac:dyDescent="0.3">
      <c r="A31" s="32">
        <v>6</v>
      </c>
      <c r="B31" s="5">
        <v>55.497747702046432</v>
      </c>
      <c r="C31" s="5">
        <v>1.1189652958574414</v>
      </c>
      <c r="D31" s="5">
        <v>103.54065224184494</v>
      </c>
      <c r="E31" s="5">
        <v>8.9578359035022572</v>
      </c>
      <c r="F31" s="5">
        <v>0</v>
      </c>
      <c r="G31" s="5">
        <v>4.3285229710735322</v>
      </c>
      <c r="H31" s="5">
        <v>0</v>
      </c>
      <c r="I31" s="5">
        <v>5.1900010704344801</v>
      </c>
      <c r="J31" s="5">
        <v>0</v>
      </c>
      <c r="K31" s="5">
        <v>5.3311844629292064</v>
      </c>
      <c r="L31" s="5">
        <v>0</v>
      </c>
      <c r="M31" s="5">
        <v>0</v>
      </c>
    </row>
    <row r="32" spans="1:13" x14ac:dyDescent="0.3">
      <c r="A32" s="32">
        <v>7</v>
      </c>
      <c r="B32" s="5">
        <v>74.431773382668268</v>
      </c>
      <c r="C32" s="5">
        <v>2.0364729858807915</v>
      </c>
      <c r="D32" s="5">
        <v>110.09087155618307</v>
      </c>
      <c r="E32" s="5">
        <v>5.7336724705898572</v>
      </c>
      <c r="F32" s="5">
        <v>0</v>
      </c>
      <c r="G32" s="5">
        <v>5.3217647970908653</v>
      </c>
      <c r="H32" s="5">
        <v>0</v>
      </c>
      <c r="I32" s="5">
        <v>5.6821479702270627</v>
      </c>
      <c r="J32" s="5">
        <v>0</v>
      </c>
      <c r="K32" s="5">
        <v>2.4494897427831779</v>
      </c>
      <c r="L32" s="5">
        <v>0</v>
      </c>
      <c r="M32" s="5">
        <v>0</v>
      </c>
    </row>
    <row r="33" spans="1:13" x14ac:dyDescent="0.3">
      <c r="A33" s="32">
        <v>8</v>
      </c>
      <c r="B33" s="5">
        <v>70.888449145274876</v>
      </c>
      <c r="C33" s="5">
        <v>2.773635800813719</v>
      </c>
      <c r="D33" s="5">
        <v>89.833178725902826</v>
      </c>
      <c r="E33" s="5">
        <v>5.9692886852126223</v>
      </c>
      <c r="F33" s="5">
        <v>0</v>
      </c>
      <c r="G33" s="5">
        <v>4.6477792387173302</v>
      </c>
      <c r="H33" s="5">
        <v>0</v>
      </c>
      <c r="I33" s="5">
        <v>5.3312495929399351</v>
      </c>
      <c r="J33" s="5">
        <v>0</v>
      </c>
      <c r="K33" s="5">
        <v>0.20412414523193151</v>
      </c>
      <c r="L33" s="5">
        <v>0</v>
      </c>
      <c r="M33" s="5">
        <v>0</v>
      </c>
    </row>
    <row r="34" spans="1:13" x14ac:dyDescent="0.3">
      <c r="A34" s="32">
        <v>9</v>
      </c>
      <c r="B34" s="5">
        <v>78.740078740118108</v>
      </c>
      <c r="C34" s="5">
        <v>5.0355320804591601</v>
      </c>
      <c r="D34" s="5">
        <v>12.967909109284605</v>
      </c>
      <c r="E34" s="5">
        <v>8.8635358925497947</v>
      </c>
      <c r="F34" s="5">
        <v>0</v>
      </c>
      <c r="G34" s="5">
        <v>4.7636256810993904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x14ac:dyDescent="0.3">
      <c r="A35" s="32">
        <v>10</v>
      </c>
      <c r="B35" s="5">
        <v>4.3307684717097903</v>
      </c>
      <c r="C35" s="5">
        <v>3.7038830975072479</v>
      </c>
      <c r="D35" s="5">
        <v>0</v>
      </c>
      <c r="E35" s="5">
        <v>14.025538875235453</v>
      </c>
      <c r="F35" s="5">
        <v>0</v>
      </c>
      <c r="G35" s="5">
        <v>1.916666666666667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</row>
    <row r="36" spans="1:13" x14ac:dyDescent="0.3">
      <c r="A36" s="32">
        <v>11</v>
      </c>
      <c r="B36" s="5">
        <v>0</v>
      </c>
      <c r="C36" s="5">
        <v>6.6860655263183242</v>
      </c>
      <c r="D36" s="5">
        <v>0</v>
      </c>
      <c r="E36" s="5">
        <v>13.613786585119705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1:13" x14ac:dyDescent="0.3">
      <c r="A37" s="32">
        <v>12</v>
      </c>
      <c r="B37" s="5">
        <v>0</v>
      </c>
      <c r="C37" s="5">
        <v>4.7385339192311129</v>
      </c>
      <c r="D37" s="5">
        <v>0</v>
      </c>
      <c r="E37" s="5">
        <v>14.149204924659195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</row>
    <row r="38" spans="1:13" x14ac:dyDescent="0.3">
      <c r="A38" s="32">
        <v>13</v>
      </c>
      <c r="B38" s="5">
        <v>0</v>
      </c>
      <c r="C38" s="5">
        <v>6.2099830023027334</v>
      </c>
      <c r="D38" s="5">
        <v>0</v>
      </c>
      <c r="E38" s="5">
        <v>14.776263498021516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</row>
    <row r="39" spans="1:13" x14ac:dyDescent="0.3">
      <c r="A39" s="32">
        <v>14</v>
      </c>
      <c r="B39" s="5">
        <v>0</v>
      </c>
      <c r="C39" s="5">
        <v>7.0122907970378847</v>
      </c>
      <c r="D39" s="5">
        <v>0</v>
      </c>
      <c r="E39" s="5">
        <v>12.995877195252119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</row>
    <row r="40" spans="1:13" x14ac:dyDescent="0.3">
      <c r="A40" s="32">
        <v>15</v>
      </c>
      <c r="B40" s="5">
        <v>0</v>
      </c>
      <c r="C40" s="5">
        <v>8.1486621260452612</v>
      </c>
      <c r="D40" s="5">
        <v>0</v>
      </c>
      <c r="E40" s="5">
        <v>11.61342015849671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</row>
    <row r="41" spans="1:13" x14ac:dyDescent="0.3">
      <c r="A41" s="32">
        <v>16</v>
      </c>
      <c r="B41" s="5">
        <v>0</v>
      </c>
      <c r="C41" s="5">
        <v>9.0771003079177248</v>
      </c>
      <c r="D41" s="5">
        <v>0</v>
      </c>
      <c r="E41" s="5">
        <v>4.1236670124574353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</row>
    <row r="42" spans="1:13" x14ac:dyDescent="0.3">
      <c r="A42" s="32">
        <v>17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</row>
    <row r="43" spans="1:13" x14ac:dyDescent="0.3">
      <c r="A43" s="32">
        <v>18</v>
      </c>
      <c r="B43" s="5">
        <v>0</v>
      </c>
      <c r="C43" s="5">
        <v>4.1187241821817695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</row>
  </sheetData>
  <mergeCells count="12">
    <mergeCell ref="B23:C23"/>
    <mergeCell ref="D23:E23"/>
    <mergeCell ref="F23:G23"/>
    <mergeCell ref="H23:I23"/>
    <mergeCell ref="J23:K23"/>
    <mergeCell ref="L23:M23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M11" sqref="M11"/>
    </sheetView>
  </sheetViews>
  <sheetFormatPr defaultRowHeight="15.6" x14ac:dyDescent="0.3"/>
  <cols>
    <col min="1" max="1" width="8.59765625" style="3" bestFit="1" customWidth="1"/>
    <col min="2" max="2" width="11.296875" style="3" bestFit="1" customWidth="1"/>
    <col min="3" max="3" width="8.59765625" style="3" bestFit="1" customWidth="1"/>
    <col min="4" max="4" width="11.296875" style="3" bestFit="1" customWidth="1"/>
    <col min="5" max="5" width="8.59765625" style="3" bestFit="1" customWidth="1"/>
    <col min="6" max="6" width="11.296875" style="3" bestFit="1" customWidth="1"/>
    <col min="7" max="7" width="8.59765625" style="3" bestFit="1" customWidth="1"/>
    <col min="8" max="8" width="11.296875" style="3" bestFit="1" customWidth="1"/>
    <col min="9" max="9" width="8.59765625" style="3" bestFit="1" customWidth="1"/>
    <col min="10" max="10" width="11.296875" style="3" bestFit="1" customWidth="1"/>
    <col min="11" max="11" width="8.59765625" style="3" bestFit="1" customWidth="1"/>
    <col min="12" max="12" width="9.09765625" style="3" customWidth="1"/>
    <col min="13" max="13" width="11.296875" style="7" bestFit="1" customWidth="1"/>
    <col min="14" max="14" width="8.59765625" style="7" bestFit="1" customWidth="1"/>
    <col min="15" max="15" width="11.296875" bestFit="1" customWidth="1"/>
    <col min="16" max="16" width="8.59765625" bestFit="1" customWidth="1"/>
  </cols>
  <sheetData>
    <row r="1" spans="1:16" s="16" customFormat="1" x14ac:dyDescent="0.3">
      <c r="A1" s="17" t="s">
        <v>115</v>
      </c>
      <c r="B1" s="23">
        <v>1</v>
      </c>
      <c r="C1" s="23"/>
      <c r="D1" s="23">
        <v>2</v>
      </c>
      <c r="E1" s="23"/>
      <c r="F1" s="23">
        <v>4</v>
      </c>
      <c r="G1" s="23"/>
      <c r="H1" s="23">
        <v>5</v>
      </c>
      <c r="I1" s="23"/>
      <c r="J1" s="23">
        <v>6</v>
      </c>
      <c r="K1" s="23"/>
      <c r="L1" s="17"/>
      <c r="M1" s="24" t="s">
        <v>116</v>
      </c>
      <c r="N1" s="24"/>
      <c r="O1" s="24" t="s">
        <v>123</v>
      </c>
      <c r="P1" s="24"/>
    </row>
    <row r="2" spans="1:16" s="4" customFormat="1" x14ac:dyDescent="0.3">
      <c r="A2" s="18" t="s">
        <v>114</v>
      </c>
      <c r="B2" s="18" t="s">
        <v>2</v>
      </c>
      <c r="C2" s="18" t="s">
        <v>63</v>
      </c>
      <c r="D2" s="18" t="s">
        <v>2</v>
      </c>
      <c r="E2" s="18" t="s">
        <v>63</v>
      </c>
      <c r="F2" s="18" t="s">
        <v>2</v>
      </c>
      <c r="G2" s="18" t="s">
        <v>63</v>
      </c>
      <c r="H2" s="18" t="s">
        <v>2</v>
      </c>
      <c r="I2" s="18" t="s">
        <v>63</v>
      </c>
      <c r="J2" s="18" t="s">
        <v>2</v>
      </c>
      <c r="K2" s="18" t="s">
        <v>63</v>
      </c>
      <c r="L2" s="18"/>
      <c r="M2" s="18" t="s">
        <v>2</v>
      </c>
      <c r="N2" s="18" t="s">
        <v>63</v>
      </c>
      <c r="O2" s="18" t="s">
        <v>2</v>
      </c>
      <c r="P2" s="18" t="s">
        <v>63</v>
      </c>
    </row>
    <row r="3" spans="1:16" x14ac:dyDescent="0.3">
      <c r="A3" s="3">
        <v>0</v>
      </c>
      <c r="B3" s="3">
        <v>8.3333333333333339</v>
      </c>
      <c r="C3" s="3">
        <v>0.33333333333333331</v>
      </c>
      <c r="D3" s="3">
        <v>8.3333333333333339</v>
      </c>
      <c r="E3" s="3">
        <v>0.33333333333333331</v>
      </c>
      <c r="F3" s="3">
        <v>8.3333333333333339</v>
      </c>
      <c r="G3" s="3">
        <v>0.33333333333333331</v>
      </c>
      <c r="H3" s="3">
        <v>8.3333333333333339</v>
      </c>
      <c r="I3" s="3">
        <v>0.33333333333333331</v>
      </c>
      <c r="J3" s="3">
        <v>8.3333333333333339</v>
      </c>
      <c r="K3" s="3">
        <v>0.33333333333333331</v>
      </c>
      <c r="M3" s="5">
        <f>AVERAGE(B3,D3,F3,H3,J3)</f>
        <v>8.3333333333333339</v>
      </c>
      <c r="N3" s="5">
        <f>AVERAGE(C3,E3,G3,I3,K3)</f>
        <v>0.33333333333333331</v>
      </c>
      <c r="O3" s="5">
        <f>STDEV(B3,D3,F3,H3,J3)</f>
        <v>0</v>
      </c>
      <c r="P3" s="5">
        <f>STDEV(C3,E3,G3,I3,K3)</f>
        <v>0</v>
      </c>
    </row>
    <row r="4" spans="1:16" x14ac:dyDescent="0.3">
      <c r="A4" s="3">
        <v>1</v>
      </c>
      <c r="B4" s="3" t="s">
        <v>102</v>
      </c>
      <c r="C4" s="3" t="s">
        <v>102</v>
      </c>
      <c r="D4" s="3" t="s">
        <v>102</v>
      </c>
      <c r="E4" s="3" t="s">
        <v>102</v>
      </c>
      <c r="F4" s="3" t="s">
        <v>102</v>
      </c>
      <c r="G4" s="3" t="s">
        <v>102</v>
      </c>
      <c r="H4" s="3" t="s">
        <v>102</v>
      </c>
      <c r="I4" s="3" t="s">
        <v>102</v>
      </c>
      <c r="J4" s="3" t="s">
        <v>102</v>
      </c>
      <c r="K4" s="3" t="s">
        <v>102</v>
      </c>
      <c r="M4" s="5"/>
      <c r="N4" s="5"/>
      <c r="O4" s="5"/>
      <c r="P4" s="5"/>
    </row>
    <row r="5" spans="1:16" x14ac:dyDescent="0.3">
      <c r="A5" s="3">
        <v>2</v>
      </c>
      <c r="B5" s="3">
        <v>40</v>
      </c>
      <c r="C5" s="3">
        <v>0.33333333333333331</v>
      </c>
      <c r="D5" s="3">
        <v>30</v>
      </c>
      <c r="E5" s="3">
        <v>0.5</v>
      </c>
      <c r="F5" s="3">
        <v>40</v>
      </c>
      <c r="G5" s="3">
        <v>0.5</v>
      </c>
      <c r="H5" s="3">
        <v>90</v>
      </c>
      <c r="I5" s="3">
        <v>0.33333333333333331</v>
      </c>
      <c r="J5" s="3">
        <v>120</v>
      </c>
      <c r="K5" s="3">
        <v>0.16666666666666666</v>
      </c>
      <c r="M5" s="5">
        <f>AVERAGE(B5,D5,F5,H5,J5)</f>
        <v>64</v>
      </c>
      <c r="N5" s="5">
        <f>AVERAGE(C5,E5,G5,I5,K5)</f>
        <v>0.36666666666666664</v>
      </c>
      <c r="O5" s="5">
        <f t="shared" ref="O4:P21" si="0">STDEV(B5,D5,F5,H5,J5)</f>
        <v>39.11521443121589</v>
      </c>
      <c r="P5" s="5">
        <f>STDEV(C5,E5,G5,I5,K5)</f>
        <v>0.13944333775567941</v>
      </c>
    </row>
    <row r="6" spans="1:16" x14ac:dyDescent="0.3">
      <c r="A6" s="3">
        <v>3</v>
      </c>
      <c r="B6" s="3" t="s">
        <v>102</v>
      </c>
      <c r="C6" s="3" t="s">
        <v>102</v>
      </c>
      <c r="D6" s="3" t="s">
        <v>102</v>
      </c>
      <c r="E6" s="3" t="s">
        <v>102</v>
      </c>
      <c r="F6" s="3" t="s">
        <v>102</v>
      </c>
      <c r="G6" s="3" t="s">
        <v>102</v>
      </c>
      <c r="H6" s="3" t="s">
        <v>102</v>
      </c>
      <c r="I6" s="3" t="s">
        <v>102</v>
      </c>
      <c r="J6" s="3" t="s">
        <v>102</v>
      </c>
      <c r="K6" s="3" t="s">
        <v>102</v>
      </c>
      <c r="M6" s="5"/>
      <c r="N6" s="5"/>
      <c r="O6" s="5"/>
      <c r="P6" s="5"/>
    </row>
    <row r="7" spans="1:16" x14ac:dyDescent="0.3">
      <c r="A7" s="3">
        <v>4</v>
      </c>
      <c r="B7" s="3">
        <v>170</v>
      </c>
      <c r="C7" s="3">
        <v>0.16666666666666666</v>
      </c>
      <c r="D7" s="3">
        <v>60</v>
      </c>
      <c r="E7" s="3">
        <v>1</v>
      </c>
      <c r="F7" s="3">
        <v>60</v>
      </c>
      <c r="G7" s="3">
        <v>0.83333333333333337</v>
      </c>
      <c r="H7" s="3">
        <v>60</v>
      </c>
      <c r="I7" s="3">
        <v>0.5</v>
      </c>
      <c r="J7" s="3">
        <v>180</v>
      </c>
      <c r="K7" s="3">
        <v>1</v>
      </c>
      <c r="M7" s="5">
        <f>AVERAGE(B7,D7,F7,H7,J7)</f>
        <v>106</v>
      </c>
      <c r="N7" s="5">
        <f>AVERAGE(C7,E7,G7,I7,K7)</f>
        <v>0.7</v>
      </c>
      <c r="O7" s="5">
        <f t="shared" si="0"/>
        <v>63.08724118235002</v>
      </c>
      <c r="P7" s="5">
        <f t="shared" si="0"/>
        <v>0.36132472314464664</v>
      </c>
    </row>
    <row r="8" spans="1:16" x14ac:dyDescent="0.3">
      <c r="A8" s="3">
        <v>5</v>
      </c>
      <c r="B8" s="3" t="s">
        <v>102</v>
      </c>
      <c r="C8" s="3" t="s">
        <v>102</v>
      </c>
      <c r="D8" s="3" t="s">
        <v>102</v>
      </c>
      <c r="E8" s="3" t="s">
        <v>102</v>
      </c>
      <c r="F8" s="3" t="s">
        <v>102</v>
      </c>
      <c r="G8" s="3" t="s">
        <v>102</v>
      </c>
      <c r="H8" s="3" t="s">
        <v>102</v>
      </c>
      <c r="I8" s="3" t="s">
        <v>102</v>
      </c>
      <c r="J8" s="3" t="s">
        <v>102</v>
      </c>
      <c r="K8" s="3" t="s">
        <v>102</v>
      </c>
      <c r="M8" s="5"/>
      <c r="N8" s="5"/>
      <c r="O8" s="5"/>
      <c r="P8" s="5"/>
    </row>
    <row r="9" spans="1:16" x14ac:dyDescent="0.3">
      <c r="A9" s="3">
        <v>6</v>
      </c>
      <c r="B9" s="3">
        <v>180</v>
      </c>
      <c r="C9" s="3">
        <v>1.5833333333333333</v>
      </c>
      <c r="D9" s="3">
        <v>120</v>
      </c>
      <c r="E9" s="3">
        <v>3.4166666666666665</v>
      </c>
      <c r="F9" s="3">
        <v>30</v>
      </c>
      <c r="G9" s="3">
        <v>4.166666666666667</v>
      </c>
      <c r="H9" s="3">
        <v>140</v>
      </c>
      <c r="I9" s="3">
        <v>2.0833333333333335</v>
      </c>
      <c r="J9" s="3">
        <v>100</v>
      </c>
      <c r="K9" s="3">
        <v>1.8333333333333333</v>
      </c>
      <c r="M9" s="5">
        <f t="shared" ref="M9:M19" si="1">AVERAGE(B9,D9,F9,H9,J9)</f>
        <v>114</v>
      </c>
      <c r="N9" s="5">
        <f t="shared" ref="N9:N19" si="2">AVERAGE(C9,E9,G9,I9,K9)</f>
        <v>2.6166666666666671</v>
      </c>
      <c r="O9" s="5">
        <f t="shared" si="0"/>
        <v>55.497747702046432</v>
      </c>
      <c r="P9" s="5">
        <f t="shared" si="0"/>
        <v>1.1189652958574414</v>
      </c>
    </row>
    <row r="10" spans="1:16" x14ac:dyDescent="0.3">
      <c r="A10" s="3">
        <v>7</v>
      </c>
      <c r="B10" s="3">
        <v>200</v>
      </c>
      <c r="C10" s="3">
        <v>2.5</v>
      </c>
      <c r="D10" s="3">
        <v>80</v>
      </c>
      <c r="E10" s="3">
        <v>5.333333333333333</v>
      </c>
      <c r="F10" s="3">
        <v>2.6666666666666665</v>
      </c>
      <c r="G10" s="3">
        <v>6.5</v>
      </c>
      <c r="H10" s="3">
        <v>100</v>
      </c>
      <c r="I10" s="3">
        <v>4.25</v>
      </c>
      <c r="J10" s="3">
        <v>150</v>
      </c>
      <c r="K10" s="3">
        <v>1.5</v>
      </c>
      <c r="M10" s="5">
        <f>AVERAGE(B10,D10,F10,H10,J10)</f>
        <v>106.53333333333335</v>
      </c>
      <c r="N10" s="5">
        <f t="shared" si="2"/>
        <v>4.0166666666666666</v>
      </c>
      <c r="O10" s="5">
        <f t="shared" si="0"/>
        <v>74.431773382668268</v>
      </c>
      <c r="P10" s="5">
        <f t="shared" si="0"/>
        <v>2.0364729858807915</v>
      </c>
    </row>
    <row r="11" spans="1:16" x14ac:dyDescent="0.3">
      <c r="A11" s="3">
        <v>8</v>
      </c>
      <c r="B11" s="3">
        <v>170</v>
      </c>
      <c r="C11" s="3">
        <v>4.5</v>
      </c>
      <c r="D11" s="3">
        <v>9.8333333333333339</v>
      </c>
      <c r="E11" s="3">
        <v>9.9166666666666661</v>
      </c>
      <c r="F11" s="3">
        <v>0</v>
      </c>
      <c r="G11" s="3">
        <v>10</v>
      </c>
      <c r="H11" s="3">
        <v>14.916666666666666</v>
      </c>
      <c r="I11" s="3">
        <v>8.3333333333333339</v>
      </c>
      <c r="J11" s="3">
        <v>70</v>
      </c>
      <c r="K11" s="3">
        <v>4.5</v>
      </c>
      <c r="M11" s="5">
        <f t="shared" si="1"/>
        <v>52.95</v>
      </c>
      <c r="N11" s="5">
        <f t="shared" si="2"/>
        <v>7.45</v>
      </c>
      <c r="O11" s="5">
        <f t="shared" si="0"/>
        <v>70.888449145274876</v>
      </c>
      <c r="P11" s="5">
        <f t="shared" si="0"/>
        <v>2.773635800813719</v>
      </c>
    </row>
    <row r="12" spans="1:16" x14ac:dyDescent="0.3">
      <c r="A12" s="3">
        <v>9</v>
      </c>
      <c r="B12" s="3">
        <v>180</v>
      </c>
      <c r="C12" s="3">
        <v>9.0833333333333339</v>
      </c>
      <c r="D12" s="3">
        <v>0</v>
      </c>
      <c r="E12" s="3">
        <v>16.666666666666668</v>
      </c>
      <c r="F12" s="3">
        <v>0</v>
      </c>
      <c r="G12" s="3">
        <v>10.583333333333334</v>
      </c>
      <c r="H12" s="3">
        <v>0</v>
      </c>
      <c r="I12" s="3">
        <v>19.166666666666668</v>
      </c>
      <c r="J12" s="3">
        <v>70</v>
      </c>
      <c r="K12" s="3">
        <v>7.5666666666666664</v>
      </c>
      <c r="M12" s="5">
        <f t="shared" si="1"/>
        <v>50</v>
      </c>
      <c r="N12" s="5">
        <f t="shared" si="2"/>
        <v>12.613333333333333</v>
      </c>
      <c r="O12" s="5">
        <f t="shared" si="0"/>
        <v>78.740078740118108</v>
      </c>
      <c r="P12" s="5">
        <f t="shared" si="0"/>
        <v>5.0355320804591601</v>
      </c>
    </row>
    <row r="13" spans="1:16" x14ac:dyDescent="0.3">
      <c r="A13" s="3">
        <v>10</v>
      </c>
      <c r="B13" s="3">
        <v>5.166666666666667</v>
      </c>
      <c r="C13" s="3">
        <v>20.166666666666668</v>
      </c>
      <c r="D13" s="3">
        <v>0</v>
      </c>
      <c r="E13" s="3">
        <v>16.5</v>
      </c>
      <c r="F13" s="3">
        <v>0</v>
      </c>
      <c r="G13" s="3">
        <v>10.916666666666666</v>
      </c>
      <c r="H13" s="3">
        <v>0</v>
      </c>
      <c r="I13" s="3">
        <v>17.25</v>
      </c>
      <c r="J13" s="3">
        <v>9.5833333333333339</v>
      </c>
      <c r="K13" s="3">
        <v>12.666666666666666</v>
      </c>
      <c r="M13" s="5">
        <f t="shared" si="1"/>
        <v>2.95</v>
      </c>
      <c r="N13" s="5">
        <f t="shared" si="2"/>
        <v>15.500000000000004</v>
      </c>
      <c r="O13" s="5">
        <f t="shared" si="0"/>
        <v>4.3307684717097903</v>
      </c>
      <c r="P13" s="5">
        <f t="shared" si="0"/>
        <v>3.7038830975072479</v>
      </c>
    </row>
    <row r="14" spans="1:16" x14ac:dyDescent="0.3">
      <c r="A14" s="3">
        <v>11</v>
      </c>
      <c r="B14" s="3">
        <v>0</v>
      </c>
      <c r="C14" s="3">
        <v>26.416666666666668</v>
      </c>
      <c r="D14" s="3">
        <v>0</v>
      </c>
      <c r="E14" s="3">
        <v>15.083333333333334</v>
      </c>
      <c r="F14" s="3">
        <v>0</v>
      </c>
      <c r="G14" s="3">
        <v>8.1666666666666661</v>
      </c>
      <c r="H14" s="3">
        <v>0</v>
      </c>
      <c r="I14" s="3">
        <v>18.666666666666668</v>
      </c>
      <c r="J14" s="3">
        <v>0</v>
      </c>
      <c r="K14" s="3">
        <v>19.75</v>
      </c>
      <c r="M14" s="5">
        <f t="shared" si="1"/>
        <v>0</v>
      </c>
      <c r="N14" s="5">
        <f t="shared" si="2"/>
        <v>17.616666666666667</v>
      </c>
      <c r="O14" s="5">
        <f t="shared" si="0"/>
        <v>0</v>
      </c>
      <c r="P14" s="5">
        <f t="shared" si="0"/>
        <v>6.6860655263183242</v>
      </c>
    </row>
    <row r="15" spans="1:16" x14ac:dyDescent="0.3">
      <c r="A15" s="3">
        <v>12</v>
      </c>
      <c r="B15" s="3">
        <v>0</v>
      </c>
      <c r="C15" s="3" t="s">
        <v>102</v>
      </c>
      <c r="D15" s="3">
        <v>0</v>
      </c>
      <c r="E15" s="3">
        <v>19.833333333333332</v>
      </c>
      <c r="F15" s="3">
        <v>0</v>
      </c>
      <c r="G15" s="3">
        <v>10.5</v>
      </c>
      <c r="H15" s="3">
        <v>0</v>
      </c>
      <c r="I15" s="3">
        <v>18.333333333333332</v>
      </c>
      <c r="J15" s="3">
        <v>0</v>
      </c>
      <c r="K15" s="3">
        <v>21</v>
      </c>
      <c r="M15" s="5">
        <f t="shared" si="1"/>
        <v>0</v>
      </c>
      <c r="N15" s="5">
        <f t="shared" si="2"/>
        <v>17.416666666666664</v>
      </c>
      <c r="O15" s="5">
        <f t="shared" si="0"/>
        <v>0</v>
      </c>
      <c r="P15" s="5">
        <f t="shared" si="0"/>
        <v>4.7385339192311129</v>
      </c>
    </row>
    <row r="16" spans="1:16" x14ac:dyDescent="0.3">
      <c r="A16" s="3">
        <v>13</v>
      </c>
      <c r="B16" s="3">
        <v>0</v>
      </c>
      <c r="C16" s="3">
        <v>25.666666666666668</v>
      </c>
      <c r="D16" s="3">
        <v>0</v>
      </c>
      <c r="E16" s="3">
        <v>17</v>
      </c>
      <c r="F16" s="3">
        <v>0</v>
      </c>
      <c r="G16" s="3">
        <v>8.8333333333333339</v>
      </c>
      <c r="H16" s="3">
        <v>0</v>
      </c>
      <c r="I16" s="3">
        <v>14.833333333333334</v>
      </c>
      <c r="J16" s="3">
        <v>0</v>
      </c>
      <c r="K16" s="3">
        <v>19.833333333333332</v>
      </c>
      <c r="M16" s="5">
        <f t="shared" si="1"/>
        <v>0</v>
      </c>
      <c r="N16" s="5">
        <f t="shared" si="2"/>
        <v>17.233333333333334</v>
      </c>
      <c r="O16" s="5">
        <f t="shared" si="0"/>
        <v>0</v>
      </c>
      <c r="P16" s="5">
        <f t="shared" si="0"/>
        <v>6.2099830023027334</v>
      </c>
    </row>
    <row r="17" spans="1:16" x14ac:dyDescent="0.3">
      <c r="A17" s="3">
        <v>14</v>
      </c>
      <c r="B17" s="3">
        <v>0</v>
      </c>
      <c r="C17" s="3">
        <v>24.583333333333332</v>
      </c>
      <c r="D17" s="3">
        <v>0</v>
      </c>
      <c r="E17" s="3">
        <v>15.083333333333334</v>
      </c>
      <c r="F17" s="3">
        <v>0</v>
      </c>
      <c r="G17" s="3">
        <v>5.75</v>
      </c>
      <c r="H17" s="3">
        <v>0</v>
      </c>
      <c r="I17" s="3">
        <v>17.083333333333332</v>
      </c>
      <c r="J17" s="3">
        <v>0</v>
      </c>
      <c r="K17" s="3">
        <v>20.166666666666668</v>
      </c>
      <c r="M17" s="5">
        <f t="shared" si="1"/>
        <v>0</v>
      </c>
      <c r="N17" s="5">
        <f t="shared" si="2"/>
        <v>16.533333333333335</v>
      </c>
      <c r="O17" s="5">
        <f t="shared" si="0"/>
        <v>0</v>
      </c>
      <c r="P17" s="5">
        <f t="shared" si="0"/>
        <v>7.0122907970378847</v>
      </c>
    </row>
    <row r="18" spans="1:16" x14ac:dyDescent="0.3">
      <c r="A18" s="3">
        <v>15</v>
      </c>
      <c r="B18" s="3">
        <v>0</v>
      </c>
      <c r="C18" s="3">
        <v>23.5</v>
      </c>
      <c r="D18" s="3">
        <v>0</v>
      </c>
      <c r="E18" s="3">
        <v>13.666666666666666</v>
      </c>
      <c r="F18" s="3">
        <v>0</v>
      </c>
      <c r="G18" s="3">
        <v>2.8333333333333335</v>
      </c>
      <c r="H18" s="3">
        <v>0</v>
      </c>
      <c r="I18" s="3">
        <v>16.416666666666668</v>
      </c>
      <c r="J18" s="3">
        <v>0</v>
      </c>
      <c r="K18" s="3">
        <v>21.583333333333332</v>
      </c>
      <c r="M18" s="5">
        <f t="shared" si="1"/>
        <v>0</v>
      </c>
      <c r="N18" s="5">
        <f t="shared" si="2"/>
        <v>15.6</v>
      </c>
      <c r="O18" s="5">
        <f t="shared" si="0"/>
        <v>0</v>
      </c>
      <c r="P18" s="5">
        <f t="shared" si="0"/>
        <v>8.1486621260452612</v>
      </c>
    </row>
    <row r="19" spans="1:16" x14ac:dyDescent="0.3">
      <c r="A19" s="3">
        <v>16</v>
      </c>
      <c r="B19" s="3">
        <v>0</v>
      </c>
      <c r="C19" s="3">
        <v>23</v>
      </c>
      <c r="D19" s="3">
        <v>0</v>
      </c>
      <c r="E19" s="3">
        <v>9.9166666666666661</v>
      </c>
      <c r="F19" s="3">
        <v>0</v>
      </c>
      <c r="G19" s="3">
        <v>0</v>
      </c>
      <c r="H19" s="3">
        <v>0</v>
      </c>
      <c r="I19" s="3">
        <v>13.25</v>
      </c>
      <c r="J19" s="3">
        <v>0</v>
      </c>
      <c r="K19" s="3">
        <v>20.166666666666668</v>
      </c>
      <c r="M19" s="5">
        <f t="shared" si="1"/>
        <v>0</v>
      </c>
      <c r="N19" s="5">
        <f t="shared" si="2"/>
        <v>13.266666666666666</v>
      </c>
      <c r="O19" s="5">
        <f t="shared" si="0"/>
        <v>0</v>
      </c>
      <c r="P19" s="5">
        <f t="shared" si="0"/>
        <v>9.0771003079177248</v>
      </c>
    </row>
    <row r="20" spans="1:16" x14ac:dyDescent="0.3">
      <c r="A20" s="3">
        <v>17</v>
      </c>
      <c r="B20" s="3">
        <v>0</v>
      </c>
      <c r="C20" s="3" t="s">
        <v>102</v>
      </c>
      <c r="D20" s="3">
        <v>0</v>
      </c>
      <c r="E20" s="3" t="s">
        <v>102</v>
      </c>
      <c r="F20" s="3">
        <v>0</v>
      </c>
      <c r="G20" s="3" t="s">
        <v>102</v>
      </c>
      <c r="H20" s="3">
        <v>0</v>
      </c>
      <c r="I20" s="3" t="s">
        <v>102</v>
      </c>
      <c r="J20" s="3">
        <v>0</v>
      </c>
      <c r="K20" s="3" t="s">
        <v>102</v>
      </c>
      <c r="M20" s="5">
        <f>AVERAGE(B20,D20,F20,H20,J20)</f>
        <v>0</v>
      </c>
      <c r="N20" s="5"/>
      <c r="O20" s="5">
        <f t="shared" si="0"/>
        <v>0</v>
      </c>
      <c r="P20" s="5"/>
    </row>
    <row r="21" spans="1:16" x14ac:dyDescent="0.3">
      <c r="A21" s="3">
        <v>18</v>
      </c>
      <c r="B21" s="3">
        <v>0</v>
      </c>
      <c r="C21" s="3">
        <v>9.5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2.8333333333333335</v>
      </c>
      <c r="M21" s="5">
        <f>AVERAGE(B21,D21,F21,H21,J21)</f>
        <v>0</v>
      </c>
      <c r="N21" s="5">
        <f>AVERAGE(C21,E21,G21,I21,K21)</f>
        <v>2.4666666666666668</v>
      </c>
      <c r="O21" s="5">
        <f t="shared" si="0"/>
        <v>0</v>
      </c>
      <c r="P21" s="5">
        <f t="shared" si="0"/>
        <v>4.1187241821817695</v>
      </c>
    </row>
  </sheetData>
  <mergeCells count="7">
    <mergeCell ref="M1:N1"/>
    <mergeCell ref="O1:P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R6" sqref="R6"/>
    </sheetView>
  </sheetViews>
  <sheetFormatPr defaultRowHeight="15.6" x14ac:dyDescent="0.3"/>
  <cols>
    <col min="1" max="1" width="8.59765625" style="3" bestFit="1" customWidth="1"/>
    <col min="2" max="2" width="11.296875" style="5" bestFit="1" customWidth="1"/>
    <col min="3" max="3" width="8.59765625" style="5" bestFit="1" customWidth="1"/>
    <col min="4" max="4" width="11.296875" style="5" bestFit="1" customWidth="1"/>
    <col min="5" max="5" width="8.59765625" style="5" bestFit="1" customWidth="1"/>
    <col min="6" max="6" width="11.296875" style="5" bestFit="1" customWidth="1"/>
    <col min="7" max="7" width="8.59765625" style="5" bestFit="1" customWidth="1"/>
    <col min="8" max="8" width="11.296875" style="5" bestFit="1" customWidth="1"/>
    <col min="9" max="9" width="8.59765625" style="5" bestFit="1" customWidth="1"/>
    <col min="10" max="10" width="11.296875" style="5" bestFit="1" customWidth="1"/>
    <col min="11" max="11" width="8.59765625" style="5" bestFit="1" customWidth="1"/>
    <col min="12" max="12" width="11.296875" style="5" bestFit="1" customWidth="1"/>
    <col min="13" max="13" width="8.59765625" style="5" bestFit="1" customWidth="1"/>
    <col min="14" max="14" width="7.8984375" style="5" customWidth="1"/>
    <col min="15" max="15" width="11.296875" bestFit="1" customWidth="1"/>
    <col min="16" max="16" width="8.59765625" bestFit="1" customWidth="1"/>
    <col min="17" max="17" width="11.296875" bestFit="1" customWidth="1"/>
    <col min="18" max="18" width="8.59765625" bestFit="1" customWidth="1"/>
  </cols>
  <sheetData>
    <row r="1" spans="1:18" x14ac:dyDescent="0.3">
      <c r="A1" s="19" t="s">
        <v>115</v>
      </c>
      <c r="B1" s="25">
        <v>1</v>
      </c>
      <c r="C1" s="25"/>
      <c r="D1" s="25">
        <v>2</v>
      </c>
      <c r="E1" s="25"/>
      <c r="F1" s="25">
        <v>3</v>
      </c>
      <c r="G1" s="25"/>
      <c r="H1" s="25">
        <v>4</v>
      </c>
      <c r="I1" s="25"/>
      <c r="J1" s="25">
        <v>5</v>
      </c>
      <c r="K1" s="25"/>
      <c r="L1" s="25">
        <v>6</v>
      </c>
      <c r="M1" s="25"/>
      <c r="N1" s="20"/>
      <c r="O1" s="24" t="s">
        <v>116</v>
      </c>
      <c r="P1" s="24"/>
      <c r="Q1" s="24" t="s">
        <v>123</v>
      </c>
      <c r="R1" s="24"/>
    </row>
    <row r="2" spans="1:18" s="4" customFormat="1" x14ac:dyDescent="0.3">
      <c r="A2" s="18" t="s">
        <v>114</v>
      </c>
      <c r="B2" s="18" t="s">
        <v>2</v>
      </c>
      <c r="C2" s="18" t="s">
        <v>63</v>
      </c>
      <c r="D2" s="18" t="s">
        <v>2</v>
      </c>
      <c r="E2" s="18" t="s">
        <v>63</v>
      </c>
      <c r="F2" s="18" t="s">
        <v>2</v>
      </c>
      <c r="G2" s="18" t="s">
        <v>63</v>
      </c>
      <c r="H2" s="18" t="s">
        <v>2</v>
      </c>
      <c r="I2" s="18" t="s">
        <v>63</v>
      </c>
      <c r="J2" s="18" t="s">
        <v>2</v>
      </c>
      <c r="K2" s="18" t="s">
        <v>63</v>
      </c>
      <c r="L2" s="18" t="s">
        <v>2</v>
      </c>
      <c r="M2" s="18" t="s">
        <v>63</v>
      </c>
      <c r="N2" s="18"/>
      <c r="O2" s="18" t="s">
        <v>2</v>
      </c>
      <c r="P2" s="18" t="s">
        <v>63</v>
      </c>
      <c r="Q2" s="18" t="s">
        <v>2</v>
      </c>
      <c r="R2" s="18" t="s">
        <v>63</v>
      </c>
    </row>
    <row r="3" spans="1:18" x14ac:dyDescent="0.3">
      <c r="A3" s="3">
        <v>0</v>
      </c>
      <c r="B3" s="5">
        <v>8.3333333333333339</v>
      </c>
      <c r="C3" s="5">
        <v>0.33333333333333331</v>
      </c>
      <c r="D3" s="5">
        <v>8.3333333333333339</v>
      </c>
      <c r="E3" s="5">
        <v>0.33333333333333331</v>
      </c>
      <c r="F3" s="5">
        <v>8.3333333333333339</v>
      </c>
      <c r="G3" s="5">
        <v>0.33333333333333331</v>
      </c>
      <c r="H3" s="5">
        <v>8.3333333333333339</v>
      </c>
      <c r="I3" s="5">
        <v>0.33333333333333331</v>
      </c>
      <c r="J3" s="5">
        <v>8.3333333333333339</v>
      </c>
      <c r="K3" s="5">
        <v>0.33333333333333331</v>
      </c>
      <c r="L3" s="5">
        <v>8.3333333333333339</v>
      </c>
      <c r="M3" s="5">
        <v>0.33333333333333331</v>
      </c>
      <c r="O3" s="5">
        <f>AVERAGE(B3,D3,F3,H3,J3,L3)</f>
        <v>8.3333333333333339</v>
      </c>
      <c r="P3" s="5">
        <f>AVERAGE(C3,E3,G3,I3,K3,M3)</f>
        <v>0.33333333333333331</v>
      </c>
      <c r="Q3" s="5">
        <f>STDEV(B3,D3,F3,H3,J3,L3)</f>
        <v>0</v>
      </c>
      <c r="R3" s="5">
        <f>STDEV(C3,E3,G3,I3,K3,M3)</f>
        <v>0</v>
      </c>
    </row>
    <row r="4" spans="1:18" x14ac:dyDescent="0.3">
      <c r="A4" s="3">
        <v>1</v>
      </c>
      <c r="B4" s="5" t="s">
        <v>102</v>
      </c>
      <c r="C4" s="5" t="s">
        <v>102</v>
      </c>
      <c r="D4" s="5" t="s">
        <v>102</v>
      </c>
      <c r="E4" s="5" t="s">
        <v>102</v>
      </c>
      <c r="F4" s="5" t="s">
        <v>102</v>
      </c>
      <c r="G4" s="5" t="s">
        <v>102</v>
      </c>
      <c r="H4" s="5" t="s">
        <v>102</v>
      </c>
      <c r="I4" s="5" t="s">
        <v>102</v>
      </c>
      <c r="J4" s="5" t="s">
        <v>102</v>
      </c>
      <c r="K4" s="5" t="s">
        <v>102</v>
      </c>
      <c r="L4" s="5" t="s">
        <v>102</v>
      </c>
      <c r="M4" s="5" t="s">
        <v>102</v>
      </c>
      <c r="O4" s="5"/>
      <c r="P4" s="5"/>
      <c r="Q4" s="5"/>
      <c r="R4" s="5"/>
    </row>
    <row r="5" spans="1:18" x14ac:dyDescent="0.3">
      <c r="A5" s="3">
        <v>2</v>
      </c>
      <c r="B5" s="5">
        <v>60</v>
      </c>
      <c r="C5" s="5">
        <v>0.33333333333333331</v>
      </c>
      <c r="D5" s="5">
        <v>100</v>
      </c>
      <c r="E5" s="5">
        <v>0.33333333333333331</v>
      </c>
      <c r="F5" s="5">
        <v>90</v>
      </c>
      <c r="G5" s="5">
        <v>0.66666666666666663</v>
      </c>
      <c r="H5" s="5">
        <v>80</v>
      </c>
      <c r="I5" s="5">
        <v>0.33333333333333331</v>
      </c>
      <c r="J5" s="5">
        <v>40</v>
      </c>
      <c r="K5" s="5">
        <v>0.16666666666666666</v>
      </c>
      <c r="L5" s="5">
        <v>50</v>
      </c>
      <c r="M5" s="5">
        <v>0.66666666666666663</v>
      </c>
      <c r="O5" s="5">
        <f t="shared" ref="O5:P21" si="0">AVERAGE(B5,D5,F5,H5,J5,L5)</f>
        <v>70</v>
      </c>
      <c r="P5" s="5">
        <f t="shared" si="0"/>
        <v>0.41666666666666669</v>
      </c>
      <c r="Q5" s="5">
        <f t="shared" ref="Q4:R21" si="1">STDEV(B5,D5,F5,H5,J5,L5)</f>
        <v>23.664319132398465</v>
      </c>
      <c r="R5" s="5">
        <f>STDEV(C5,E5,G5,I5,K5,M5)</f>
        <v>0.20412414523193148</v>
      </c>
    </row>
    <row r="6" spans="1:18" x14ac:dyDescent="0.3">
      <c r="A6" s="3">
        <v>3</v>
      </c>
      <c r="B6" s="5" t="s">
        <v>102</v>
      </c>
      <c r="C6" s="5" t="s">
        <v>102</v>
      </c>
      <c r="D6" s="5" t="s">
        <v>102</v>
      </c>
      <c r="E6" s="5" t="s">
        <v>102</v>
      </c>
      <c r="F6" s="5" t="s">
        <v>102</v>
      </c>
      <c r="G6" s="5" t="s">
        <v>102</v>
      </c>
      <c r="H6" s="5" t="s">
        <v>102</v>
      </c>
      <c r="I6" s="5" t="s">
        <v>102</v>
      </c>
      <c r="J6" s="5" t="s">
        <v>102</v>
      </c>
      <c r="K6" s="5" t="s">
        <v>102</v>
      </c>
      <c r="L6" s="5" t="s">
        <v>102</v>
      </c>
      <c r="M6" s="5" t="s">
        <v>102</v>
      </c>
      <c r="O6" s="5"/>
      <c r="P6" s="5"/>
      <c r="Q6" s="5"/>
      <c r="R6" s="5"/>
    </row>
    <row r="7" spans="1:18" x14ac:dyDescent="0.3">
      <c r="A7" s="3">
        <v>4</v>
      </c>
      <c r="B7" s="5">
        <v>80</v>
      </c>
      <c r="C7" s="5">
        <v>0.16666666666666666</v>
      </c>
      <c r="D7" s="5">
        <v>130</v>
      </c>
      <c r="E7" s="5">
        <v>0.66666666666666663</v>
      </c>
      <c r="F7" s="5">
        <v>120</v>
      </c>
      <c r="G7" s="5">
        <v>2.75</v>
      </c>
      <c r="H7" s="5">
        <v>80</v>
      </c>
      <c r="I7" s="5">
        <v>0.16666666666666666</v>
      </c>
      <c r="J7" s="5">
        <v>140</v>
      </c>
      <c r="K7" s="5">
        <v>1.1666666666666667</v>
      </c>
      <c r="L7" s="5">
        <v>80</v>
      </c>
      <c r="M7" s="5">
        <v>4.75</v>
      </c>
      <c r="O7" s="5">
        <f t="shared" si="0"/>
        <v>105</v>
      </c>
      <c r="P7" s="5">
        <f t="shared" si="0"/>
        <v>1.6111111111111109</v>
      </c>
      <c r="Q7" s="5">
        <f>STDEV(B7,D7,F7,H7,J7,L7)</f>
        <v>28.106938645110393</v>
      </c>
      <c r="R7" s="5">
        <f t="shared" si="1"/>
        <v>1.8117415399022587</v>
      </c>
    </row>
    <row r="8" spans="1:18" x14ac:dyDescent="0.3">
      <c r="A8" s="3">
        <v>5</v>
      </c>
      <c r="B8" s="5" t="s">
        <v>102</v>
      </c>
      <c r="C8" s="5" t="s">
        <v>102</v>
      </c>
      <c r="D8" s="5" t="s">
        <v>102</v>
      </c>
      <c r="E8" s="5" t="s">
        <v>102</v>
      </c>
      <c r="F8" s="5" t="s">
        <v>102</v>
      </c>
      <c r="G8" s="5" t="s">
        <v>102</v>
      </c>
      <c r="H8" s="5" t="s">
        <v>102</v>
      </c>
      <c r="I8" s="5" t="s">
        <v>102</v>
      </c>
      <c r="J8" s="5" t="s">
        <v>102</v>
      </c>
      <c r="K8" s="5" t="s">
        <v>102</v>
      </c>
      <c r="L8" s="5" t="s">
        <v>102</v>
      </c>
      <c r="M8" s="5" t="s">
        <v>102</v>
      </c>
      <c r="O8" s="5"/>
      <c r="P8" s="5"/>
      <c r="Q8" s="5"/>
      <c r="R8" s="5"/>
    </row>
    <row r="9" spans="1:18" x14ac:dyDescent="0.3">
      <c r="A9" s="3">
        <v>6</v>
      </c>
      <c r="B9" s="5">
        <v>190</v>
      </c>
      <c r="C9" s="5">
        <v>1</v>
      </c>
      <c r="D9" s="5">
        <v>200</v>
      </c>
      <c r="E9" s="5">
        <v>4.083333333333333</v>
      </c>
      <c r="F9" s="5">
        <v>0</v>
      </c>
      <c r="G9" s="5">
        <v>20.25</v>
      </c>
      <c r="H9" s="5">
        <v>180</v>
      </c>
      <c r="I9" s="5">
        <v>1.1666666666666667</v>
      </c>
      <c r="J9" s="5">
        <v>4</v>
      </c>
      <c r="K9" s="5">
        <v>10.416666666666666</v>
      </c>
      <c r="L9" s="5">
        <v>0</v>
      </c>
      <c r="M9" s="5">
        <v>20.166666666666668</v>
      </c>
      <c r="O9" s="5">
        <f t="shared" si="0"/>
        <v>95.666666666666671</v>
      </c>
      <c r="P9" s="5">
        <f t="shared" si="0"/>
        <v>9.5138888888888875</v>
      </c>
      <c r="Q9" s="5">
        <f t="shared" si="1"/>
        <v>103.54065224184494</v>
      </c>
      <c r="R9" s="5">
        <f t="shared" si="1"/>
        <v>8.9578359035022572</v>
      </c>
    </row>
    <row r="10" spans="1:18" x14ac:dyDescent="0.3">
      <c r="A10" s="3">
        <v>7</v>
      </c>
      <c r="B10" s="5">
        <v>260</v>
      </c>
      <c r="C10" s="5">
        <v>3.75</v>
      </c>
      <c r="D10" s="5">
        <v>50</v>
      </c>
      <c r="E10" s="5">
        <v>10.416666666666666</v>
      </c>
      <c r="F10" s="5">
        <v>0</v>
      </c>
      <c r="G10" s="5">
        <v>15.916666666666666</v>
      </c>
      <c r="H10" s="5">
        <v>170</v>
      </c>
      <c r="I10" s="5">
        <v>2.9166666666666665</v>
      </c>
      <c r="J10" s="5">
        <v>0</v>
      </c>
      <c r="K10" s="5">
        <v>14.75</v>
      </c>
      <c r="L10" s="5">
        <v>0</v>
      </c>
      <c r="M10" s="5">
        <v>14.25</v>
      </c>
      <c r="O10" s="5">
        <f>AVERAGE(B10,D10,F10,H10,J10,L10)</f>
        <v>80</v>
      </c>
      <c r="P10" s="5">
        <f t="shared" si="0"/>
        <v>10.333333333333334</v>
      </c>
      <c r="Q10" s="5">
        <f t="shared" si="1"/>
        <v>110.09087155618307</v>
      </c>
      <c r="R10" s="5">
        <f t="shared" si="1"/>
        <v>5.7336724705898572</v>
      </c>
    </row>
    <row r="11" spans="1:18" x14ac:dyDescent="0.3">
      <c r="A11" s="3">
        <v>8</v>
      </c>
      <c r="B11" s="5">
        <v>210</v>
      </c>
      <c r="C11" s="5">
        <v>10.666666666666666</v>
      </c>
      <c r="D11" s="5">
        <v>0</v>
      </c>
      <c r="E11" s="5">
        <v>25.25</v>
      </c>
      <c r="F11" s="5">
        <v>0</v>
      </c>
      <c r="G11" s="5">
        <v>15.666666666666666</v>
      </c>
      <c r="H11" s="5">
        <v>120</v>
      </c>
      <c r="I11" s="5">
        <v>7.833333333333333</v>
      </c>
      <c r="J11" s="5">
        <v>0</v>
      </c>
      <c r="K11" s="5">
        <v>13.5</v>
      </c>
      <c r="L11" s="5">
        <v>0</v>
      </c>
      <c r="M11" s="5">
        <v>13.416666666666666</v>
      </c>
      <c r="O11" s="5">
        <f t="shared" si="0"/>
        <v>55</v>
      </c>
      <c r="P11" s="5">
        <f t="shared" si="0"/>
        <v>14.388888888888888</v>
      </c>
      <c r="Q11" s="5">
        <f t="shared" si="1"/>
        <v>89.833178725902826</v>
      </c>
      <c r="R11" s="5">
        <f t="shared" si="1"/>
        <v>5.9692886852126223</v>
      </c>
    </row>
    <row r="12" spans="1:18" x14ac:dyDescent="0.3">
      <c r="A12" s="3">
        <v>9</v>
      </c>
      <c r="B12" s="5">
        <v>20</v>
      </c>
      <c r="C12" s="5">
        <v>23.416666666666668</v>
      </c>
      <c r="D12" s="5">
        <v>0</v>
      </c>
      <c r="E12" s="5">
        <v>32.25</v>
      </c>
      <c r="F12" s="5">
        <v>0</v>
      </c>
      <c r="G12" s="5">
        <v>10.416666666666666</v>
      </c>
      <c r="H12" s="5">
        <v>29</v>
      </c>
      <c r="I12" s="5">
        <v>14.166666666666666</v>
      </c>
      <c r="J12" s="5">
        <v>0</v>
      </c>
      <c r="K12" s="5">
        <v>13.083333333333334</v>
      </c>
      <c r="L12" s="5">
        <v>0</v>
      </c>
      <c r="M12" s="5">
        <v>9.75</v>
      </c>
      <c r="O12" s="5">
        <f t="shared" si="0"/>
        <v>8.1666666666666661</v>
      </c>
      <c r="P12" s="5">
        <f t="shared" si="0"/>
        <v>17.180555555555557</v>
      </c>
      <c r="Q12" s="5">
        <f t="shared" si="1"/>
        <v>12.967909109284605</v>
      </c>
      <c r="R12" s="5">
        <f t="shared" si="1"/>
        <v>8.8635358925497947</v>
      </c>
    </row>
    <row r="13" spans="1:18" x14ac:dyDescent="0.3">
      <c r="A13" s="3">
        <v>10</v>
      </c>
      <c r="B13" s="5">
        <v>0</v>
      </c>
      <c r="C13" s="5">
        <v>43.083333333333336</v>
      </c>
      <c r="D13" s="5">
        <v>0</v>
      </c>
      <c r="E13" s="5">
        <v>29.083333333333332</v>
      </c>
      <c r="F13" s="5">
        <v>0</v>
      </c>
      <c r="G13" s="5">
        <v>10.166666666666666</v>
      </c>
      <c r="H13" s="5">
        <v>0</v>
      </c>
      <c r="I13" s="5">
        <v>28.833333333333332</v>
      </c>
      <c r="J13" s="5">
        <v>0</v>
      </c>
      <c r="K13" s="5">
        <v>10.833333333333334</v>
      </c>
      <c r="L13" s="5">
        <v>0</v>
      </c>
      <c r="M13" s="5">
        <v>8.6666666666666661</v>
      </c>
      <c r="O13" s="5">
        <f t="shared" si="0"/>
        <v>0</v>
      </c>
      <c r="P13" s="5">
        <f t="shared" si="0"/>
        <v>21.777777777777775</v>
      </c>
      <c r="Q13" s="5">
        <f t="shared" si="1"/>
        <v>0</v>
      </c>
      <c r="R13" s="5">
        <f t="shared" si="1"/>
        <v>14.025538875235453</v>
      </c>
    </row>
    <row r="14" spans="1:18" x14ac:dyDescent="0.3">
      <c r="A14" s="3">
        <v>11</v>
      </c>
      <c r="B14" s="5">
        <v>0</v>
      </c>
      <c r="C14" s="5">
        <v>40.416666666666664</v>
      </c>
      <c r="D14" s="5">
        <v>0</v>
      </c>
      <c r="E14" s="5">
        <v>19</v>
      </c>
      <c r="F14" s="5">
        <v>0</v>
      </c>
      <c r="G14" s="5">
        <v>8.4166666666666661</v>
      </c>
      <c r="H14" s="5">
        <v>0</v>
      </c>
      <c r="I14" s="5">
        <v>26.916666666666668</v>
      </c>
      <c r="J14" s="5">
        <v>0</v>
      </c>
      <c r="K14" s="5">
        <v>7.333333333333333</v>
      </c>
      <c r="L14" s="5">
        <v>0</v>
      </c>
      <c r="M14" s="5">
        <v>6.25</v>
      </c>
      <c r="O14" s="5">
        <f t="shared" si="0"/>
        <v>0</v>
      </c>
      <c r="P14" s="5">
        <f t="shared" si="0"/>
        <v>18.055555555555554</v>
      </c>
      <c r="Q14" s="5">
        <f t="shared" si="1"/>
        <v>0</v>
      </c>
      <c r="R14" s="5">
        <f t="shared" si="1"/>
        <v>13.613786585119705</v>
      </c>
    </row>
    <row r="15" spans="1:18" x14ac:dyDescent="0.3">
      <c r="A15" s="3">
        <v>12</v>
      </c>
      <c r="B15" s="5">
        <v>0</v>
      </c>
      <c r="C15" s="5" t="s">
        <v>102</v>
      </c>
      <c r="D15" s="5">
        <v>0</v>
      </c>
      <c r="E15" s="5">
        <v>28.5</v>
      </c>
      <c r="F15" s="5">
        <v>0</v>
      </c>
      <c r="G15" s="5">
        <v>1.1666666666666667</v>
      </c>
      <c r="H15" s="5">
        <v>0</v>
      </c>
      <c r="I15" s="5">
        <v>26.666666666666668</v>
      </c>
      <c r="J15" s="5">
        <v>0</v>
      </c>
      <c r="K15" s="5">
        <v>4.5</v>
      </c>
      <c r="L15" s="5">
        <v>0</v>
      </c>
      <c r="M15" s="5">
        <v>0.16666666666666666</v>
      </c>
      <c r="O15" s="5">
        <f t="shared" si="0"/>
        <v>0</v>
      </c>
      <c r="P15" s="5">
        <f t="shared" si="0"/>
        <v>12.2</v>
      </c>
      <c r="Q15" s="5">
        <f t="shared" si="1"/>
        <v>0</v>
      </c>
      <c r="R15" s="5">
        <f t="shared" si="1"/>
        <v>14.149204924659195</v>
      </c>
    </row>
    <row r="16" spans="1:18" x14ac:dyDescent="0.3">
      <c r="A16" s="3">
        <v>13</v>
      </c>
      <c r="B16" s="5">
        <v>0</v>
      </c>
      <c r="C16" s="5">
        <v>35</v>
      </c>
      <c r="D16" s="5">
        <v>0</v>
      </c>
      <c r="E16" s="5">
        <v>20.5</v>
      </c>
      <c r="F16" s="5">
        <v>0</v>
      </c>
      <c r="G16" s="5">
        <v>0</v>
      </c>
      <c r="H16" s="5">
        <v>0</v>
      </c>
      <c r="I16" s="5">
        <v>21.333333333333332</v>
      </c>
      <c r="J16" s="5">
        <v>0</v>
      </c>
      <c r="K16" s="5">
        <v>1</v>
      </c>
      <c r="L16" s="5">
        <v>0</v>
      </c>
      <c r="M16" s="5">
        <v>0</v>
      </c>
      <c r="O16" s="5">
        <f t="shared" si="0"/>
        <v>0</v>
      </c>
      <c r="P16" s="5">
        <f t="shared" si="0"/>
        <v>12.972222222222221</v>
      </c>
      <c r="Q16" s="5">
        <f t="shared" si="1"/>
        <v>0</v>
      </c>
      <c r="R16" s="5">
        <f t="shared" si="1"/>
        <v>14.776263498021516</v>
      </c>
    </row>
    <row r="17" spans="1:18" x14ac:dyDescent="0.3">
      <c r="A17" s="3">
        <v>14</v>
      </c>
      <c r="B17" s="5">
        <v>0</v>
      </c>
      <c r="C17" s="5">
        <v>31.416666666666668</v>
      </c>
      <c r="D17" s="5">
        <v>0</v>
      </c>
      <c r="E17" s="5">
        <v>10.75</v>
      </c>
      <c r="F17" s="5">
        <v>0</v>
      </c>
      <c r="G17" s="5">
        <v>0</v>
      </c>
      <c r="H17" s="5">
        <v>0</v>
      </c>
      <c r="I17" s="5">
        <v>19.25</v>
      </c>
      <c r="J17" s="5">
        <v>0</v>
      </c>
      <c r="K17" s="5">
        <v>0</v>
      </c>
      <c r="L17" s="5">
        <v>0</v>
      </c>
      <c r="M17" s="5">
        <v>0</v>
      </c>
      <c r="O17" s="5">
        <f t="shared" si="0"/>
        <v>0</v>
      </c>
      <c r="P17" s="5">
        <f t="shared" si="0"/>
        <v>10.236111111111112</v>
      </c>
      <c r="Q17" s="5">
        <f t="shared" si="1"/>
        <v>0</v>
      </c>
      <c r="R17" s="5">
        <f t="shared" si="1"/>
        <v>12.995877195252119</v>
      </c>
    </row>
    <row r="18" spans="1:18" x14ac:dyDescent="0.3">
      <c r="A18" s="3">
        <v>15</v>
      </c>
      <c r="B18" s="5">
        <v>0</v>
      </c>
      <c r="C18" s="5">
        <v>26.666666666666668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16.583333333333332</v>
      </c>
      <c r="J18" s="5">
        <v>0</v>
      </c>
      <c r="K18" s="5">
        <v>0</v>
      </c>
      <c r="L18" s="5">
        <v>0</v>
      </c>
      <c r="M18" s="5">
        <v>0</v>
      </c>
      <c r="O18" s="5">
        <f t="shared" si="0"/>
        <v>0</v>
      </c>
      <c r="P18" s="5">
        <f t="shared" si="0"/>
        <v>7.208333333333333</v>
      </c>
      <c r="Q18" s="5">
        <f t="shared" si="1"/>
        <v>0</v>
      </c>
      <c r="R18" s="5">
        <f t="shared" si="1"/>
        <v>11.61342015849671</v>
      </c>
    </row>
    <row r="19" spans="1:18" x14ac:dyDescent="0.3">
      <c r="A19" s="3">
        <v>16</v>
      </c>
      <c r="B19" s="5">
        <v>0</v>
      </c>
      <c r="C19" s="5">
        <v>9.8333333333333339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5</v>
      </c>
      <c r="J19" s="5">
        <v>0</v>
      </c>
      <c r="K19" s="5">
        <v>0</v>
      </c>
      <c r="L19" s="5">
        <v>0</v>
      </c>
      <c r="M19" s="5">
        <v>0</v>
      </c>
      <c r="O19" s="5">
        <f t="shared" si="0"/>
        <v>0</v>
      </c>
      <c r="P19" s="5">
        <f t="shared" si="0"/>
        <v>2.4722222222222223</v>
      </c>
      <c r="Q19" s="5">
        <f t="shared" si="1"/>
        <v>0</v>
      </c>
      <c r="R19" s="5">
        <f t="shared" si="1"/>
        <v>4.1236670124574353</v>
      </c>
    </row>
    <row r="20" spans="1:18" x14ac:dyDescent="0.3">
      <c r="A20" s="3">
        <v>17</v>
      </c>
      <c r="B20" s="5">
        <v>0</v>
      </c>
      <c r="C20" s="5" t="s">
        <v>102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 t="s">
        <v>102</v>
      </c>
      <c r="J20" s="5">
        <v>0</v>
      </c>
      <c r="K20" s="5">
        <v>0</v>
      </c>
      <c r="L20" s="5">
        <v>0</v>
      </c>
      <c r="M20" s="5">
        <v>0</v>
      </c>
      <c r="O20" s="5">
        <f t="shared" si="0"/>
        <v>0</v>
      </c>
      <c r="P20" s="5">
        <f t="shared" si="0"/>
        <v>0</v>
      </c>
      <c r="Q20" s="5">
        <f t="shared" si="1"/>
        <v>0</v>
      </c>
      <c r="R20" s="5">
        <f t="shared" si="1"/>
        <v>0</v>
      </c>
    </row>
    <row r="21" spans="1:18" x14ac:dyDescent="0.3">
      <c r="A21" s="3">
        <v>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O21" s="5">
        <f t="shared" si="0"/>
        <v>0</v>
      </c>
      <c r="P21" s="5">
        <f t="shared" si="0"/>
        <v>0</v>
      </c>
      <c r="Q21" s="5">
        <f t="shared" si="1"/>
        <v>0</v>
      </c>
      <c r="R21" s="5">
        <f t="shared" si="1"/>
        <v>0</v>
      </c>
    </row>
  </sheetData>
  <mergeCells count="8">
    <mergeCell ref="Q1:R1"/>
    <mergeCell ref="O1:P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P9" sqref="P9"/>
    </sheetView>
  </sheetViews>
  <sheetFormatPr defaultRowHeight="15.6" x14ac:dyDescent="0.3"/>
  <cols>
    <col min="1" max="1" width="8.59765625" style="29" bestFit="1" customWidth="1"/>
    <col min="2" max="2" width="11.5" style="5" bestFit="1" customWidth="1"/>
    <col min="3" max="3" width="8.59765625" style="5" bestFit="1" customWidth="1"/>
    <col min="4" max="4" width="11.5" style="5" bestFit="1" customWidth="1"/>
    <col min="5" max="5" width="8.59765625" style="5" bestFit="1" customWidth="1"/>
    <col min="6" max="6" width="11.296875" style="5" bestFit="1" customWidth="1"/>
    <col min="7" max="7" width="8.59765625" style="5" bestFit="1" customWidth="1"/>
    <col min="8" max="8" width="11.296875" style="5" bestFit="1" customWidth="1"/>
    <col min="9" max="9" width="8.59765625" style="5" bestFit="1" customWidth="1"/>
    <col min="10" max="10" width="11.296875" style="5" bestFit="1" customWidth="1"/>
    <col min="11" max="11" width="8.59765625" style="5" bestFit="1" customWidth="1"/>
    <col min="13" max="13" width="11.296875" style="7" bestFit="1" customWidth="1"/>
    <col min="14" max="14" width="8.59765625" style="7" bestFit="1" customWidth="1"/>
    <col min="15" max="15" width="11.296875" bestFit="1" customWidth="1"/>
    <col min="16" max="16" width="8.59765625" bestFit="1" customWidth="1"/>
  </cols>
  <sheetData>
    <row r="1" spans="1:16" x14ac:dyDescent="0.3">
      <c r="A1" s="36" t="s">
        <v>115</v>
      </c>
      <c r="B1" s="24">
        <v>1</v>
      </c>
      <c r="C1" s="24"/>
      <c r="D1" s="24">
        <v>2</v>
      </c>
      <c r="E1" s="24"/>
      <c r="F1" s="24">
        <v>4</v>
      </c>
      <c r="G1" s="24"/>
      <c r="H1" s="24">
        <v>6</v>
      </c>
      <c r="I1" s="24"/>
      <c r="J1" s="34">
        <v>5</v>
      </c>
      <c r="K1" s="34"/>
      <c r="M1" s="24" t="s">
        <v>125</v>
      </c>
      <c r="N1" s="24"/>
      <c r="O1" s="24" t="s">
        <v>123</v>
      </c>
      <c r="P1" s="24"/>
    </row>
    <row r="2" spans="1:16" s="4" customFormat="1" x14ac:dyDescent="0.3">
      <c r="A2" s="28"/>
      <c r="B2" s="18" t="s">
        <v>2</v>
      </c>
      <c r="C2" s="18" t="s">
        <v>63</v>
      </c>
      <c r="D2" s="18" t="s">
        <v>2</v>
      </c>
      <c r="E2" s="18" t="s">
        <v>63</v>
      </c>
      <c r="F2" s="18" t="s">
        <v>2</v>
      </c>
      <c r="G2" s="18" t="s">
        <v>63</v>
      </c>
      <c r="H2" s="18" t="s">
        <v>2</v>
      </c>
      <c r="I2" s="18" t="s">
        <v>63</v>
      </c>
      <c r="J2" s="35" t="s">
        <v>2</v>
      </c>
      <c r="K2" s="35" t="s">
        <v>63</v>
      </c>
      <c r="L2" s="8"/>
      <c r="M2" s="18" t="s">
        <v>2</v>
      </c>
      <c r="N2" s="18" t="s">
        <v>63</v>
      </c>
      <c r="O2" s="18" t="s">
        <v>2</v>
      </c>
      <c r="P2" s="18" t="s">
        <v>63</v>
      </c>
    </row>
    <row r="3" spans="1:16" x14ac:dyDescent="0.3">
      <c r="A3" s="29">
        <v>0</v>
      </c>
      <c r="B3" s="5">
        <v>8.3333333333333339</v>
      </c>
      <c r="C3" s="5">
        <v>0.33333333333333331</v>
      </c>
      <c r="D3" s="5">
        <v>8.3333333333333339</v>
      </c>
      <c r="E3" s="5">
        <v>0.33333333333333331</v>
      </c>
      <c r="F3" s="5">
        <v>8.3333333333333339</v>
      </c>
      <c r="G3" s="5">
        <v>0.33333333333333331</v>
      </c>
      <c r="H3" s="5">
        <v>8.3333333333333339</v>
      </c>
      <c r="I3" s="5">
        <v>0.33333333333333331</v>
      </c>
      <c r="J3" s="15">
        <v>8.3333333333333339</v>
      </c>
      <c r="K3" s="15">
        <v>0.33333333333333331</v>
      </c>
      <c r="M3" s="5">
        <f>AVERAGE(F3,H3,D3,B3)</f>
        <v>8.3333333333333339</v>
      </c>
      <c r="N3" s="5">
        <f>AVERAGE(G3,I3,E3,C3)</f>
        <v>0.33333333333333331</v>
      </c>
      <c r="O3" s="5">
        <f>STDEV(B3,D3,H3,F3)</f>
        <v>0</v>
      </c>
      <c r="P3" s="5">
        <f>STDEV(C3,E3,I3,G3)</f>
        <v>0</v>
      </c>
    </row>
    <row r="4" spans="1:16" x14ac:dyDescent="0.3">
      <c r="A4" s="29">
        <v>1</v>
      </c>
      <c r="B4" s="5">
        <v>51.5</v>
      </c>
      <c r="C4" s="5">
        <v>0.33333333333333331</v>
      </c>
      <c r="D4" s="5">
        <v>48.5</v>
      </c>
      <c r="E4" s="5">
        <v>0.16666666666666666</v>
      </c>
      <c r="F4" s="5">
        <v>49.666666666666664</v>
      </c>
      <c r="G4" s="5">
        <v>0.33333333333333331</v>
      </c>
      <c r="H4" s="5">
        <v>51.833333333333336</v>
      </c>
      <c r="I4" s="5">
        <v>0.33333333333333331</v>
      </c>
      <c r="J4" s="15">
        <v>58.5</v>
      </c>
      <c r="K4" s="15">
        <v>0.33333333333333331</v>
      </c>
      <c r="M4" s="5">
        <f>AVERAGE(F4,H4,D4,B4)</f>
        <v>50.375</v>
      </c>
      <c r="N4" s="5">
        <f>AVERAGE(G4,I4,E4,C4)</f>
        <v>0.29166666666666663</v>
      </c>
      <c r="O4" s="5">
        <f t="shared" ref="O4:P21" si="0">STDEV(B4,D4,H4,F4)</f>
        <v>1.5715939066461828</v>
      </c>
      <c r="P4" s="5">
        <f t="shared" si="0"/>
        <v>8.3333333333333523E-2</v>
      </c>
    </row>
    <row r="5" spans="1:16" x14ac:dyDescent="0.3">
      <c r="A5" s="29">
        <v>2</v>
      </c>
      <c r="B5" s="5">
        <v>80</v>
      </c>
      <c r="C5" s="5">
        <v>0.33333333333333331</v>
      </c>
      <c r="D5" s="5">
        <v>70</v>
      </c>
      <c r="E5" s="5">
        <v>0.5</v>
      </c>
      <c r="F5" s="5">
        <v>110</v>
      </c>
      <c r="G5" s="5">
        <v>0.5</v>
      </c>
      <c r="H5" s="5">
        <v>60</v>
      </c>
      <c r="I5" s="5">
        <v>0.66666666666666663</v>
      </c>
      <c r="J5" s="15">
        <v>130</v>
      </c>
      <c r="K5" s="15">
        <v>0.33333333333333331</v>
      </c>
      <c r="M5" s="5">
        <f>AVERAGE(F5,H5,D5,B5)</f>
        <v>80</v>
      </c>
      <c r="N5" s="5">
        <f>AVERAGE(G5,I5,E5,C5)</f>
        <v>0.49999999999999994</v>
      </c>
      <c r="O5" s="5">
        <f t="shared" si="0"/>
        <v>21.602468994692867</v>
      </c>
      <c r="P5" s="5">
        <f t="shared" si="0"/>
        <v>0.13608276348795437</v>
      </c>
    </row>
    <row r="6" spans="1:16" x14ac:dyDescent="0.3">
      <c r="A6" s="29">
        <v>3</v>
      </c>
      <c r="B6" s="5" t="s">
        <v>102</v>
      </c>
      <c r="C6" s="5" t="s">
        <v>102</v>
      </c>
      <c r="D6" s="5" t="s">
        <v>102</v>
      </c>
      <c r="E6" s="5" t="s">
        <v>102</v>
      </c>
      <c r="F6" s="5" t="s">
        <v>102</v>
      </c>
      <c r="G6" s="5" t="s">
        <v>102</v>
      </c>
      <c r="H6" s="5" t="s">
        <v>102</v>
      </c>
      <c r="I6" s="5" t="s">
        <v>102</v>
      </c>
      <c r="J6" s="15" t="s">
        <v>102</v>
      </c>
      <c r="K6" s="15" t="s">
        <v>102</v>
      </c>
      <c r="M6" s="5"/>
      <c r="N6" s="5"/>
      <c r="O6" s="5"/>
      <c r="P6" s="5"/>
    </row>
    <row r="7" spans="1:16" x14ac:dyDescent="0.3">
      <c r="A7" s="29">
        <v>4</v>
      </c>
      <c r="B7" s="5">
        <v>100</v>
      </c>
      <c r="C7" s="5">
        <v>1.9166666666666667</v>
      </c>
      <c r="D7" s="5">
        <v>2.6666666666666665</v>
      </c>
      <c r="E7" s="5">
        <v>11.166666666666666</v>
      </c>
      <c r="F7" s="5">
        <v>27.083333333333332</v>
      </c>
      <c r="G7" s="5">
        <v>6.166666666666667</v>
      </c>
      <c r="H7" s="5">
        <v>5.833333333333333</v>
      </c>
      <c r="I7" s="5">
        <v>10.416666666666666</v>
      </c>
      <c r="J7" s="15">
        <v>170</v>
      </c>
      <c r="K7" s="15">
        <v>0</v>
      </c>
      <c r="M7" s="5">
        <f>AVERAGE(F7,H7,D7,B7)</f>
        <v>33.895833333333329</v>
      </c>
      <c r="N7" s="5">
        <f>AVERAGE(G7,I7,E7,C7)</f>
        <v>7.416666666666667</v>
      </c>
      <c r="O7" s="5">
        <f t="shared" si="0"/>
        <v>45.383314716199706</v>
      </c>
      <c r="P7" s="5">
        <f t="shared" si="0"/>
        <v>4.276875806785446</v>
      </c>
    </row>
    <row r="8" spans="1:16" x14ac:dyDescent="0.3">
      <c r="A8" s="29">
        <v>5</v>
      </c>
      <c r="B8" s="5">
        <v>30.5</v>
      </c>
      <c r="C8" s="5">
        <v>5.166666666666667</v>
      </c>
      <c r="D8" s="5">
        <v>0</v>
      </c>
      <c r="E8" s="5">
        <v>15.416666666666666</v>
      </c>
      <c r="F8" s="5">
        <v>0</v>
      </c>
      <c r="G8" s="5">
        <v>15.416666666666666</v>
      </c>
      <c r="H8" s="5">
        <v>0</v>
      </c>
      <c r="I8" s="5">
        <v>21.333333333333332</v>
      </c>
      <c r="J8" s="15">
        <v>105.66666666666667</v>
      </c>
      <c r="K8" s="15">
        <v>0</v>
      </c>
      <c r="M8" s="5">
        <f>AVERAGE(F8,H8,D8,B8)</f>
        <v>7.625</v>
      </c>
      <c r="N8" s="5">
        <f>AVERAGE(G8,I8,E8,C8)</f>
        <v>14.333333333333332</v>
      </c>
      <c r="O8" s="5">
        <f t="shared" si="0"/>
        <v>15.25</v>
      </c>
      <c r="P8" s="5">
        <f>STDEV(C8,E8,I8,G8)</f>
        <v>6.7175144212722042</v>
      </c>
    </row>
    <row r="9" spans="1:16" x14ac:dyDescent="0.3">
      <c r="A9" s="29">
        <v>6</v>
      </c>
      <c r="B9" s="5">
        <v>0</v>
      </c>
      <c r="C9" s="5">
        <v>21.5</v>
      </c>
      <c r="D9" s="5">
        <v>0</v>
      </c>
      <c r="E9" s="5">
        <v>10.916666666666666</v>
      </c>
      <c r="F9" s="5">
        <v>0</v>
      </c>
      <c r="G9" s="5">
        <v>16.5</v>
      </c>
      <c r="H9" s="5">
        <v>0</v>
      </c>
      <c r="I9" s="5">
        <v>16.75</v>
      </c>
      <c r="J9" s="15">
        <v>220</v>
      </c>
      <c r="K9" s="15">
        <v>1</v>
      </c>
      <c r="M9" s="5">
        <f>AVERAGE(F9,H9,D9,B9)</f>
        <v>0</v>
      </c>
      <c r="N9" s="5">
        <f>AVERAGE(G9,I9,E9,C9)</f>
        <v>16.416666666666664</v>
      </c>
      <c r="O9" s="5">
        <f t="shared" si="0"/>
        <v>0</v>
      </c>
      <c r="P9" s="5">
        <f t="shared" si="0"/>
        <v>4.3285229710735322</v>
      </c>
    </row>
    <row r="10" spans="1:16" x14ac:dyDescent="0.3">
      <c r="A10" s="29">
        <v>7</v>
      </c>
      <c r="B10" s="5">
        <v>0</v>
      </c>
      <c r="C10" s="5">
        <v>19.083333333333332</v>
      </c>
      <c r="D10" s="5">
        <v>0</v>
      </c>
      <c r="E10" s="5">
        <v>7.166666666666667</v>
      </c>
      <c r="F10" s="5">
        <v>0</v>
      </c>
      <c r="G10" s="5">
        <v>8.6666666666666661</v>
      </c>
      <c r="H10" s="5">
        <v>0</v>
      </c>
      <c r="I10" s="5">
        <v>10.666666666666666</v>
      </c>
      <c r="J10" s="15">
        <v>370</v>
      </c>
      <c r="K10" s="15">
        <v>2.9166666666666665</v>
      </c>
      <c r="M10" s="5">
        <f>AVERAGE(F10,H10,D10,B10)</f>
        <v>0</v>
      </c>
      <c r="N10" s="5">
        <f>AVERAGE(G10,I10,E10,C10)</f>
        <v>11.395833333333332</v>
      </c>
      <c r="O10" s="5">
        <f t="shared" si="0"/>
        <v>0</v>
      </c>
      <c r="P10" s="5">
        <f t="shared" si="0"/>
        <v>5.3217647970908653</v>
      </c>
    </row>
    <row r="11" spans="1:16" x14ac:dyDescent="0.3">
      <c r="A11" s="29">
        <v>8</v>
      </c>
      <c r="B11" s="5">
        <v>0</v>
      </c>
      <c r="C11" s="5">
        <v>12.333333333333334</v>
      </c>
      <c r="D11" s="5">
        <v>0</v>
      </c>
      <c r="E11" s="5">
        <v>2</v>
      </c>
      <c r="F11" s="5">
        <v>0</v>
      </c>
      <c r="G11" s="5">
        <v>6.833333333333333</v>
      </c>
      <c r="H11" s="5">
        <v>0</v>
      </c>
      <c r="I11" s="5">
        <v>3.1666666666666665</v>
      </c>
      <c r="J11" s="15">
        <v>240</v>
      </c>
      <c r="K11" s="15">
        <v>10</v>
      </c>
      <c r="M11" s="5">
        <f>AVERAGE(F11,H11,D11,B11)</f>
        <v>0</v>
      </c>
      <c r="N11" s="5">
        <f>AVERAGE(G11,I11,E11,C11)</f>
        <v>6.0833333333333339</v>
      </c>
      <c r="O11" s="5">
        <f t="shared" si="0"/>
        <v>0</v>
      </c>
      <c r="P11" s="5">
        <f t="shared" si="0"/>
        <v>4.6477792387173302</v>
      </c>
    </row>
    <row r="12" spans="1:16" x14ac:dyDescent="0.3">
      <c r="A12" s="29">
        <v>9</v>
      </c>
      <c r="B12" s="5">
        <v>0</v>
      </c>
      <c r="C12" s="5">
        <v>9.8333333333333339</v>
      </c>
      <c r="D12" s="5">
        <v>0</v>
      </c>
      <c r="E12" s="5">
        <v>0</v>
      </c>
      <c r="F12" s="5">
        <v>0</v>
      </c>
      <c r="G12" s="5">
        <v>0.83333333333333337</v>
      </c>
      <c r="H12" s="5">
        <v>0</v>
      </c>
      <c r="I12" s="5">
        <v>0.16666666666666666</v>
      </c>
      <c r="J12" s="15">
        <v>13.166666666666666</v>
      </c>
      <c r="K12" s="15">
        <v>34.666666666666664</v>
      </c>
      <c r="M12" s="5">
        <f>AVERAGE(F12,H12,D12,B12)</f>
        <v>0</v>
      </c>
      <c r="N12" s="5">
        <f>AVERAGE(G12,I12,E12,C12)</f>
        <v>2.7083333333333335</v>
      </c>
      <c r="O12" s="5">
        <f t="shared" si="0"/>
        <v>0</v>
      </c>
      <c r="P12" s="5">
        <f t="shared" si="0"/>
        <v>4.7636256810993904</v>
      </c>
    </row>
    <row r="13" spans="1:16" x14ac:dyDescent="0.3">
      <c r="A13" s="29">
        <v>10</v>
      </c>
      <c r="B13" s="5">
        <v>0</v>
      </c>
      <c r="C13" s="5">
        <v>3.8333333333333335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15">
        <v>0</v>
      </c>
      <c r="K13" s="15">
        <v>49.083333333333336</v>
      </c>
      <c r="M13" s="5">
        <f>AVERAGE(F13,H13,D13,B13)</f>
        <v>0</v>
      </c>
      <c r="N13" s="5">
        <f>AVERAGE(G13,I13,E13,C13)</f>
        <v>0.95833333333333337</v>
      </c>
      <c r="O13" s="5">
        <f t="shared" si="0"/>
        <v>0</v>
      </c>
      <c r="P13" s="5">
        <f t="shared" si="0"/>
        <v>1.916666666666667</v>
      </c>
    </row>
    <row r="14" spans="1:16" x14ac:dyDescent="0.3">
      <c r="A14" s="29">
        <v>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15">
        <v>0</v>
      </c>
      <c r="K14" s="15">
        <v>42.666666666666664</v>
      </c>
      <c r="M14" s="5">
        <f>AVERAGE(F14,H14,D14,B14)</f>
        <v>0</v>
      </c>
      <c r="N14" s="5">
        <f>AVERAGE(G14,I14,E14,C14)</f>
        <v>0</v>
      </c>
      <c r="O14" s="5">
        <f t="shared" si="0"/>
        <v>0</v>
      </c>
      <c r="P14" s="5">
        <f t="shared" si="0"/>
        <v>0</v>
      </c>
    </row>
    <row r="15" spans="1:16" x14ac:dyDescent="0.3">
      <c r="A15" s="29">
        <v>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15">
        <v>0</v>
      </c>
      <c r="K15" s="15" t="s">
        <v>102</v>
      </c>
      <c r="M15" s="5">
        <f>AVERAGE(F15,H15,D15,B15)</f>
        <v>0</v>
      </c>
      <c r="N15" s="5">
        <f>AVERAGE(G15,I15,E15,C15)</f>
        <v>0</v>
      </c>
      <c r="O15" s="5">
        <f t="shared" si="0"/>
        <v>0</v>
      </c>
      <c r="P15" s="5">
        <f t="shared" si="0"/>
        <v>0</v>
      </c>
    </row>
    <row r="16" spans="1:16" x14ac:dyDescent="0.3">
      <c r="A16" s="29">
        <v>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15">
        <v>0</v>
      </c>
      <c r="K16" s="15" t="s">
        <v>102</v>
      </c>
      <c r="M16" s="5">
        <f>AVERAGE(F16,H16,D16,B16)</f>
        <v>0</v>
      </c>
      <c r="N16" s="5">
        <f>AVERAGE(G16,I16,E16,C16)</f>
        <v>0</v>
      </c>
      <c r="O16" s="5">
        <f t="shared" si="0"/>
        <v>0</v>
      </c>
      <c r="P16" s="5">
        <f t="shared" si="0"/>
        <v>0</v>
      </c>
    </row>
    <row r="17" spans="1:16" x14ac:dyDescent="0.3">
      <c r="A17" s="29">
        <v>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15">
        <v>0</v>
      </c>
      <c r="K17" s="15">
        <v>0</v>
      </c>
      <c r="M17" s="5">
        <f>AVERAGE(F17,H17,D17,B17)</f>
        <v>0</v>
      </c>
      <c r="N17" s="5">
        <f>AVERAGE(G17,I17,E17,C17)</f>
        <v>0</v>
      </c>
      <c r="O17" s="5">
        <f t="shared" si="0"/>
        <v>0</v>
      </c>
      <c r="P17" s="5">
        <f t="shared" si="0"/>
        <v>0</v>
      </c>
    </row>
    <row r="18" spans="1:16" x14ac:dyDescent="0.3">
      <c r="A18" s="29">
        <v>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15">
        <v>0</v>
      </c>
      <c r="K18" s="15">
        <v>0</v>
      </c>
      <c r="M18" s="5">
        <f>AVERAGE(F18,H18,D18,B18)</f>
        <v>0</v>
      </c>
      <c r="N18" s="5">
        <f>AVERAGE(G18,I18,E18,C18)</f>
        <v>0</v>
      </c>
      <c r="O18" s="5">
        <f t="shared" si="0"/>
        <v>0</v>
      </c>
      <c r="P18" s="5">
        <f t="shared" si="0"/>
        <v>0</v>
      </c>
    </row>
    <row r="19" spans="1:16" x14ac:dyDescent="0.3">
      <c r="A19" s="29">
        <v>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15">
        <v>0</v>
      </c>
      <c r="K19" s="15">
        <v>0</v>
      </c>
      <c r="M19" s="5">
        <f>AVERAGE(F19,H19,D19,B19)</f>
        <v>0</v>
      </c>
      <c r="N19" s="5">
        <f>AVERAGE(G19,I19,E19,C19)</f>
        <v>0</v>
      </c>
      <c r="O19" s="5">
        <f t="shared" si="0"/>
        <v>0</v>
      </c>
      <c r="P19" s="5">
        <f t="shared" si="0"/>
        <v>0</v>
      </c>
    </row>
    <row r="20" spans="1:16" x14ac:dyDescent="0.3">
      <c r="A20" s="29">
        <v>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15">
        <v>0</v>
      </c>
      <c r="K20" s="15">
        <v>0</v>
      </c>
      <c r="M20" s="5">
        <f>AVERAGE(F20,H20,D20,B20)</f>
        <v>0</v>
      </c>
      <c r="N20" s="5">
        <f>AVERAGE(G20,I20,E20,C20)</f>
        <v>0</v>
      </c>
      <c r="O20" s="5">
        <f t="shared" si="0"/>
        <v>0</v>
      </c>
      <c r="P20" s="5">
        <f t="shared" si="0"/>
        <v>0</v>
      </c>
    </row>
    <row r="21" spans="1:16" x14ac:dyDescent="0.3">
      <c r="A21" s="29">
        <v>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15">
        <v>0</v>
      </c>
      <c r="K21" s="15">
        <v>0</v>
      </c>
      <c r="M21" s="5">
        <f>AVERAGE(F21,H21,D21,B21)</f>
        <v>0</v>
      </c>
      <c r="N21" s="5">
        <f>AVERAGE(G21,I21,E21,C21)</f>
        <v>0</v>
      </c>
      <c r="O21" s="5">
        <f t="shared" si="0"/>
        <v>0</v>
      </c>
      <c r="P21" s="5">
        <f t="shared" si="0"/>
        <v>0</v>
      </c>
    </row>
    <row r="22" spans="1:16" x14ac:dyDescent="0.3">
      <c r="J22" s="15"/>
      <c r="K22" s="15"/>
    </row>
    <row r="23" spans="1:16" ht="15.6" customHeight="1" x14ac:dyDescent="0.3">
      <c r="J23" s="37" t="s">
        <v>126</v>
      </c>
      <c r="K23" s="38"/>
    </row>
    <row r="24" spans="1:16" x14ac:dyDescent="0.3">
      <c r="J24" s="39"/>
      <c r="K24" s="40"/>
    </row>
    <row r="25" spans="1:16" x14ac:dyDescent="0.3">
      <c r="J25" s="41"/>
      <c r="K25" s="42"/>
    </row>
  </sheetData>
  <mergeCells count="8">
    <mergeCell ref="J23:K25"/>
    <mergeCell ref="D1:E1"/>
    <mergeCell ref="B1:C1"/>
    <mergeCell ref="M1:N1"/>
    <mergeCell ref="F1:G1"/>
    <mergeCell ref="H1:I1"/>
    <mergeCell ref="J1:K1"/>
    <mergeCell ref="O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N9" sqref="N9"/>
    </sheetView>
  </sheetViews>
  <sheetFormatPr defaultRowHeight="15.6" x14ac:dyDescent="0.3"/>
  <cols>
    <col min="1" max="1" width="8.59765625" style="3" bestFit="1" customWidth="1"/>
    <col min="2" max="2" width="11.296875" style="5" bestFit="1" customWidth="1"/>
    <col min="3" max="3" width="8.59765625" style="5" bestFit="1" customWidth="1"/>
    <col min="4" max="4" width="11.296875" style="5" bestFit="1" customWidth="1"/>
    <col min="5" max="5" width="8.59765625" style="5" bestFit="1" customWidth="1"/>
    <col min="6" max="6" width="11.296875" style="5" bestFit="1" customWidth="1"/>
    <col min="7" max="7" width="8.59765625" style="5" bestFit="1" customWidth="1"/>
    <col min="8" max="8" width="11.296875" style="5" bestFit="1" customWidth="1"/>
    <col min="9" max="9" width="8.59765625" style="5" bestFit="1" customWidth="1"/>
    <col min="10" max="10" width="11.296875" style="5" bestFit="1" customWidth="1"/>
    <col min="11" max="11" width="8.59765625" style="5" bestFit="1" customWidth="1"/>
    <col min="13" max="13" width="11.296875" style="7" bestFit="1" customWidth="1"/>
    <col min="14" max="14" width="8.59765625" style="7" bestFit="1" customWidth="1"/>
    <col min="15" max="15" width="11.296875" bestFit="1" customWidth="1"/>
    <col min="16" max="16" width="8.59765625" bestFit="1" customWidth="1"/>
  </cols>
  <sheetData>
    <row r="1" spans="1:16" x14ac:dyDescent="0.3">
      <c r="A1" s="19" t="s">
        <v>115</v>
      </c>
      <c r="B1" s="24">
        <v>1</v>
      </c>
      <c r="C1" s="24"/>
      <c r="D1" s="24">
        <v>2</v>
      </c>
      <c r="E1" s="24"/>
      <c r="F1" s="24">
        <v>4</v>
      </c>
      <c r="G1" s="24"/>
      <c r="H1" s="24">
        <v>5</v>
      </c>
      <c r="I1" s="24"/>
      <c r="J1" s="24">
        <v>6</v>
      </c>
      <c r="K1" s="24"/>
      <c r="M1" s="24" t="s">
        <v>116</v>
      </c>
      <c r="N1" s="24"/>
      <c r="O1" s="24" t="s">
        <v>123</v>
      </c>
      <c r="P1" s="24"/>
    </row>
    <row r="2" spans="1:16" s="4" customFormat="1" x14ac:dyDescent="0.3">
      <c r="A2" s="18" t="s">
        <v>114</v>
      </c>
      <c r="B2" s="18" t="s">
        <v>2</v>
      </c>
      <c r="C2" s="18" t="s">
        <v>63</v>
      </c>
      <c r="D2" s="18" t="s">
        <v>2</v>
      </c>
      <c r="E2" s="18" t="s">
        <v>63</v>
      </c>
      <c r="F2" s="18" t="s">
        <v>2</v>
      </c>
      <c r="G2" s="18" t="s">
        <v>63</v>
      </c>
      <c r="H2" s="18" t="s">
        <v>2</v>
      </c>
      <c r="I2" s="18" t="s">
        <v>63</v>
      </c>
      <c r="J2" s="18" t="s">
        <v>2</v>
      </c>
      <c r="K2" s="18" t="s">
        <v>63</v>
      </c>
      <c r="M2" s="18" t="s">
        <v>2</v>
      </c>
      <c r="N2" s="18" t="s">
        <v>63</v>
      </c>
      <c r="O2" s="18" t="s">
        <v>2</v>
      </c>
      <c r="P2" s="18" t="s">
        <v>63</v>
      </c>
    </row>
    <row r="3" spans="1:16" x14ac:dyDescent="0.3">
      <c r="A3" s="3">
        <v>0</v>
      </c>
      <c r="B3" s="5">
        <v>8.3333333333333339</v>
      </c>
      <c r="C3" s="5">
        <v>0.33333333333333331</v>
      </c>
      <c r="D3" s="5">
        <v>8.3333333333333339</v>
      </c>
      <c r="E3" s="5">
        <v>0.33333333333333331</v>
      </c>
      <c r="F3" s="5">
        <v>8.3333333333333339</v>
      </c>
      <c r="G3" s="5">
        <v>0.33333333333333331</v>
      </c>
      <c r="H3" s="5">
        <v>8.3333333333333339</v>
      </c>
      <c r="I3" s="5">
        <v>0.33333333333333331</v>
      </c>
      <c r="J3" s="5">
        <v>8.3333333333333339</v>
      </c>
      <c r="K3" s="5">
        <v>0.33333333333333331</v>
      </c>
      <c r="M3" s="5">
        <f>AVERAGE(B3,D3,F3,H3,J3)</f>
        <v>8.3333333333333339</v>
      </c>
      <c r="N3" s="5">
        <f>AVERAGE(C3,E3,G3,I3,K3)</f>
        <v>0.33333333333333331</v>
      </c>
      <c r="O3" s="5">
        <f>STDEV(D3,F3,H3,J3,B3)</f>
        <v>0</v>
      </c>
      <c r="P3" s="5">
        <f>STDEV(E3,G3,I3,K3,C3)</f>
        <v>0</v>
      </c>
    </row>
    <row r="4" spans="1:16" x14ac:dyDescent="0.3">
      <c r="A4" s="3">
        <v>1</v>
      </c>
      <c r="B4" s="5">
        <v>77.666666666666671</v>
      </c>
      <c r="C4" s="5">
        <v>0.33333333333333331</v>
      </c>
      <c r="D4" s="5">
        <v>51.5</v>
      </c>
      <c r="E4" s="5">
        <v>0.5</v>
      </c>
      <c r="F4" s="5">
        <v>71.333333333333329</v>
      </c>
      <c r="G4" s="5">
        <v>0.5</v>
      </c>
      <c r="H4" s="5">
        <v>78</v>
      </c>
      <c r="I4" s="5">
        <v>0.5</v>
      </c>
      <c r="J4" s="5">
        <v>80</v>
      </c>
      <c r="K4" s="5">
        <v>0.5</v>
      </c>
      <c r="M4" s="5">
        <f t="shared" ref="M4:N21" si="0">AVERAGE(B4,D4,F4,H4,J4)</f>
        <v>71.7</v>
      </c>
      <c r="N4" s="5">
        <f t="shared" si="0"/>
        <v>0.46666666666666662</v>
      </c>
      <c r="O4" s="5">
        <f t="shared" ref="O4:P21" si="1">STDEV(D4,F4,H4,J4,B4)</f>
        <v>11.751122877788719</v>
      </c>
      <c r="P4" s="5">
        <f t="shared" si="1"/>
        <v>7.4535599249992854E-2</v>
      </c>
    </row>
    <row r="5" spans="1:16" x14ac:dyDescent="0.3">
      <c r="A5" s="3">
        <v>2</v>
      </c>
      <c r="B5" s="5">
        <v>160</v>
      </c>
      <c r="C5" s="5">
        <v>0.16666666666666666</v>
      </c>
      <c r="D5" s="5">
        <v>60</v>
      </c>
      <c r="E5" s="5">
        <v>1.1666666666666667</v>
      </c>
      <c r="F5" s="5">
        <v>40</v>
      </c>
      <c r="G5" s="5">
        <v>1.8333333333333333</v>
      </c>
      <c r="H5" s="5">
        <v>140</v>
      </c>
      <c r="I5" s="5">
        <v>1.8333333333333333</v>
      </c>
      <c r="J5" s="5">
        <v>60</v>
      </c>
      <c r="K5" s="5">
        <v>1.3333333333333333</v>
      </c>
      <c r="M5" s="5">
        <f t="shared" si="0"/>
        <v>92</v>
      </c>
      <c r="N5" s="5">
        <f t="shared" si="0"/>
        <v>1.2666666666666666</v>
      </c>
      <c r="O5" s="5">
        <f t="shared" si="1"/>
        <v>54.037024344425184</v>
      </c>
      <c r="P5" s="5">
        <f t="shared" si="1"/>
        <v>0.68313005106397329</v>
      </c>
    </row>
    <row r="6" spans="1:16" x14ac:dyDescent="0.3">
      <c r="A6" s="3">
        <v>3</v>
      </c>
      <c r="B6" s="5">
        <v>84.166666666666671</v>
      </c>
      <c r="C6" s="5">
        <v>0.5</v>
      </c>
      <c r="D6" s="5">
        <v>67.5</v>
      </c>
      <c r="E6" s="5">
        <v>2.8333333333333335</v>
      </c>
      <c r="F6" s="5">
        <v>2.3333333333333335</v>
      </c>
      <c r="G6" s="5">
        <v>11.666666666666666</v>
      </c>
      <c r="H6" s="5">
        <v>18.583333333333332</v>
      </c>
      <c r="I6" s="5">
        <v>9.9166666666666661</v>
      </c>
      <c r="J6" s="5">
        <v>43.083333333333336</v>
      </c>
      <c r="K6" s="5">
        <v>5.916666666666667</v>
      </c>
      <c r="M6" s="5">
        <f t="shared" si="0"/>
        <v>43.13333333333334</v>
      </c>
      <c r="N6" s="5">
        <f t="shared" si="0"/>
        <v>6.1666666666666661</v>
      </c>
      <c r="O6" s="5">
        <f t="shared" si="1"/>
        <v>33.707617421322169</v>
      </c>
      <c r="P6" s="5">
        <f t="shared" si="1"/>
        <v>4.6796693852830629</v>
      </c>
    </row>
    <row r="7" spans="1:16" x14ac:dyDescent="0.3">
      <c r="A7" s="3">
        <v>4</v>
      </c>
      <c r="B7" s="5">
        <v>50</v>
      </c>
      <c r="C7" s="5">
        <v>1.75</v>
      </c>
      <c r="D7" s="5">
        <v>9.8333333333333339</v>
      </c>
      <c r="E7" s="5">
        <v>8.4166666666666661</v>
      </c>
      <c r="F7" s="5">
        <v>0</v>
      </c>
      <c r="G7" s="5">
        <v>15</v>
      </c>
      <c r="H7" s="5">
        <v>0</v>
      </c>
      <c r="I7" s="5">
        <v>19.333333333333332</v>
      </c>
      <c r="J7" s="5">
        <v>0.16666666666666666</v>
      </c>
      <c r="K7" s="5">
        <v>17.083333333333332</v>
      </c>
      <c r="M7" s="5">
        <f t="shared" si="0"/>
        <v>12</v>
      </c>
      <c r="N7" s="5">
        <f t="shared" si="0"/>
        <v>12.316666666666666</v>
      </c>
      <c r="O7" s="5">
        <f>STDEV(D7,F7,H7,J7,B7)</f>
        <v>21.66057606702914</v>
      </c>
      <c r="P7" s="5">
        <f t="shared" si="1"/>
        <v>7.1766887288714907</v>
      </c>
    </row>
    <row r="8" spans="1:16" x14ac:dyDescent="0.3">
      <c r="A8" s="3">
        <v>5</v>
      </c>
      <c r="B8" s="5">
        <v>19.833333333333332</v>
      </c>
      <c r="C8" s="5">
        <v>9.5833333333333339</v>
      </c>
      <c r="D8" s="5">
        <v>0</v>
      </c>
      <c r="E8" s="5">
        <v>17</v>
      </c>
      <c r="F8" s="5">
        <v>0</v>
      </c>
      <c r="G8" s="5">
        <v>10.5</v>
      </c>
      <c r="H8" s="5">
        <v>0</v>
      </c>
      <c r="I8" s="5">
        <v>16.416666666666668</v>
      </c>
      <c r="J8" s="5">
        <v>0</v>
      </c>
      <c r="K8" s="5">
        <v>15.916666666666666</v>
      </c>
      <c r="M8" s="5">
        <f t="shared" si="0"/>
        <v>3.9666666666666663</v>
      </c>
      <c r="N8" s="5">
        <f>AVERAGE(C8,E8,G8,I8,K8)</f>
        <v>13.883333333333335</v>
      </c>
      <c r="O8" s="5">
        <f t="shared" si="1"/>
        <v>8.8697363107491647</v>
      </c>
      <c r="P8" s="5">
        <f t="shared" si="1"/>
        <v>3.5426959288717383</v>
      </c>
    </row>
    <row r="9" spans="1:16" x14ac:dyDescent="0.3">
      <c r="A9" s="3">
        <v>6</v>
      </c>
      <c r="B9" s="5">
        <v>0</v>
      </c>
      <c r="C9" s="5">
        <v>20.75</v>
      </c>
      <c r="D9" s="5">
        <v>0</v>
      </c>
      <c r="E9" s="5">
        <v>12.083333333333334</v>
      </c>
      <c r="F9" s="5">
        <v>0</v>
      </c>
      <c r="G9" s="5">
        <v>6.333333333333333</v>
      </c>
      <c r="H9" s="5">
        <v>0</v>
      </c>
      <c r="I9" s="5">
        <v>12.916666666666666</v>
      </c>
      <c r="J9" s="5">
        <v>0</v>
      </c>
      <c r="K9" s="5">
        <v>14.75</v>
      </c>
      <c r="M9" s="5">
        <f t="shared" si="0"/>
        <v>0</v>
      </c>
      <c r="N9" s="5">
        <f t="shared" si="0"/>
        <v>13.366666666666669</v>
      </c>
      <c r="O9" s="5">
        <f t="shared" si="1"/>
        <v>0</v>
      </c>
      <c r="P9" s="5">
        <f t="shared" si="1"/>
        <v>5.1900010704344801</v>
      </c>
    </row>
    <row r="10" spans="1:16" x14ac:dyDescent="0.3">
      <c r="A10" s="3">
        <v>7</v>
      </c>
      <c r="B10" s="5">
        <v>0</v>
      </c>
      <c r="C10" s="5">
        <v>14.666666666666666</v>
      </c>
      <c r="D10" s="5">
        <v>0</v>
      </c>
      <c r="E10" s="5">
        <v>9.6666666666666661</v>
      </c>
      <c r="F10" s="5">
        <v>0</v>
      </c>
      <c r="G10" s="5">
        <v>0.83333333333333337</v>
      </c>
      <c r="H10" s="5">
        <v>0</v>
      </c>
      <c r="I10" s="5">
        <v>3.75</v>
      </c>
      <c r="J10" s="5">
        <v>0</v>
      </c>
      <c r="K10" s="5">
        <v>2.9166666666666665</v>
      </c>
      <c r="M10" s="5">
        <f t="shared" si="0"/>
        <v>0</v>
      </c>
      <c r="N10" s="5">
        <f t="shared" si="0"/>
        <v>6.3666666666666663</v>
      </c>
      <c r="O10" s="5">
        <f t="shared" si="1"/>
        <v>0</v>
      </c>
      <c r="P10" s="5">
        <f t="shared" si="1"/>
        <v>5.6821479702270627</v>
      </c>
    </row>
    <row r="11" spans="1:16" x14ac:dyDescent="0.3">
      <c r="A11" s="3">
        <v>8</v>
      </c>
      <c r="B11" s="5">
        <v>0</v>
      </c>
      <c r="C11" s="5">
        <v>12</v>
      </c>
      <c r="D11" s="5">
        <v>0</v>
      </c>
      <c r="E11" s="5">
        <v>0.33333333333333331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M11" s="5">
        <f t="shared" si="0"/>
        <v>0</v>
      </c>
      <c r="N11" s="5">
        <f t="shared" si="0"/>
        <v>2.4666666666666668</v>
      </c>
      <c r="O11" s="5">
        <f t="shared" si="1"/>
        <v>0</v>
      </c>
      <c r="P11" s="5">
        <f t="shared" si="1"/>
        <v>5.3312495929399351</v>
      </c>
    </row>
    <row r="12" spans="1:16" x14ac:dyDescent="0.3">
      <c r="A12" s="3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M12" s="5">
        <f t="shared" si="0"/>
        <v>0</v>
      </c>
      <c r="N12" s="5">
        <f t="shared" si="0"/>
        <v>0</v>
      </c>
      <c r="O12" s="5">
        <f t="shared" si="1"/>
        <v>0</v>
      </c>
      <c r="P12" s="5">
        <f t="shared" si="1"/>
        <v>0</v>
      </c>
    </row>
    <row r="13" spans="1:16" x14ac:dyDescent="0.3">
      <c r="A13" s="3">
        <v>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M13" s="5">
        <f t="shared" si="0"/>
        <v>0</v>
      </c>
      <c r="N13" s="5">
        <f t="shared" si="0"/>
        <v>0</v>
      </c>
      <c r="O13" s="5">
        <f t="shared" si="1"/>
        <v>0</v>
      </c>
      <c r="P13" s="5">
        <f t="shared" si="1"/>
        <v>0</v>
      </c>
    </row>
    <row r="14" spans="1:16" x14ac:dyDescent="0.3">
      <c r="A14" s="3">
        <v>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M14" s="5">
        <f t="shared" si="0"/>
        <v>0</v>
      </c>
      <c r="N14" s="5">
        <f t="shared" si="0"/>
        <v>0</v>
      </c>
      <c r="O14" s="5">
        <f t="shared" si="1"/>
        <v>0</v>
      </c>
      <c r="P14" s="5">
        <f t="shared" si="1"/>
        <v>0</v>
      </c>
    </row>
    <row r="15" spans="1:16" x14ac:dyDescent="0.3">
      <c r="A15" s="3">
        <v>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M15" s="5">
        <f t="shared" si="0"/>
        <v>0</v>
      </c>
      <c r="N15" s="5">
        <f t="shared" si="0"/>
        <v>0</v>
      </c>
      <c r="O15" s="5">
        <f t="shared" si="1"/>
        <v>0</v>
      </c>
      <c r="P15" s="5">
        <f t="shared" si="1"/>
        <v>0</v>
      </c>
    </row>
    <row r="16" spans="1:16" x14ac:dyDescent="0.3">
      <c r="A16" s="3">
        <v>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M16" s="5">
        <f t="shared" si="0"/>
        <v>0</v>
      </c>
      <c r="N16" s="5">
        <f t="shared" si="0"/>
        <v>0</v>
      </c>
      <c r="O16" s="5">
        <f t="shared" si="1"/>
        <v>0</v>
      </c>
      <c r="P16" s="5">
        <f t="shared" si="1"/>
        <v>0</v>
      </c>
    </row>
    <row r="17" spans="1:16" x14ac:dyDescent="0.3">
      <c r="A17" s="3">
        <v>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M17" s="5">
        <f t="shared" si="0"/>
        <v>0</v>
      </c>
      <c r="N17" s="5">
        <f t="shared" si="0"/>
        <v>0</v>
      </c>
      <c r="O17" s="5">
        <f t="shared" si="1"/>
        <v>0</v>
      </c>
      <c r="P17" s="5">
        <f t="shared" si="1"/>
        <v>0</v>
      </c>
    </row>
    <row r="18" spans="1:16" x14ac:dyDescent="0.3">
      <c r="A18" s="3">
        <v>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M18" s="5">
        <f t="shared" si="0"/>
        <v>0</v>
      </c>
      <c r="N18" s="5">
        <f t="shared" si="0"/>
        <v>0</v>
      </c>
      <c r="O18" s="5">
        <f t="shared" si="1"/>
        <v>0</v>
      </c>
      <c r="P18" s="5">
        <f t="shared" si="1"/>
        <v>0</v>
      </c>
    </row>
    <row r="19" spans="1:16" x14ac:dyDescent="0.3">
      <c r="A19" s="3">
        <v>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M19" s="5">
        <f t="shared" si="0"/>
        <v>0</v>
      </c>
      <c r="N19" s="5">
        <f t="shared" si="0"/>
        <v>0</v>
      </c>
      <c r="O19" s="5">
        <f t="shared" si="1"/>
        <v>0</v>
      </c>
      <c r="P19" s="5">
        <f t="shared" si="1"/>
        <v>0</v>
      </c>
    </row>
    <row r="20" spans="1:16" x14ac:dyDescent="0.3">
      <c r="A20" s="3">
        <v>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M20" s="5">
        <f t="shared" si="0"/>
        <v>0</v>
      </c>
      <c r="N20" s="5">
        <f t="shared" si="0"/>
        <v>0</v>
      </c>
      <c r="O20" s="5">
        <f t="shared" si="1"/>
        <v>0</v>
      </c>
      <c r="P20" s="5">
        <f t="shared" si="1"/>
        <v>0</v>
      </c>
    </row>
    <row r="21" spans="1:16" x14ac:dyDescent="0.3">
      <c r="A21" s="3">
        <v>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M21" s="5">
        <f t="shared" si="0"/>
        <v>0</v>
      </c>
      <c r="N21" s="5">
        <f t="shared" si="0"/>
        <v>0</v>
      </c>
      <c r="O21" s="5">
        <f t="shared" si="1"/>
        <v>0</v>
      </c>
      <c r="P21" s="5">
        <f t="shared" si="1"/>
        <v>0</v>
      </c>
    </row>
  </sheetData>
  <mergeCells count="7">
    <mergeCell ref="B1:C1"/>
    <mergeCell ref="O1:P1"/>
    <mergeCell ref="M1:N1"/>
    <mergeCell ref="J1:K1"/>
    <mergeCell ref="H1:I1"/>
    <mergeCell ref="F1:G1"/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P10" sqref="P10"/>
    </sheetView>
  </sheetViews>
  <sheetFormatPr defaultRowHeight="15.6" x14ac:dyDescent="0.3"/>
  <cols>
    <col min="1" max="1" width="8.59765625" style="3" bestFit="1" customWidth="1"/>
    <col min="2" max="2" width="11.296875" style="5" bestFit="1" customWidth="1"/>
    <col min="3" max="3" width="8.59765625" style="5" bestFit="1" customWidth="1"/>
    <col min="4" max="4" width="11.296875" style="5" bestFit="1" customWidth="1"/>
    <col min="5" max="5" width="8.59765625" style="5" bestFit="1" customWidth="1"/>
    <col min="6" max="6" width="11.296875" style="5" bestFit="1" customWidth="1"/>
    <col min="7" max="7" width="8.59765625" style="5" bestFit="1" customWidth="1"/>
    <col min="8" max="8" width="11.296875" style="5" bestFit="1" customWidth="1"/>
    <col min="9" max="9" width="8.59765625" style="5" bestFit="1" customWidth="1"/>
    <col min="10" max="10" width="11.296875" style="5" bestFit="1" customWidth="1"/>
    <col min="11" max="11" width="8.59765625" style="5" bestFit="1" customWidth="1"/>
    <col min="12" max="12" width="11.296875" style="5" bestFit="1" customWidth="1"/>
    <col min="13" max="13" width="8.59765625" style="5" bestFit="1" customWidth="1"/>
    <col min="15" max="15" width="11.296875" bestFit="1" customWidth="1"/>
    <col min="16" max="16" width="8.59765625" bestFit="1" customWidth="1"/>
    <col min="17" max="17" width="11.296875" bestFit="1" customWidth="1"/>
    <col min="18" max="18" width="8.59765625" bestFit="1" customWidth="1"/>
  </cols>
  <sheetData>
    <row r="1" spans="1:18" x14ac:dyDescent="0.3">
      <c r="A1" s="19" t="s">
        <v>115</v>
      </c>
      <c r="B1" s="25">
        <v>1</v>
      </c>
      <c r="C1" s="25"/>
      <c r="D1" s="25">
        <v>2</v>
      </c>
      <c r="E1" s="25"/>
      <c r="F1" s="25">
        <v>3</v>
      </c>
      <c r="G1" s="25"/>
      <c r="H1" s="25">
        <v>4</v>
      </c>
      <c r="I1" s="25"/>
      <c r="J1" s="25">
        <v>5</v>
      </c>
      <c r="K1" s="25"/>
      <c r="L1" s="25">
        <v>6</v>
      </c>
      <c r="M1" s="25"/>
      <c r="O1" s="24" t="s">
        <v>116</v>
      </c>
      <c r="P1" s="24"/>
      <c r="Q1" s="24" t="s">
        <v>123</v>
      </c>
      <c r="R1" s="24"/>
    </row>
    <row r="2" spans="1:18" s="4" customFormat="1" x14ac:dyDescent="0.3">
      <c r="A2" s="18" t="s">
        <v>114</v>
      </c>
      <c r="B2" s="18" t="s">
        <v>2</v>
      </c>
      <c r="C2" s="18" t="s">
        <v>63</v>
      </c>
      <c r="D2" s="18" t="s">
        <v>2</v>
      </c>
      <c r="E2" s="18" t="s">
        <v>63</v>
      </c>
      <c r="F2" s="18" t="s">
        <v>2</v>
      </c>
      <c r="G2" s="18" t="s">
        <v>63</v>
      </c>
      <c r="H2" s="18" t="s">
        <v>2</v>
      </c>
      <c r="I2" s="18" t="s">
        <v>63</v>
      </c>
      <c r="J2" s="18" t="s">
        <v>2</v>
      </c>
      <c r="K2" s="18" t="s">
        <v>63</v>
      </c>
      <c r="L2" s="18" t="s">
        <v>2</v>
      </c>
      <c r="M2" s="18" t="s">
        <v>63</v>
      </c>
      <c r="O2" s="18" t="s">
        <v>2</v>
      </c>
      <c r="P2" s="18" t="s">
        <v>63</v>
      </c>
      <c r="Q2" s="18" t="s">
        <v>2</v>
      </c>
      <c r="R2" s="18" t="s">
        <v>63</v>
      </c>
    </row>
    <row r="3" spans="1:18" x14ac:dyDescent="0.3">
      <c r="A3" s="3">
        <v>0</v>
      </c>
      <c r="B3" s="5">
        <v>8.3333333333333339</v>
      </c>
      <c r="C3" s="5">
        <v>0.33333333333333331</v>
      </c>
      <c r="D3" s="5">
        <v>8.3333333333333339</v>
      </c>
      <c r="E3" s="5">
        <v>0.33333333333333331</v>
      </c>
      <c r="F3" s="5">
        <v>8.3333333333333339</v>
      </c>
      <c r="G3" s="5">
        <v>0.33333333333333331</v>
      </c>
      <c r="H3" s="5">
        <v>8.3333333333333339</v>
      </c>
      <c r="I3" s="5">
        <v>0.33333333333333331</v>
      </c>
      <c r="J3" s="5">
        <v>8.3333333333333339</v>
      </c>
      <c r="K3" s="5">
        <v>0.33333333333333331</v>
      </c>
      <c r="L3" s="5">
        <v>8.3333333333333339</v>
      </c>
      <c r="M3" s="5">
        <v>0.33333333333333331</v>
      </c>
      <c r="O3" s="5">
        <f>AVERAGE(B3,D3,F3,H3,J3,L3)</f>
        <v>8.3333333333333339</v>
      </c>
      <c r="P3" s="5">
        <f>AVERAGE(C3,E3,G3,I3,K3,M3)</f>
        <v>0.33333333333333331</v>
      </c>
      <c r="Q3" s="5">
        <f>STDEV(D3,F3,H3,J3,L3,B3)</f>
        <v>0</v>
      </c>
      <c r="R3" s="5">
        <f>STDEV(E3,G3,I3,K3,M3,C3)</f>
        <v>0</v>
      </c>
    </row>
    <row r="4" spans="1:18" x14ac:dyDescent="0.3">
      <c r="A4" s="3">
        <v>1</v>
      </c>
      <c r="B4" s="5">
        <v>71.166666666666671</v>
      </c>
      <c r="C4" s="5">
        <v>0.66666666666666663</v>
      </c>
      <c r="D4" s="5">
        <v>64.333333333333329</v>
      </c>
      <c r="E4" s="5">
        <v>0.33333333333333331</v>
      </c>
      <c r="F4" s="5">
        <v>69.5</v>
      </c>
      <c r="G4" s="5">
        <v>0.66666666666666663</v>
      </c>
      <c r="H4" s="5">
        <v>59.333333333333336</v>
      </c>
      <c r="I4" s="5">
        <v>0.33333333333333331</v>
      </c>
      <c r="J4" s="5">
        <v>70.5</v>
      </c>
      <c r="K4" s="5">
        <v>0.33333333333333331</v>
      </c>
      <c r="L4" s="5">
        <v>53.333333333333336</v>
      </c>
      <c r="M4" s="5">
        <v>0.5</v>
      </c>
      <c r="O4" s="5">
        <f t="shared" ref="O4:P21" si="0">AVERAGE(B4,D4,F4,H4,J4,L4)</f>
        <v>64.694444444444443</v>
      </c>
      <c r="P4" s="5">
        <f t="shared" si="0"/>
        <v>0.47222222222222215</v>
      </c>
      <c r="Q4" s="5">
        <f t="shared" ref="Q4:R21" si="1">STDEV(D4,F4,H4,J4,L4,B4)</f>
        <v>7.1642760870762476</v>
      </c>
      <c r="R4" s="5">
        <f t="shared" si="1"/>
        <v>0.16386534670836267</v>
      </c>
    </row>
    <row r="5" spans="1:18" x14ac:dyDescent="0.3">
      <c r="A5" s="3">
        <v>2</v>
      </c>
      <c r="B5" s="5">
        <v>80</v>
      </c>
      <c r="C5" s="5">
        <v>1.75</v>
      </c>
      <c r="D5" s="5">
        <v>60.666666666666664</v>
      </c>
      <c r="E5" s="5">
        <v>0.66666666666666663</v>
      </c>
      <c r="F5" s="5">
        <v>34.5</v>
      </c>
      <c r="G5" s="5">
        <v>5.666666666666667</v>
      </c>
      <c r="H5" s="5">
        <v>80.166666666666671</v>
      </c>
      <c r="I5" s="5">
        <v>0.66666666666666663</v>
      </c>
      <c r="J5" s="5">
        <v>110</v>
      </c>
      <c r="K5" s="5">
        <v>0.66666666666666663</v>
      </c>
      <c r="L5" s="5">
        <v>47.833333333333336</v>
      </c>
      <c r="M5" s="5">
        <v>2.5833333333333335</v>
      </c>
      <c r="O5" s="5">
        <f t="shared" si="0"/>
        <v>68.8611111111111</v>
      </c>
      <c r="P5" s="5">
        <f t="shared" si="0"/>
        <v>2</v>
      </c>
      <c r="Q5" s="5">
        <f t="shared" si="1"/>
        <v>26.960344678530852</v>
      </c>
      <c r="R5" s="5">
        <f t="shared" si="1"/>
        <v>1.9585992727230115</v>
      </c>
    </row>
    <row r="6" spans="1:18" x14ac:dyDescent="0.3">
      <c r="A6" s="3">
        <v>3</v>
      </c>
      <c r="B6" s="5">
        <v>7.416666666666667</v>
      </c>
      <c r="C6" s="5">
        <v>12.416666666666666</v>
      </c>
      <c r="D6" s="5">
        <v>67.333333333333329</v>
      </c>
      <c r="E6" s="5">
        <v>1.75</v>
      </c>
      <c r="F6" s="5">
        <v>0</v>
      </c>
      <c r="G6" s="5">
        <v>17.916666666666668</v>
      </c>
      <c r="H6" s="5">
        <v>46.916666666666664</v>
      </c>
      <c r="I6" s="5">
        <v>3.8333333333333335</v>
      </c>
      <c r="J6" s="5">
        <v>38</v>
      </c>
      <c r="K6" s="5">
        <v>5.5</v>
      </c>
      <c r="L6" s="5">
        <v>0</v>
      </c>
      <c r="M6" s="5">
        <v>18</v>
      </c>
      <c r="O6" s="5">
        <f t="shared" si="0"/>
        <v>26.611111111111111</v>
      </c>
      <c r="P6" s="5">
        <f t="shared" si="0"/>
        <v>9.9027777777777786</v>
      </c>
      <c r="Q6" s="5">
        <f>STDEV(D6,F6,H6,J6,L6,B6)</f>
        <v>28.231368815294545</v>
      </c>
      <c r="R6" s="5">
        <f t="shared" si="1"/>
        <v>7.1944069068089807</v>
      </c>
    </row>
    <row r="7" spans="1:18" x14ac:dyDescent="0.3">
      <c r="A7" s="3">
        <v>4</v>
      </c>
      <c r="B7" s="5">
        <v>0</v>
      </c>
      <c r="C7" s="5">
        <v>15.583333333333334</v>
      </c>
      <c r="D7" s="5">
        <v>31.833333333333332</v>
      </c>
      <c r="E7" s="5">
        <v>4.833333333333333</v>
      </c>
      <c r="F7" s="5">
        <v>0</v>
      </c>
      <c r="G7" s="5">
        <v>11.333333333333334</v>
      </c>
      <c r="H7" s="5">
        <v>0</v>
      </c>
      <c r="I7" s="5">
        <v>21.75</v>
      </c>
      <c r="J7" s="5">
        <v>0</v>
      </c>
      <c r="K7" s="5">
        <v>21.166666666666668</v>
      </c>
      <c r="L7" s="5">
        <v>0</v>
      </c>
      <c r="M7" s="5">
        <v>16.5</v>
      </c>
      <c r="O7" s="5">
        <f t="shared" si="0"/>
        <v>5.3055555555555554</v>
      </c>
      <c r="P7" s="5">
        <f t="shared" si="0"/>
        <v>15.194444444444445</v>
      </c>
      <c r="Q7" s="5">
        <f t="shared" si="1"/>
        <v>12.995903913099641</v>
      </c>
      <c r="R7" s="5">
        <f t="shared" si="1"/>
        <v>6.3680335938067936</v>
      </c>
    </row>
    <row r="8" spans="1:18" x14ac:dyDescent="0.3">
      <c r="A8" s="3">
        <v>5</v>
      </c>
      <c r="B8" s="5">
        <v>0</v>
      </c>
      <c r="C8" s="5">
        <v>10.833333333333334</v>
      </c>
      <c r="D8" s="5">
        <v>2.1666666666666665</v>
      </c>
      <c r="E8" s="5">
        <v>11.166666666666666</v>
      </c>
      <c r="F8" s="5">
        <v>0</v>
      </c>
      <c r="G8" s="5">
        <v>2.8333333333333335</v>
      </c>
      <c r="H8" s="5">
        <v>0</v>
      </c>
      <c r="I8" s="5">
        <v>17.833333333333332</v>
      </c>
      <c r="J8" s="5">
        <v>0</v>
      </c>
      <c r="K8" s="5">
        <v>14.333333333333334</v>
      </c>
      <c r="L8" s="5">
        <v>0</v>
      </c>
      <c r="M8" s="5">
        <v>8.6666666666666661</v>
      </c>
      <c r="O8" s="5">
        <f t="shared" si="0"/>
        <v>0.3611111111111111</v>
      </c>
      <c r="P8" s="5">
        <f t="shared" si="0"/>
        <v>10.944444444444445</v>
      </c>
      <c r="Q8" s="5">
        <f t="shared" si="1"/>
        <v>0.88453796267170315</v>
      </c>
      <c r="R8" s="5">
        <f t="shared" si="1"/>
        <v>5.0986563226301422</v>
      </c>
    </row>
    <row r="9" spans="1:18" x14ac:dyDescent="0.3">
      <c r="A9" s="3">
        <v>6</v>
      </c>
      <c r="B9" s="5">
        <v>0</v>
      </c>
      <c r="C9" s="5">
        <v>0.33333333333333331</v>
      </c>
      <c r="D9" s="5">
        <v>0</v>
      </c>
      <c r="E9" s="5">
        <v>13.25</v>
      </c>
      <c r="F9" s="5">
        <v>0</v>
      </c>
      <c r="G9" s="5">
        <v>0</v>
      </c>
      <c r="H9" s="5">
        <v>0</v>
      </c>
      <c r="I9" s="5">
        <v>5</v>
      </c>
      <c r="J9" s="5">
        <v>0</v>
      </c>
      <c r="K9" s="5">
        <v>7.5</v>
      </c>
      <c r="L9" s="5">
        <v>0</v>
      </c>
      <c r="M9" s="5">
        <v>0.16666666666666666</v>
      </c>
      <c r="O9" s="5">
        <f t="shared" si="0"/>
        <v>0</v>
      </c>
      <c r="P9" s="5">
        <f>AVERAGE(C9,E9,G9,I9,K9,M9)</f>
        <v>4.3750000000000009</v>
      </c>
      <c r="Q9" s="5">
        <f t="shared" si="1"/>
        <v>0</v>
      </c>
      <c r="R9" s="5">
        <f t="shared" si="1"/>
        <v>5.3311844629292064</v>
      </c>
    </row>
    <row r="10" spans="1:18" x14ac:dyDescent="0.3">
      <c r="A10" s="3">
        <v>7</v>
      </c>
      <c r="B10" s="5">
        <v>0</v>
      </c>
      <c r="C10" s="5">
        <v>0</v>
      </c>
      <c r="D10" s="5">
        <v>0</v>
      </c>
      <c r="E10" s="5">
        <v>6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s="5">
        <f t="shared" si="0"/>
        <v>0</v>
      </c>
      <c r="P10" s="5">
        <f t="shared" si="0"/>
        <v>1</v>
      </c>
      <c r="Q10" s="5">
        <f t="shared" si="1"/>
        <v>0</v>
      </c>
      <c r="R10" s="5">
        <f t="shared" si="1"/>
        <v>2.4494897427831779</v>
      </c>
    </row>
    <row r="11" spans="1:18" x14ac:dyDescent="0.3">
      <c r="A11" s="3">
        <v>8</v>
      </c>
      <c r="B11" s="5">
        <v>0</v>
      </c>
      <c r="C11" s="5">
        <v>0</v>
      </c>
      <c r="D11" s="5">
        <v>0</v>
      </c>
      <c r="E11" s="5">
        <v>0.5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O11" s="5">
        <f t="shared" si="0"/>
        <v>0</v>
      </c>
      <c r="P11" s="5">
        <f t="shared" si="0"/>
        <v>8.3333333333333329E-2</v>
      </c>
      <c r="Q11" s="5">
        <f t="shared" si="1"/>
        <v>0</v>
      </c>
      <c r="R11" s="5">
        <f t="shared" si="1"/>
        <v>0.20412414523193151</v>
      </c>
    </row>
    <row r="12" spans="1:18" x14ac:dyDescent="0.3">
      <c r="A12" s="3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O12" s="5">
        <f t="shared" si="0"/>
        <v>0</v>
      </c>
      <c r="P12" s="5">
        <f t="shared" si="0"/>
        <v>0</v>
      </c>
      <c r="Q12" s="5">
        <f t="shared" si="1"/>
        <v>0</v>
      </c>
      <c r="R12" s="5">
        <f t="shared" si="1"/>
        <v>0</v>
      </c>
    </row>
    <row r="13" spans="1:18" x14ac:dyDescent="0.3">
      <c r="A13" s="3">
        <v>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O13" s="5">
        <f t="shared" si="0"/>
        <v>0</v>
      </c>
      <c r="P13" s="5">
        <f t="shared" si="0"/>
        <v>0</v>
      </c>
      <c r="Q13" s="5">
        <f t="shared" si="1"/>
        <v>0</v>
      </c>
      <c r="R13" s="5">
        <f t="shared" si="1"/>
        <v>0</v>
      </c>
    </row>
    <row r="14" spans="1:18" x14ac:dyDescent="0.3">
      <c r="A14" s="3">
        <v>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O14" s="5">
        <f t="shared" si="0"/>
        <v>0</v>
      </c>
      <c r="P14" s="5">
        <f t="shared" si="0"/>
        <v>0</v>
      </c>
      <c r="Q14" s="5">
        <f t="shared" si="1"/>
        <v>0</v>
      </c>
      <c r="R14" s="5">
        <f t="shared" si="1"/>
        <v>0</v>
      </c>
    </row>
    <row r="15" spans="1:18" x14ac:dyDescent="0.3">
      <c r="A15" s="3">
        <v>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O15" s="5">
        <f t="shared" si="0"/>
        <v>0</v>
      </c>
      <c r="P15" s="5">
        <f t="shared" si="0"/>
        <v>0</v>
      </c>
      <c r="Q15" s="5">
        <f t="shared" si="1"/>
        <v>0</v>
      </c>
      <c r="R15" s="5">
        <f t="shared" si="1"/>
        <v>0</v>
      </c>
    </row>
    <row r="16" spans="1:18" x14ac:dyDescent="0.3">
      <c r="A16" s="3">
        <v>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O16" s="5">
        <f t="shared" si="0"/>
        <v>0</v>
      </c>
      <c r="P16" s="5">
        <f t="shared" si="0"/>
        <v>0</v>
      </c>
      <c r="Q16" s="5">
        <f t="shared" si="1"/>
        <v>0</v>
      </c>
      <c r="R16" s="5">
        <f t="shared" si="1"/>
        <v>0</v>
      </c>
    </row>
    <row r="17" spans="1:18" x14ac:dyDescent="0.3">
      <c r="A17" s="3">
        <v>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O17" s="5">
        <f t="shared" si="0"/>
        <v>0</v>
      </c>
      <c r="P17" s="5">
        <f t="shared" si="0"/>
        <v>0</v>
      </c>
      <c r="Q17" s="5">
        <f t="shared" si="1"/>
        <v>0</v>
      </c>
      <c r="R17" s="5">
        <f t="shared" si="1"/>
        <v>0</v>
      </c>
    </row>
    <row r="18" spans="1:18" x14ac:dyDescent="0.3">
      <c r="A18" s="3">
        <v>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O18" s="5">
        <f t="shared" si="0"/>
        <v>0</v>
      </c>
      <c r="P18" s="5">
        <f t="shared" si="0"/>
        <v>0</v>
      </c>
      <c r="Q18" s="5">
        <f t="shared" si="1"/>
        <v>0</v>
      </c>
      <c r="R18" s="5">
        <f t="shared" si="1"/>
        <v>0</v>
      </c>
    </row>
    <row r="19" spans="1:18" x14ac:dyDescent="0.3">
      <c r="A19" s="3">
        <v>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O19" s="5">
        <f t="shared" si="0"/>
        <v>0</v>
      </c>
      <c r="P19" s="5">
        <f t="shared" si="0"/>
        <v>0</v>
      </c>
      <c r="Q19" s="5">
        <f t="shared" si="1"/>
        <v>0</v>
      </c>
      <c r="R19" s="5">
        <f t="shared" si="1"/>
        <v>0</v>
      </c>
    </row>
    <row r="20" spans="1:18" x14ac:dyDescent="0.3">
      <c r="A20" s="3">
        <v>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O20" s="5">
        <f t="shared" si="0"/>
        <v>0</v>
      </c>
      <c r="P20" s="5">
        <f t="shared" si="0"/>
        <v>0</v>
      </c>
      <c r="Q20" s="5">
        <f t="shared" si="1"/>
        <v>0</v>
      </c>
      <c r="R20" s="5">
        <f t="shared" si="1"/>
        <v>0</v>
      </c>
    </row>
    <row r="21" spans="1:18" x14ac:dyDescent="0.3">
      <c r="A21" s="3">
        <v>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O21" s="5">
        <f t="shared" si="0"/>
        <v>0</v>
      </c>
      <c r="P21" s="5">
        <f t="shared" si="0"/>
        <v>0</v>
      </c>
      <c r="Q21" s="5">
        <f t="shared" si="1"/>
        <v>0</v>
      </c>
      <c r="R21" s="5">
        <f t="shared" si="1"/>
        <v>0</v>
      </c>
    </row>
  </sheetData>
  <mergeCells count="8">
    <mergeCell ref="Q1:R1"/>
    <mergeCell ref="O1:P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Population size data</vt:lpstr>
      <vt:lpstr>Population densities per mL</vt:lpstr>
      <vt:lpstr>Cell volumes across peaks</vt:lpstr>
      <vt:lpstr>Combined for plotting</vt:lpstr>
      <vt:lpstr>17 C</vt:lpstr>
      <vt:lpstr>20 C</vt:lpstr>
      <vt:lpstr>23 C</vt:lpstr>
      <vt:lpstr>25 C</vt:lpstr>
      <vt:lpstr>27 C</vt:lpstr>
      <vt:lpstr>31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Lyon</dc:creator>
  <cp:lastModifiedBy>College of Arts &amp; Sciences</cp:lastModifiedBy>
  <dcterms:created xsi:type="dcterms:W3CDTF">2017-04-02T22:46:21Z</dcterms:created>
  <dcterms:modified xsi:type="dcterms:W3CDTF">2020-02-17T22:09:23Z</dcterms:modified>
</cp:coreProperties>
</file>